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80" windowWidth="11445" windowHeight="9585" tabRatio="843" activeTab="6"/>
  </bookViews>
  <sheets>
    <sheet name="Sewage - ESRISS Composit" sheetId="6" r:id="rId1"/>
    <sheet name="Sewage - ESRISS 24h" sheetId="7" r:id="rId2"/>
    <sheet name="Sewage - KES Rodeco" sheetId="2" r:id="rId3"/>
    <sheet name="Sewage - ESRISS Snapshot" sheetId="1" r:id="rId4"/>
    <sheet name="Septage - ESRISS" sheetId="4" r:id="rId5"/>
    <sheet name="Liquid Manure - ESRISS" sheetId="5" r:id="rId6"/>
    <sheet name="Household - KES Rodeco" sheetId="3" r:id="rId7"/>
  </sheets>
  <definedNames>
    <definedName name="_xlnm.Print_Area" localSheetId="5">'Liquid Manure - ESRISS'!$A$1:$X$22</definedName>
    <definedName name="_xlnm.Print_Area" localSheetId="4">'Septage - ESRISS'!$A$1:$X$25</definedName>
  </definedNames>
  <calcPr calcId="145621"/>
</workbook>
</file>

<file path=xl/calcChain.xml><?xml version="1.0" encoding="utf-8"?>
<calcChain xmlns="http://schemas.openxmlformats.org/spreadsheetml/2006/main">
  <c r="T7" i="4" l="1"/>
  <c r="W20" i="4"/>
  <c r="V20" i="4"/>
  <c r="U20" i="4"/>
  <c r="T20" i="4"/>
  <c r="W19" i="4"/>
  <c r="V19" i="4"/>
  <c r="U19" i="4"/>
  <c r="T19" i="4"/>
  <c r="W18" i="4"/>
  <c r="V18" i="4"/>
  <c r="U18" i="4"/>
  <c r="T18" i="4"/>
  <c r="W17" i="4"/>
  <c r="V17" i="4"/>
  <c r="U17" i="4"/>
  <c r="T17" i="4"/>
  <c r="W16" i="4"/>
  <c r="V16" i="4"/>
  <c r="U16" i="4"/>
  <c r="T16" i="4"/>
  <c r="W15" i="4"/>
  <c r="V15" i="4"/>
  <c r="U15" i="4"/>
  <c r="T15" i="4"/>
  <c r="W14" i="4"/>
  <c r="V14" i="4"/>
  <c r="U14" i="4"/>
  <c r="T14" i="4"/>
  <c r="W13" i="4"/>
  <c r="V13" i="4"/>
  <c r="U13" i="4"/>
  <c r="T13" i="4"/>
  <c r="W12" i="4"/>
  <c r="V12" i="4"/>
  <c r="U12" i="4"/>
  <c r="T12" i="4"/>
  <c r="W11" i="4"/>
  <c r="V11" i="4"/>
  <c r="U11" i="4"/>
  <c r="T11" i="4"/>
  <c r="W10" i="4"/>
  <c r="V10" i="4"/>
  <c r="U10" i="4"/>
  <c r="T10" i="4"/>
  <c r="W9" i="4"/>
  <c r="V9" i="4"/>
  <c r="U9" i="4"/>
  <c r="T9" i="4"/>
  <c r="W8" i="4"/>
  <c r="V8" i="4"/>
  <c r="U8" i="4"/>
  <c r="T8" i="4"/>
  <c r="W7" i="4"/>
  <c r="V7" i="4"/>
  <c r="U7" i="4"/>
  <c r="T7" i="5"/>
  <c r="L9" i="6" l="1"/>
  <c r="L20" i="6"/>
  <c r="L19" i="6"/>
  <c r="L18" i="6"/>
  <c r="L17" i="6"/>
  <c r="L16" i="6"/>
  <c r="L15" i="6"/>
  <c r="L13" i="6"/>
  <c r="L12" i="6"/>
  <c r="L11" i="6"/>
  <c r="L10" i="6"/>
  <c r="L7" i="6"/>
  <c r="K20" i="6"/>
  <c r="K19" i="6"/>
  <c r="K18" i="6"/>
  <c r="K17" i="6"/>
  <c r="K16" i="6"/>
  <c r="K15" i="6"/>
  <c r="K13" i="6"/>
  <c r="K12" i="6"/>
  <c r="K11" i="6"/>
  <c r="K10" i="6"/>
  <c r="K7" i="6"/>
  <c r="J20" i="6"/>
  <c r="J19" i="6"/>
  <c r="J18" i="6"/>
  <c r="J17" i="6"/>
  <c r="J16" i="6"/>
  <c r="J15" i="6"/>
  <c r="J13" i="6"/>
  <c r="J12" i="6"/>
  <c r="J11" i="6"/>
  <c r="J10" i="6"/>
  <c r="J7" i="6"/>
  <c r="I20" i="6"/>
  <c r="I19" i="6"/>
  <c r="I18" i="6"/>
  <c r="I17" i="6"/>
  <c r="I16" i="6"/>
  <c r="I15" i="6"/>
  <c r="I13" i="6"/>
  <c r="I12" i="6"/>
  <c r="I11" i="6"/>
  <c r="I10" i="6"/>
  <c r="I9" i="6"/>
  <c r="I7" i="6"/>
  <c r="V15" i="7" l="1"/>
  <c r="V16" i="7"/>
  <c r="T21" i="7" l="1"/>
  <c r="T20" i="7"/>
  <c r="T19" i="7"/>
  <c r="T18" i="7"/>
  <c r="T17" i="7"/>
  <c r="T14" i="7"/>
  <c r="T13" i="7"/>
  <c r="T12" i="7"/>
  <c r="T11" i="7"/>
  <c r="T10" i="7"/>
  <c r="T9" i="7"/>
  <c r="T8" i="7"/>
  <c r="T7" i="7" l="1"/>
  <c r="U7" i="7"/>
  <c r="V7" i="7"/>
  <c r="V21" i="7" l="1"/>
  <c r="U21" i="7"/>
  <c r="V20" i="7"/>
  <c r="U20" i="7"/>
  <c r="V19" i="7"/>
  <c r="U19" i="7"/>
  <c r="V18" i="7"/>
  <c r="U18" i="7"/>
  <c r="V17" i="7"/>
  <c r="U17" i="7"/>
  <c r="V14" i="7"/>
  <c r="U14" i="7"/>
  <c r="V13" i="7"/>
  <c r="U13" i="7"/>
  <c r="V12" i="7"/>
  <c r="U12" i="7"/>
  <c r="V11" i="7"/>
  <c r="U11" i="7"/>
  <c r="V10" i="7"/>
  <c r="U10" i="7"/>
  <c r="V9" i="7"/>
  <c r="U9" i="7"/>
  <c r="V8" i="7"/>
  <c r="U8" i="7"/>
  <c r="W16" i="5" l="1"/>
  <c r="J21" i="1" l="1"/>
  <c r="H21" i="1"/>
  <c r="J20" i="1"/>
  <c r="H20" i="1"/>
  <c r="J19" i="1"/>
  <c r="I19" i="1"/>
  <c r="H19" i="1"/>
  <c r="J18" i="1"/>
  <c r="I18" i="1"/>
  <c r="H18" i="1"/>
  <c r="J17" i="1"/>
  <c r="I17" i="1"/>
  <c r="H17" i="1"/>
  <c r="J16" i="1"/>
  <c r="I16" i="1"/>
  <c r="H16" i="1"/>
  <c r="J15" i="1"/>
  <c r="I15" i="1"/>
  <c r="H15" i="1"/>
  <c r="J14" i="1"/>
  <c r="I14" i="1"/>
  <c r="H14" i="1"/>
  <c r="J13" i="1"/>
  <c r="I13" i="1"/>
  <c r="H13" i="1"/>
  <c r="J12" i="1"/>
  <c r="H12" i="1"/>
  <c r="J11" i="1"/>
  <c r="I11" i="1"/>
  <c r="H11" i="1"/>
  <c r="J10" i="1"/>
  <c r="I10" i="1"/>
  <c r="H10" i="1"/>
  <c r="J9" i="1"/>
  <c r="I9" i="1"/>
  <c r="H9" i="1"/>
  <c r="J8" i="1"/>
  <c r="H8" i="1"/>
  <c r="I8" i="1"/>
  <c r="U7" i="5"/>
  <c r="V7" i="5"/>
  <c r="W7" i="5"/>
  <c r="T8" i="5"/>
  <c r="U8" i="5"/>
  <c r="V8" i="5"/>
  <c r="W8" i="5"/>
  <c r="T9" i="5"/>
  <c r="U9" i="5"/>
  <c r="V9" i="5"/>
  <c r="W9" i="5"/>
  <c r="T11" i="5"/>
  <c r="U11" i="5"/>
  <c r="V11" i="5"/>
  <c r="W11" i="5"/>
  <c r="T10" i="5"/>
  <c r="U10" i="5"/>
  <c r="V10" i="5"/>
  <c r="W10" i="5"/>
  <c r="T12" i="5"/>
  <c r="U12" i="5"/>
  <c r="V12" i="5"/>
  <c r="W12" i="5"/>
  <c r="T13" i="5"/>
  <c r="U13" i="5"/>
  <c r="V13" i="5"/>
  <c r="W13" i="5"/>
  <c r="T14" i="5"/>
  <c r="U14" i="5"/>
  <c r="V14" i="5"/>
  <c r="W14" i="5"/>
  <c r="T15" i="5"/>
  <c r="U15" i="5"/>
  <c r="V15" i="5"/>
  <c r="W15" i="5"/>
  <c r="T16" i="5"/>
  <c r="U16" i="5"/>
  <c r="V16" i="5"/>
  <c r="T17" i="5"/>
  <c r="U17" i="5"/>
  <c r="V17" i="5"/>
  <c r="W17" i="5"/>
  <c r="T18" i="5"/>
  <c r="U18" i="5"/>
  <c r="V18" i="5"/>
  <c r="W18" i="5"/>
  <c r="T19" i="5"/>
  <c r="U19" i="5"/>
  <c r="V19" i="5"/>
  <c r="W19" i="5"/>
  <c r="L8" i="1" l="1"/>
  <c r="I28" i="3"/>
  <c r="I29" i="3"/>
  <c r="I32" i="3"/>
  <c r="I33" i="3"/>
  <c r="I34" i="3"/>
  <c r="I30" i="3"/>
  <c r="I31" i="3"/>
  <c r="I39" i="3"/>
  <c r="I35" i="3"/>
  <c r="I36" i="3"/>
  <c r="I37" i="3"/>
  <c r="I38" i="3"/>
  <c r="I27" i="3"/>
  <c r="G27" i="3"/>
  <c r="H28" i="2"/>
  <c r="H47" i="2"/>
  <c r="K47" i="2"/>
  <c r="H29" i="2"/>
  <c r="H48" i="2"/>
  <c r="K48" i="2"/>
  <c r="H32" i="2"/>
  <c r="H51" i="2"/>
  <c r="K51" i="2"/>
  <c r="H33" i="2"/>
  <c r="H52" i="2"/>
  <c r="K52" i="2"/>
  <c r="H34" i="2"/>
  <c r="H53" i="2"/>
  <c r="K53" i="2"/>
  <c r="H30" i="2"/>
  <c r="H49" i="2"/>
  <c r="K49" i="2"/>
  <c r="H31" i="2"/>
  <c r="H50" i="2"/>
  <c r="K50" i="2"/>
  <c r="H39" i="2"/>
  <c r="H58" i="2"/>
  <c r="K58" i="2"/>
  <c r="H35" i="2"/>
  <c r="H54" i="2"/>
  <c r="K54" i="2"/>
  <c r="H36" i="2"/>
  <c r="H55" i="2"/>
  <c r="K55" i="2"/>
  <c r="H37" i="2"/>
  <c r="H56" i="2"/>
  <c r="K56" i="2"/>
  <c r="H38" i="2"/>
  <c r="H57" i="2"/>
  <c r="K57" i="2"/>
  <c r="K46" i="2"/>
  <c r="I46" i="2"/>
  <c r="H46" i="2"/>
  <c r="F46" i="2"/>
  <c r="H27" i="2"/>
  <c r="F27" i="2"/>
  <c r="P29" i="3"/>
  <c r="M29" i="3"/>
  <c r="N29" i="3"/>
  <c r="O29" i="3"/>
  <c r="M27" i="3"/>
  <c r="N27" i="3"/>
  <c r="O27" i="3"/>
  <c r="P27" i="3"/>
  <c r="P28" i="3"/>
  <c r="O28" i="3"/>
  <c r="N28" i="3"/>
  <c r="M28" i="3"/>
  <c r="I47" i="2"/>
  <c r="F47" i="2"/>
  <c r="G47" i="2"/>
  <c r="J47" i="2"/>
  <c r="F48" i="2"/>
  <c r="G48" i="2"/>
  <c r="I48" i="2"/>
  <c r="J48" i="2"/>
  <c r="F51" i="2"/>
  <c r="G51" i="2"/>
  <c r="I51" i="2"/>
  <c r="J51" i="2"/>
  <c r="F52" i="2"/>
  <c r="G52" i="2"/>
  <c r="I52" i="2"/>
  <c r="J52" i="2"/>
  <c r="F53" i="2"/>
  <c r="G53" i="2"/>
  <c r="I53" i="2"/>
  <c r="J53" i="2"/>
  <c r="F49" i="2"/>
  <c r="G49" i="2"/>
  <c r="I49" i="2"/>
  <c r="J49" i="2"/>
  <c r="F50" i="2"/>
  <c r="G50" i="2"/>
  <c r="I50" i="2"/>
  <c r="J50" i="2"/>
  <c r="F58" i="2"/>
  <c r="I58" i="2"/>
  <c r="J58" i="2"/>
  <c r="F54" i="2"/>
  <c r="I54" i="2"/>
  <c r="J54" i="2"/>
  <c r="F55" i="2"/>
  <c r="G55" i="2"/>
  <c r="I55" i="2"/>
  <c r="J55" i="2"/>
  <c r="F56" i="2"/>
  <c r="I56" i="2"/>
  <c r="J56" i="2"/>
  <c r="F57" i="2"/>
  <c r="I57" i="2"/>
  <c r="J57" i="2"/>
  <c r="G46" i="2"/>
  <c r="J46" i="2"/>
  <c r="F30" i="2"/>
  <c r="G36" i="3" l="1"/>
  <c r="G28" i="3"/>
  <c r="H28" i="3"/>
  <c r="G29" i="3"/>
  <c r="H29" i="3"/>
  <c r="G32" i="3"/>
  <c r="H32" i="3"/>
  <c r="G33" i="3"/>
  <c r="H33" i="3"/>
  <c r="G34" i="3"/>
  <c r="H34" i="3"/>
  <c r="G30" i="3"/>
  <c r="H30" i="3"/>
  <c r="G31" i="3"/>
  <c r="H31" i="3"/>
  <c r="G39" i="3"/>
  <c r="H39" i="3"/>
  <c r="G35" i="3"/>
  <c r="H35" i="3"/>
  <c r="H36" i="3"/>
  <c r="G37" i="3"/>
  <c r="H37" i="3"/>
  <c r="G38" i="3"/>
  <c r="H38" i="3"/>
  <c r="H27" i="3"/>
  <c r="L9" i="1"/>
  <c r="L10" i="1"/>
  <c r="L11" i="1"/>
  <c r="L12" i="1"/>
  <c r="L13" i="1"/>
  <c r="L14" i="1"/>
  <c r="L15" i="1"/>
  <c r="L16" i="1"/>
  <c r="L17" i="1"/>
  <c r="L18" i="1"/>
  <c r="L19" i="1"/>
  <c r="L20" i="1"/>
  <c r="L21" i="1"/>
  <c r="I36" i="2"/>
  <c r="I38" i="2"/>
  <c r="I28" i="2"/>
  <c r="J28" i="2"/>
  <c r="I29" i="2"/>
  <c r="J29" i="2"/>
  <c r="I32" i="2"/>
  <c r="J32" i="2"/>
  <c r="I33" i="2"/>
  <c r="J33" i="2"/>
  <c r="I34" i="2"/>
  <c r="J34" i="2"/>
  <c r="I30" i="2"/>
  <c r="J30" i="2"/>
  <c r="I31" i="2"/>
  <c r="J31" i="2"/>
  <c r="I39" i="2"/>
  <c r="J39" i="2"/>
  <c r="I35" i="2"/>
  <c r="J35" i="2"/>
  <c r="J36" i="2"/>
  <c r="I37" i="2"/>
  <c r="J37" i="2"/>
  <c r="J38" i="2"/>
  <c r="J27" i="2"/>
  <c r="I27" i="2"/>
  <c r="F29" i="2"/>
  <c r="F34" i="2"/>
  <c r="F32" i="2"/>
  <c r="F31" i="2"/>
  <c r="F28" i="2"/>
  <c r="G28" i="2"/>
  <c r="G29" i="2"/>
  <c r="G32" i="2"/>
  <c r="F33" i="2"/>
  <c r="G33" i="2"/>
  <c r="G34" i="2"/>
  <c r="G30" i="2"/>
  <c r="G31" i="2"/>
  <c r="F39" i="2"/>
  <c r="G39" i="2"/>
  <c r="F35" i="2"/>
  <c r="G35" i="2"/>
  <c r="F36" i="2"/>
  <c r="G36" i="2"/>
  <c r="F37" i="2"/>
  <c r="G37" i="2"/>
  <c r="F38" i="2"/>
  <c r="G38" i="2"/>
  <c r="G27" i="2"/>
  <c r="M11" i="1"/>
  <c r="M10" i="1"/>
  <c r="M15" i="1"/>
  <c r="M19" i="1"/>
  <c r="M13" i="1"/>
  <c r="M14" i="1"/>
  <c r="M8" i="1"/>
  <c r="M18" i="1"/>
  <c r="M9" i="1"/>
</calcChain>
</file>

<file path=xl/sharedStrings.xml><?xml version="1.0" encoding="utf-8"?>
<sst xmlns="http://schemas.openxmlformats.org/spreadsheetml/2006/main" count="544" uniqueCount="176">
  <si>
    <t>phosphorus</t>
  </si>
  <si>
    <t>TKN</t>
  </si>
  <si>
    <t>MPN/100mL</t>
  </si>
  <si>
    <t>E.coli</t>
  </si>
  <si>
    <t>mgP/L</t>
  </si>
  <si>
    <t>Total P</t>
  </si>
  <si>
    <t>-</t>
  </si>
  <si>
    <t>mgN/L</t>
  </si>
  <si>
    <t>NO3-N</t>
  </si>
  <si>
    <t>NO2-N</t>
  </si>
  <si>
    <t>Ammonia N (NH4)</t>
  </si>
  <si>
    <t>Organic N</t>
  </si>
  <si>
    <t>mg/L</t>
  </si>
  <si>
    <t>TDS</t>
  </si>
  <si>
    <t>VSS</t>
  </si>
  <si>
    <t>TSS</t>
  </si>
  <si>
    <t>mgO2/L</t>
  </si>
  <si>
    <t>BOD</t>
  </si>
  <si>
    <t>COD</t>
  </si>
  <si>
    <t>PH-value</t>
  </si>
  <si>
    <t>SD</t>
  </si>
  <si>
    <t>Average</t>
  </si>
  <si>
    <t>unit</t>
  </si>
  <si>
    <t>Fayoum</t>
  </si>
  <si>
    <t>Kafr el Hamam
(Sharqiya)</t>
  </si>
  <si>
    <t>Sheikh Yacoub
(Beni Suef)</t>
  </si>
  <si>
    <t>Kom el Nagar
(Gharbeya)</t>
  </si>
  <si>
    <t>El Moufty</t>
  </si>
  <si>
    <t>Unit</t>
  </si>
  <si>
    <t>Law</t>
  </si>
  <si>
    <t>48/1982</t>
  </si>
  <si>
    <t>Inlet</t>
  </si>
  <si>
    <t>2.15 pm</t>
  </si>
  <si>
    <t>3.15 pm</t>
  </si>
  <si>
    <t>4.15 pm</t>
  </si>
  <si>
    <t>5.15 pm</t>
  </si>
  <si>
    <t>6.15 pm</t>
  </si>
  <si>
    <t>Temperature</t>
  </si>
  <si>
    <t>°C</t>
  </si>
  <si>
    <t>&lt; 35</t>
  </si>
  <si>
    <t>pH</t>
  </si>
  <si>
    <t>6....9</t>
  </si>
  <si>
    <t>conductivity</t>
  </si>
  <si>
    <t>µs/cm</t>
  </si>
  <si>
    <t>Total solids (TS)</t>
  </si>
  <si>
    <t>mg/l</t>
  </si>
  <si>
    <t>Total dissolved solids (TDS)</t>
  </si>
  <si>
    <t>Total suspended solids (TSS)</t>
  </si>
  <si>
    <t>Dissolved oxygen (DO)</t>
  </si>
  <si>
    <t>Phosphate</t>
  </si>
  <si>
    <r>
      <t>Sulfide H</t>
    </r>
    <r>
      <rPr>
        <vertAlign val="subscript"/>
        <sz val="9"/>
        <color theme="1"/>
        <rFont val="Arial"/>
        <family val="2"/>
      </rPr>
      <t>2</t>
    </r>
    <r>
      <rPr>
        <sz val="9"/>
        <color theme="1"/>
        <rFont val="Arial"/>
        <family val="2"/>
      </rPr>
      <t>S</t>
    </r>
  </si>
  <si>
    <r>
      <t>Nitrite NO</t>
    </r>
    <r>
      <rPr>
        <vertAlign val="subscript"/>
        <sz val="9"/>
        <color theme="1"/>
        <rFont val="Arial"/>
        <family val="2"/>
      </rPr>
      <t>2</t>
    </r>
  </si>
  <si>
    <r>
      <t>Nitrate NO</t>
    </r>
    <r>
      <rPr>
        <vertAlign val="subscript"/>
        <sz val="9"/>
        <color theme="1"/>
        <rFont val="Arial"/>
        <family val="2"/>
      </rPr>
      <t>3</t>
    </r>
  </si>
  <si>
    <t>Parameter</t>
  </si>
  <si>
    <t>Samples taken by Rodeco in the influent of the WSP and analysed in Sedi Salem WWTP laboratory</t>
  </si>
  <si>
    <t>AVERAGE</t>
  </si>
  <si>
    <t>DO</t>
  </si>
  <si>
    <r>
      <t>NO</t>
    </r>
    <r>
      <rPr>
        <vertAlign val="subscript"/>
        <sz val="9"/>
        <color theme="1"/>
        <rFont val="Arial"/>
        <family val="2"/>
      </rPr>
      <t>2</t>
    </r>
  </si>
  <si>
    <r>
      <t>NO</t>
    </r>
    <r>
      <rPr>
        <vertAlign val="subscript"/>
        <sz val="9"/>
        <color theme="1"/>
        <rFont val="Arial"/>
        <family val="2"/>
      </rPr>
      <t>3</t>
    </r>
  </si>
  <si>
    <t>TS</t>
  </si>
  <si>
    <t>Gray turbid</t>
  </si>
  <si>
    <t>Om Sen</t>
  </si>
  <si>
    <r>
      <t xml:space="preserve">El Kolea 
</t>
    </r>
    <r>
      <rPr>
        <b/>
        <i/>
        <sz val="11"/>
        <color theme="1"/>
        <rFont val="Calibri"/>
        <family val="2"/>
        <scheme val="minor"/>
      </rPr>
      <t>(2 samples)</t>
    </r>
  </si>
  <si>
    <r>
      <t xml:space="preserve">Om Sen
</t>
    </r>
    <r>
      <rPr>
        <b/>
        <i/>
        <sz val="11"/>
        <color theme="1"/>
        <rFont val="Calibri"/>
        <family val="2"/>
        <scheme val="minor"/>
      </rPr>
      <t>(1 sample)</t>
    </r>
  </si>
  <si>
    <t>El Kolea</t>
  </si>
  <si>
    <t>SYNTHESIS :</t>
  </si>
  <si>
    <t>PH</t>
  </si>
  <si>
    <t>TN</t>
  </si>
  <si>
    <t>TVS</t>
  </si>
  <si>
    <t xml:space="preserve">COD </t>
  </si>
  <si>
    <t xml:space="preserve">BOD </t>
  </si>
  <si>
    <t xml:space="preserve">TSS </t>
  </si>
  <si>
    <t>NH4-N</t>
  </si>
  <si>
    <t xml:space="preserve">TP </t>
  </si>
  <si>
    <t>without Fayoum</t>
  </si>
  <si>
    <t>House 1</t>
  </si>
  <si>
    <t>House 2</t>
  </si>
  <si>
    <t>House 3</t>
  </si>
  <si>
    <t>Household 3</t>
  </si>
  <si>
    <t>Household 4</t>
  </si>
  <si>
    <t>Household 5</t>
  </si>
  <si>
    <t>Household 6</t>
  </si>
  <si>
    <t>Household</t>
  </si>
  <si>
    <t xml:space="preserve">Household </t>
  </si>
  <si>
    <r>
      <t xml:space="preserve">Raw wastewater characteristics in the influent of several small-scale treatment plants </t>
    </r>
    <r>
      <rPr>
        <b/>
        <i/>
        <sz val="12"/>
        <rFont val="Arial"/>
        <family val="2"/>
      </rPr>
      <t>(only one snapshot sample for each village)</t>
    </r>
  </si>
  <si>
    <r>
      <t xml:space="preserve">El Moufty 
</t>
    </r>
    <r>
      <rPr>
        <b/>
        <i/>
        <sz val="11"/>
        <color theme="1"/>
        <rFont val="Calibri"/>
        <family val="2"/>
        <scheme val="minor"/>
      </rPr>
      <t>(21 samples)</t>
    </r>
  </si>
  <si>
    <t>SAMPLES TAKEN BY RODECO IN THE FRAMEWORK OF GIZ DECENTRALISED PROJECT IN KAFR EL SHEIKH</t>
  </si>
  <si>
    <t>ANALYSIS OF El MOUFTY RAW WASTEWATER DATA PER SEASON :</t>
  </si>
  <si>
    <t>El Moufty in winter
(13 samples)</t>
  </si>
  <si>
    <t>El Moufty in summer
(7 samples)</t>
  </si>
  <si>
    <t>Samples at household level in El Moufty (Domestic wastewater, sometimes mixed to animal manure)</t>
  </si>
  <si>
    <t>Sample with COD &gt; 3000 mg/L (presumably with manure)</t>
  </si>
  <si>
    <t>Samples with COD &lt; 3000 mg/L (presumably without manure)</t>
  </si>
  <si>
    <t>MAX</t>
  </si>
  <si>
    <t>SEWAGE
SAMPLES</t>
  </si>
  <si>
    <t>NB: the highest values match those of liquid animal manure.</t>
  </si>
  <si>
    <t>Samples taken at household level 
in El Moufty</t>
  </si>
  <si>
    <t>NB: values in Sheikh Yacoub and Kafr El Hamam are more typical of those of septage.</t>
  </si>
  <si>
    <r>
      <t>NB: Total Kjeldahl nitrogen or TKN is the sum of organic nitrogen, ammonia (NH</t>
    </r>
    <r>
      <rPr>
        <vertAlign val="subscript"/>
        <sz val="10"/>
        <rFont val="Arial"/>
        <family val="2"/>
      </rPr>
      <t>3</t>
    </r>
    <r>
      <rPr>
        <sz val="10"/>
        <rFont val="Arial"/>
        <family val="2"/>
      </rPr>
      <t>), and ammonium (NH</t>
    </r>
    <r>
      <rPr>
        <vertAlign val="subscript"/>
        <sz val="10"/>
        <rFont val="Arial"/>
        <family val="2"/>
      </rPr>
      <t>4</t>
    </r>
    <r>
      <rPr>
        <vertAlign val="superscript"/>
        <sz val="10"/>
        <rFont val="Arial"/>
        <family val="2"/>
      </rPr>
      <t>+</t>
    </r>
    <r>
      <rPr>
        <sz val="10"/>
        <rFont val="Arial"/>
        <family val="2"/>
      </rPr>
      <t>) in the chemical analysis of soil, water, or wastewater (e.g. sewage treatment plant effluent). To calculate Total Nitrogen (TN), the concentrations of nitrate-N and nitrite-N are determined and added to TKN.</t>
    </r>
  </si>
  <si>
    <t xml:space="preserve">unit </t>
  </si>
  <si>
    <t>RAW WASTEWATER SAMPLES</t>
  </si>
  <si>
    <t>SAMPLES TAKEN BY ESRISS PROJECT</t>
  </si>
  <si>
    <t>Sampling methodology:</t>
  </si>
  <si>
    <t xml:space="preserve">Grab samples were taken from the holes for the collection of liquid manure in the stables. The content of the holes was gently stirred and a sample of 600 ml was taken with a graded plastic jar. The samples were transferred into plastic bottles and refrigerated immediately. The sampling took place between 7:30 and 8:30 am, before the daily emptying of the collection holes. </t>
  </si>
  <si>
    <r>
      <rPr>
        <b/>
        <sz val="11"/>
        <color theme="1"/>
        <rFont val="Calibri"/>
        <family val="2"/>
        <scheme val="minor"/>
      </rPr>
      <t xml:space="preserve">Sampling methodology: </t>
    </r>
    <r>
      <rPr>
        <sz val="11"/>
        <color theme="1"/>
        <rFont val="Calibri"/>
        <family val="2"/>
        <scheme val="minor"/>
      </rPr>
      <t>snapshot samples</t>
    </r>
  </si>
  <si>
    <t>PO4-P</t>
  </si>
  <si>
    <t>Cond.</t>
  </si>
  <si>
    <t>&gt;3600</t>
  </si>
  <si>
    <t>&gt;23.9</t>
  </si>
  <si>
    <r>
      <t xml:space="preserve">Nakhla Kablaia </t>
    </r>
    <r>
      <rPr>
        <i/>
        <sz val="9"/>
        <rFont val="Calibri"/>
        <family val="2"/>
        <scheme val="minor"/>
      </rPr>
      <t>(ezba next to Haderi)</t>
    </r>
    <r>
      <rPr>
        <sz val="11"/>
        <rFont val="Calibri"/>
        <family val="2"/>
        <scheme val="minor"/>
      </rPr>
      <t xml:space="preserve">
10.04.2013</t>
    </r>
  </si>
  <si>
    <r>
      <t xml:space="preserve">Nakhla Kablaia </t>
    </r>
    <r>
      <rPr>
        <i/>
        <sz val="9"/>
        <rFont val="Calibri"/>
        <family val="2"/>
        <scheme val="minor"/>
      </rPr>
      <t>(ezba next to Haderi)</t>
    </r>
    <r>
      <rPr>
        <sz val="11"/>
        <rFont val="Calibri"/>
        <family val="2"/>
        <scheme val="minor"/>
      </rPr>
      <t xml:space="preserve">
30.04.2013</t>
    </r>
  </si>
  <si>
    <t>mS/cm</t>
  </si>
  <si>
    <t>&gt;8000</t>
  </si>
  <si>
    <t>PARAMETERS</t>
  </si>
  <si>
    <t>NB. OF
 SAMPLE</t>
  </si>
  <si>
    <t>SAMPLES TAKEN BY ESRISS PROJECT IN FOUR EZBAS IN BEHEIRA GOVERNORATE: El Ashara (Besentway, Abo Hommus), Khediry (next to Ashara), El Hadery (Besentway, Abo Hommus), Nakhla Kablaia (next to El Hadery)</t>
  </si>
  <si>
    <t>SAMPLES TAKEN BY ESRISS PROJECT IN FOUR EZBAS IN BEHEIRA GOVERNORATE: El Ashara (Besentway, Abo Hommus), Kabeel (Zawyet Ghazal, Damanhur), El Hadery (Besentway, Abo Hommos) and Minshet Nassar (Zawyet Ghazal, Damanhur)</t>
  </si>
  <si>
    <r>
      <rPr>
        <b/>
        <sz val="11"/>
        <rFont val="Calibri"/>
        <family val="2"/>
      </rPr>
      <t>Hadery</t>
    </r>
    <r>
      <rPr>
        <sz val="11"/>
        <rFont val="Calibri"/>
        <family val="2"/>
      </rPr>
      <t xml:space="preserve">
17.04.2013</t>
    </r>
  </si>
  <si>
    <r>
      <rPr>
        <b/>
        <sz val="11"/>
        <rFont val="Calibri"/>
        <family val="2"/>
        <scheme val="minor"/>
      </rPr>
      <t>Minshet Nassar</t>
    </r>
    <r>
      <rPr>
        <sz val="11"/>
        <rFont val="Calibri"/>
        <family val="2"/>
        <scheme val="minor"/>
      </rPr>
      <t xml:space="preserve">
24.04.2013</t>
    </r>
  </si>
  <si>
    <r>
      <rPr>
        <b/>
        <sz val="11"/>
        <rFont val="Calibri"/>
        <family val="2"/>
        <scheme val="minor"/>
      </rPr>
      <t>Minshet Nassar</t>
    </r>
    <r>
      <rPr>
        <sz val="11"/>
        <rFont val="Calibri"/>
        <family val="2"/>
        <scheme val="minor"/>
      </rPr>
      <t xml:space="preserve">
29.04.2013</t>
    </r>
  </si>
  <si>
    <r>
      <rPr>
        <b/>
        <sz val="11"/>
        <color theme="1"/>
        <rFont val="Calibri"/>
        <family val="2"/>
      </rPr>
      <t>Hadery</t>
    </r>
    <r>
      <rPr>
        <sz val="11"/>
        <color theme="1"/>
        <rFont val="Calibri"/>
        <family val="2"/>
      </rPr>
      <t xml:space="preserve">
09.04.2013</t>
    </r>
  </si>
  <si>
    <t>&lt;95.5</t>
  </si>
  <si>
    <r>
      <rPr>
        <b/>
        <sz val="11"/>
        <color theme="1"/>
        <rFont val="Calibri"/>
        <family val="2"/>
      </rPr>
      <t>Minshet Nassar</t>
    </r>
    <r>
      <rPr>
        <sz val="11"/>
        <color theme="1"/>
        <rFont val="Calibri"/>
        <family val="2"/>
      </rPr>
      <t xml:space="preserve">
04.04.2013</t>
    </r>
  </si>
  <si>
    <r>
      <rPr>
        <b/>
        <sz val="11"/>
        <color theme="1"/>
        <rFont val="Calibri"/>
        <family val="2"/>
      </rPr>
      <t>Minshet Nassar</t>
    </r>
    <r>
      <rPr>
        <sz val="11"/>
        <color theme="1"/>
        <rFont val="Calibri"/>
        <family val="2"/>
      </rPr>
      <t xml:space="preserve">
23.04.2013</t>
    </r>
  </si>
  <si>
    <t>SAMPLES TAKEN BY ESRISS PROJECT IN THREE EZBAS IN BEHEIRA GOVERNORATE: Hamamee (Abo Hommos), Minshet Nassar (Zawyet Ghazal, Damanhur) and Kawm an Nuss (Bulin, Kafr el Dawar)</t>
  </si>
  <si>
    <r>
      <rPr>
        <b/>
        <sz val="11"/>
        <color theme="1"/>
        <rFont val="Calibri"/>
        <family val="2"/>
      </rPr>
      <t>Hamamee</t>
    </r>
    <r>
      <rPr>
        <b/>
        <vertAlign val="superscript"/>
        <sz val="11"/>
        <color theme="1"/>
        <rFont val="Calibri"/>
        <family val="2"/>
      </rPr>
      <t>1</t>
    </r>
    <r>
      <rPr>
        <sz val="11"/>
        <color theme="1"/>
        <rFont val="Calibri"/>
        <family val="2"/>
      </rPr>
      <t xml:space="preserve">
31.01.2012</t>
    </r>
  </si>
  <si>
    <r>
      <t>Ashara</t>
    </r>
    <r>
      <rPr>
        <vertAlign val="superscript"/>
        <sz val="11"/>
        <color theme="1"/>
        <rFont val="Calibri"/>
        <family val="2"/>
        <scheme val="minor"/>
      </rPr>
      <t>1</t>
    </r>
    <r>
      <rPr>
        <b/>
        <sz val="11"/>
        <color theme="1"/>
        <rFont val="Calibri"/>
        <family val="2"/>
        <scheme val="minor"/>
      </rPr>
      <t xml:space="preserve">
</t>
    </r>
    <r>
      <rPr>
        <sz val="11"/>
        <color theme="1"/>
        <rFont val="Calibri"/>
        <family val="2"/>
        <scheme val="minor"/>
      </rPr>
      <t>06.02.2012</t>
    </r>
  </si>
  <si>
    <r>
      <t>Khediry</t>
    </r>
    <r>
      <rPr>
        <vertAlign val="superscript"/>
        <sz val="11"/>
        <rFont val="Calibri"/>
        <family val="2"/>
        <scheme val="minor"/>
      </rPr>
      <t>1</t>
    </r>
    <r>
      <rPr>
        <b/>
        <sz val="11"/>
        <rFont val="Calibri"/>
        <family val="2"/>
        <scheme val="minor"/>
      </rPr>
      <t xml:space="preserve"> </t>
    </r>
    <r>
      <rPr>
        <i/>
        <sz val="9"/>
        <rFont val="Calibri"/>
        <family val="2"/>
        <scheme val="minor"/>
      </rPr>
      <t>(ezba next to Ashara</t>
    </r>
    <r>
      <rPr>
        <b/>
        <sz val="9"/>
        <rFont val="Calibri"/>
        <family val="2"/>
        <scheme val="minor"/>
      </rPr>
      <t>)</t>
    </r>
    <r>
      <rPr>
        <sz val="11"/>
        <rFont val="Calibri"/>
        <family val="2"/>
        <scheme val="minor"/>
      </rPr>
      <t xml:space="preserve">
06.02.2012</t>
    </r>
  </si>
  <si>
    <r>
      <rPr>
        <vertAlign val="superscript"/>
        <sz val="10"/>
        <color theme="1"/>
        <rFont val="Calibri"/>
        <family val="2"/>
        <scheme val="minor"/>
      </rPr>
      <t>1</t>
    </r>
    <r>
      <rPr>
        <sz val="10"/>
        <color theme="1"/>
        <rFont val="Calibri"/>
        <family val="2"/>
        <scheme val="minor"/>
      </rPr>
      <t xml:space="preserve"> Result need to be confirmed by other samples taken in winter</t>
    </r>
  </si>
  <si>
    <t>Sampling of septage was made directly from the vacuum trucks. 500 ml of septage was collected at the beginning of discharging of the truck, when it was half empty and shortly before the end, to make sure that the septage analysed will be as close as possible to what would actually reach a treatment unit. The samples were subsequently mixed in a 1.5 L plastic bottle and refrigerated immediately.
The incoherent values have been deleted</t>
  </si>
  <si>
    <t>Raw wastewater was collected directly from the outlet of the informal sewerage or from a manhole as close to it as possible. In order to eliminate the effect of individual events a composite sample was produced from 50ml subsample taken 15min apart from 8 am to 1 pm.
The incoherent values have been deleted</t>
  </si>
  <si>
    <t>LIQUID MANURE</t>
  </si>
  <si>
    <t>SEPTAGE</t>
  </si>
  <si>
    <t>SEWAGE</t>
  </si>
  <si>
    <t>6:15-7:30</t>
  </si>
  <si>
    <t>7:45-9:00</t>
  </si>
  <si>
    <t>9:15-10:30</t>
  </si>
  <si>
    <t>10:45-12:00</t>
  </si>
  <si>
    <t>13:45-15:00</t>
  </si>
  <si>
    <t>15:15-16:30</t>
  </si>
  <si>
    <t>16:45-18:00</t>
  </si>
  <si>
    <t>18:15-19:30</t>
  </si>
  <si>
    <t>19:45-21:00</t>
  </si>
  <si>
    <t>21:15-22:30</t>
  </si>
  <si>
    <t>22:45-24:00</t>
  </si>
  <si>
    <t>00:15-01:30</t>
  </si>
  <si>
    <t>01:45-03:00</t>
  </si>
  <si>
    <t>03:15-04:30</t>
  </si>
  <si>
    <t>04:45-06:00</t>
  </si>
  <si>
    <t>Flow</t>
  </si>
  <si>
    <t>L/min</t>
  </si>
  <si>
    <t>17-18.06.2013</t>
  </si>
  <si>
    <t>&lt;0.006</t>
  </si>
  <si>
    <t>&lt;0.022</t>
  </si>
  <si>
    <t>&lt;0.066</t>
  </si>
  <si>
    <t>&lt;0.4</t>
  </si>
  <si>
    <t>&lt;0.8</t>
  </si>
  <si>
    <t>&lt;47.8</t>
  </si>
  <si>
    <t>&lt;49.2</t>
  </si>
  <si>
    <t>&lt;111.0</t>
  </si>
  <si>
    <t>&lt;9.0</t>
  </si>
  <si>
    <t>&lt;5.4</t>
  </si>
  <si>
    <t>&lt;9.1</t>
  </si>
  <si>
    <t>WEIGHT.
AVERAGE</t>
  </si>
  <si>
    <t>12:00-
13-30</t>
  </si>
  <si>
    <t>CONTINOUS SAMPLING TAKEN BY ESRISS PROJECT IN BEHEIRA GOVERNORATE: Kawm an Nuss</t>
  </si>
  <si>
    <t>The sampling was done in three days in order to sample all the hour of a day. Each sample were composed of 6 subsamples of 200ml taking 15min apart (one sample = 1:30 hour). The flow was measured every 15min by measuring the time needed for an 18 liter bucket to fill up</t>
  </si>
  <si>
    <r>
      <t>Kabeel</t>
    </r>
    <r>
      <rPr>
        <b/>
        <vertAlign val="superscript"/>
        <sz val="11"/>
        <color theme="1"/>
        <rFont val="Calibri"/>
        <family val="2"/>
        <scheme val="minor"/>
      </rPr>
      <t>1</t>
    </r>
    <r>
      <rPr>
        <b/>
        <sz val="11"/>
        <color theme="1"/>
        <rFont val="Calibri"/>
        <family val="2"/>
        <scheme val="minor"/>
      </rPr>
      <t xml:space="preserve">
</t>
    </r>
    <r>
      <rPr>
        <sz val="11"/>
        <color theme="1"/>
        <rFont val="Calibri"/>
        <family val="2"/>
        <scheme val="minor"/>
      </rPr>
      <t>01.02.2012</t>
    </r>
  </si>
  <si>
    <r>
      <t>Ashara</t>
    </r>
    <r>
      <rPr>
        <b/>
        <vertAlign val="superscript"/>
        <sz val="11"/>
        <color theme="1"/>
        <rFont val="Calibri"/>
        <family val="2"/>
        <scheme val="minor"/>
      </rPr>
      <t>1</t>
    </r>
    <r>
      <rPr>
        <b/>
        <sz val="11"/>
        <color theme="1"/>
        <rFont val="Calibri"/>
        <family val="2"/>
        <scheme val="minor"/>
      </rPr>
      <t xml:space="preserve">
</t>
    </r>
    <r>
      <rPr>
        <sz val="11"/>
        <color theme="1"/>
        <rFont val="Calibri"/>
        <family val="2"/>
        <scheme val="minor"/>
      </rPr>
      <t>02.02.2012</t>
    </r>
  </si>
  <si>
    <r>
      <rPr>
        <vertAlign val="superscript"/>
        <sz val="10"/>
        <color theme="1"/>
        <rFont val="Calibri"/>
        <family val="2"/>
        <scheme val="minor"/>
      </rPr>
      <t>1</t>
    </r>
    <r>
      <rPr>
        <sz val="10"/>
        <color theme="1"/>
        <rFont val="Calibri"/>
        <family val="2"/>
        <scheme val="minor"/>
      </rPr>
      <t xml:space="preserve"> The concentration of nitrate, ammonium and orthophosphate do not represents what can be found in fresh sewage, they should be taken as indicative values (see Baseline data report, chapter 5.1.1 Result of sampling campaign - Daily variation)</t>
    </r>
  </si>
  <si>
    <r>
      <t>NO2-N</t>
    </r>
    <r>
      <rPr>
        <b/>
        <vertAlign val="superscript"/>
        <sz val="11"/>
        <color theme="1"/>
        <rFont val="Calibri"/>
        <family val="2"/>
        <scheme val="minor"/>
      </rPr>
      <t>1</t>
    </r>
  </si>
  <si>
    <r>
      <t>NO3-N</t>
    </r>
    <r>
      <rPr>
        <b/>
        <vertAlign val="superscript"/>
        <sz val="11"/>
        <color theme="1"/>
        <rFont val="Calibri"/>
        <family val="2"/>
        <scheme val="minor"/>
      </rPr>
      <t>1</t>
    </r>
  </si>
  <si>
    <r>
      <t>NH4-N</t>
    </r>
    <r>
      <rPr>
        <b/>
        <vertAlign val="superscript"/>
        <sz val="11"/>
        <color theme="1"/>
        <rFont val="Calibri"/>
        <family val="2"/>
        <scheme val="minor"/>
      </rPr>
      <t>1</t>
    </r>
  </si>
  <si>
    <r>
      <t>PO4-P</t>
    </r>
    <r>
      <rPr>
        <b/>
        <vertAlign val="superscript"/>
        <sz val="11"/>
        <color theme="1"/>
        <rFont val="Calibri"/>
        <family val="2"/>
        <scheme val="minor"/>
      </rPr>
      <t>1</t>
    </r>
  </si>
  <si>
    <r>
      <rPr>
        <b/>
        <sz val="11"/>
        <color theme="1"/>
        <rFont val="Calibri"/>
        <family val="2"/>
      </rPr>
      <t>Kawm an Nuss</t>
    </r>
    <r>
      <rPr>
        <b/>
        <vertAlign val="superscript"/>
        <sz val="11"/>
        <color theme="1"/>
        <rFont val="Calibri"/>
        <family val="2"/>
      </rPr>
      <t>2</t>
    </r>
    <r>
      <rPr>
        <sz val="11"/>
        <color theme="1"/>
        <rFont val="Calibri"/>
        <family val="2"/>
      </rPr>
      <t xml:space="preserve">
16.04.2013</t>
    </r>
  </si>
  <si>
    <r>
      <rPr>
        <vertAlign val="superscript"/>
        <sz val="10"/>
        <color theme="1"/>
        <rFont val="Calibri"/>
        <family val="2"/>
        <scheme val="minor"/>
      </rPr>
      <t>2</t>
    </r>
    <r>
      <rPr>
        <sz val="10"/>
        <color theme="1"/>
        <rFont val="Calibri"/>
        <family val="2"/>
        <scheme val="minor"/>
      </rPr>
      <t xml:space="preserve"> Unclogging happened during sampling, thus values are much higher, sample has not been taken in account for average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</si>
</sst>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1" x14ac:knownFonts="1">
    <font>
      <sz val="11"/>
      <color theme="1"/>
      <name val="Calibri"/>
      <family val="2"/>
      <scheme val="minor"/>
    </font>
    <font>
      <b/>
      <sz val="11"/>
      <color theme="1"/>
      <name val="Calibri"/>
      <family val="2"/>
      <scheme val="minor"/>
    </font>
    <font>
      <sz val="10"/>
      <name val="Arial"/>
      <family val="2"/>
    </font>
    <font>
      <vertAlign val="subscript"/>
      <sz val="10"/>
      <name val="Arial"/>
      <family val="2"/>
    </font>
    <font>
      <vertAlign val="superscript"/>
      <sz val="10"/>
      <name val="Arial"/>
      <family val="2"/>
    </font>
    <font>
      <i/>
      <sz val="10"/>
      <name val="Arial"/>
      <family val="2"/>
    </font>
    <font>
      <b/>
      <sz val="10"/>
      <name val="Arial"/>
      <family val="2"/>
    </font>
    <font>
      <sz val="9"/>
      <color theme="1"/>
      <name val="Arial"/>
      <family val="2"/>
    </font>
    <font>
      <vertAlign val="subscript"/>
      <sz val="9"/>
      <color theme="1"/>
      <name val="Arial"/>
      <family val="2"/>
    </font>
    <font>
      <b/>
      <sz val="14"/>
      <color theme="1"/>
      <name val="Calibri"/>
      <family val="2"/>
      <scheme val="minor"/>
    </font>
    <font>
      <b/>
      <sz val="9"/>
      <color theme="1"/>
      <name val="Arial"/>
      <family val="2"/>
    </font>
    <font>
      <i/>
      <sz val="11"/>
      <color theme="1"/>
      <name val="Calibri"/>
      <family val="2"/>
      <scheme val="minor"/>
    </font>
    <font>
      <b/>
      <i/>
      <sz val="11"/>
      <color theme="1"/>
      <name val="Calibri"/>
      <family val="2"/>
      <scheme val="minor"/>
    </font>
    <font>
      <sz val="10"/>
      <color theme="1"/>
      <name val="Calibri"/>
      <family val="2"/>
      <scheme val="minor"/>
    </font>
    <font>
      <b/>
      <sz val="11"/>
      <name val="Calibri"/>
      <family val="2"/>
      <scheme val="minor"/>
    </font>
    <font>
      <i/>
      <sz val="9"/>
      <name val="Calibri"/>
      <family val="2"/>
      <scheme val="minor"/>
    </font>
    <font>
      <b/>
      <sz val="9"/>
      <name val="Calibri"/>
      <family val="2"/>
      <scheme val="minor"/>
    </font>
    <font>
      <sz val="11"/>
      <name val="Calibri"/>
      <family val="2"/>
      <scheme val="minor"/>
    </font>
    <font>
      <sz val="9"/>
      <color theme="1"/>
      <name val="Calibri"/>
      <family val="2"/>
      <scheme val="minor"/>
    </font>
    <font>
      <i/>
      <sz val="9"/>
      <color theme="1"/>
      <name val="Calibri"/>
      <family val="2"/>
      <scheme val="minor"/>
    </font>
    <font>
      <b/>
      <sz val="12"/>
      <name val="Arial"/>
      <family val="2"/>
    </font>
    <font>
      <b/>
      <i/>
      <sz val="12"/>
      <name val="Arial"/>
      <family val="2"/>
    </font>
    <font>
      <b/>
      <sz val="12"/>
      <color theme="1"/>
      <name val="Calibri"/>
      <family val="2"/>
      <scheme val="minor"/>
    </font>
    <font>
      <b/>
      <sz val="9"/>
      <color theme="1"/>
      <name val="Calibri"/>
      <family val="2"/>
      <scheme val="minor"/>
    </font>
    <font>
      <b/>
      <sz val="10"/>
      <color theme="1"/>
      <name val="Calibri"/>
      <family val="2"/>
      <scheme val="minor"/>
    </font>
    <font>
      <sz val="11"/>
      <color theme="1"/>
      <name val="Calibri"/>
      <family val="2"/>
    </font>
    <font>
      <b/>
      <sz val="11"/>
      <color theme="1"/>
      <name val="Calibri"/>
      <family val="2"/>
    </font>
    <font>
      <sz val="11"/>
      <name val="Calibri"/>
      <family val="2"/>
    </font>
    <font>
      <b/>
      <sz val="11"/>
      <name val="Calibri"/>
      <family val="2"/>
    </font>
    <font>
      <sz val="10"/>
      <name val="Calibri"/>
      <family val="2"/>
      <scheme val="minor"/>
    </font>
    <font>
      <b/>
      <vertAlign val="superscript"/>
      <sz val="11"/>
      <color theme="1"/>
      <name val="Calibri"/>
      <family val="2"/>
    </font>
    <font>
      <vertAlign val="superscript"/>
      <sz val="10"/>
      <color theme="1"/>
      <name val="Calibri"/>
      <family val="2"/>
      <scheme val="minor"/>
    </font>
    <font>
      <vertAlign val="superscript"/>
      <sz val="11"/>
      <color theme="1"/>
      <name val="Calibri"/>
      <family val="2"/>
      <scheme val="minor"/>
    </font>
    <font>
      <vertAlign val="superscript"/>
      <sz val="11"/>
      <name val="Calibri"/>
      <family val="2"/>
      <scheme val="minor"/>
    </font>
    <font>
      <sz val="11"/>
      <color rgb="FF0070C0"/>
      <name val="Calibri"/>
      <family val="2"/>
      <scheme val="minor"/>
    </font>
    <font>
      <sz val="11"/>
      <color rgb="FF000000"/>
      <name val="Calibri"/>
      <family val="2"/>
    </font>
    <font>
      <sz val="11"/>
      <color rgb="FFFF0000"/>
      <name val="Calibri"/>
      <family val="2"/>
    </font>
    <font>
      <b/>
      <vertAlign val="superscript"/>
      <sz val="11"/>
      <color theme="1"/>
      <name val="Calibri"/>
      <family val="2"/>
      <scheme val="minor"/>
    </font>
    <font>
      <i/>
      <sz val="11"/>
      <name val="Calibri"/>
      <family val="2"/>
    </font>
    <font>
      <i/>
      <sz val="11"/>
      <name val="Calibri"/>
      <family val="2"/>
      <scheme val="minor"/>
    </font>
    <font>
      <i/>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D6E3BC"/>
        <bgColor indexed="64"/>
      </patternFill>
    </fill>
    <fill>
      <patternFill patternType="solid">
        <fgColor rgb="FFFFFF99"/>
        <bgColor indexed="64"/>
      </patternFill>
    </fill>
    <fill>
      <patternFill patternType="solid">
        <fgColor theme="0" tint="-0.14996795556505021"/>
        <bgColor indexed="64"/>
      </patternFill>
    </fill>
    <fill>
      <patternFill patternType="solid">
        <fgColor rgb="FFFDE9D9"/>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thin">
        <color indexed="64"/>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335">
    <xf numFmtId="0" fontId="0" fillId="0" borderId="0" xfId="0"/>
    <xf numFmtId="0" fontId="2" fillId="0" borderId="0" xfId="0" applyFont="1"/>
    <xf numFmtId="164" fontId="5" fillId="2" borderId="0" xfId="0" applyNumberFormat="1" applyFont="1" applyFill="1" applyAlignment="1">
      <alignment horizontal="center"/>
    </xf>
    <xf numFmtId="164" fontId="6" fillId="2" borderId="0" xfId="0" applyNumberFormat="1" applyFont="1" applyFill="1" applyAlignment="1">
      <alignment horizontal="center"/>
    </xf>
    <xf numFmtId="0" fontId="0" fillId="0" borderId="1" xfId="0" applyBorder="1" applyAlignment="1">
      <alignment horizontal="center"/>
    </xf>
    <xf numFmtId="0" fontId="0" fillId="0" borderId="1" xfId="0" applyBorder="1" applyAlignment="1">
      <alignment horizontal="center" shrinkToFit="1"/>
    </xf>
    <xf numFmtId="0" fontId="0" fillId="0" borderId="1" xfId="0" applyBorder="1" applyAlignment="1">
      <alignment shrinkToFit="1"/>
    </xf>
    <xf numFmtId="0" fontId="0" fillId="3" borderId="1" xfId="0" applyFill="1" applyBorder="1" applyAlignment="1">
      <alignment horizontal="center" shrinkToFit="1"/>
    </xf>
    <xf numFmtId="0" fontId="0" fillId="0" borderId="1" xfId="0" applyFill="1" applyBorder="1" applyAlignment="1">
      <alignment horizontal="center" shrinkToFit="1"/>
    </xf>
    <xf numFmtId="0" fontId="2" fillId="0" borderId="1" xfId="0" applyFont="1" applyBorder="1" applyAlignment="1">
      <alignment horizontal="center" shrinkToFit="1"/>
    </xf>
    <xf numFmtId="0" fontId="2" fillId="3" borderId="1" xfId="0" applyFont="1" applyFill="1" applyBorder="1" applyAlignment="1">
      <alignment horizontal="center" shrinkToFit="1"/>
    </xf>
    <xf numFmtId="0" fontId="6" fillId="2" borderId="0" xfId="0" applyFont="1" applyFill="1" applyAlignment="1">
      <alignment horizontal="center"/>
    </xf>
    <xf numFmtId="14" fontId="0" fillId="0" borderId="2" xfId="0" applyNumberFormat="1" applyBorder="1" applyAlignment="1">
      <alignment horizontal="center"/>
    </xf>
    <xf numFmtId="0" fontId="6" fillId="0" borderId="1" xfId="0" applyFont="1" applyBorder="1" applyAlignment="1">
      <alignment horizontal="center" shrinkToFit="1"/>
    </xf>
    <xf numFmtId="0" fontId="6" fillId="3" borderId="1" xfId="0" applyFont="1" applyFill="1" applyBorder="1" applyAlignment="1">
      <alignment horizontal="center" shrinkToFit="1"/>
    </xf>
    <xf numFmtId="0" fontId="6" fillId="0" borderId="0" xfId="0" applyFont="1"/>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1" fontId="0" fillId="0" borderId="0" xfId="0" applyNumberFormat="1"/>
    <xf numFmtId="11" fontId="2" fillId="0" borderId="1" xfId="0" applyNumberFormat="1" applyFont="1" applyBorder="1" applyAlignment="1">
      <alignment horizontal="center" shrinkToFit="1"/>
    </xf>
    <xf numFmtId="11" fontId="0" fillId="0" borderId="1" xfId="0" applyNumberFormat="1" applyBorder="1" applyAlignment="1">
      <alignment horizontal="center" shrinkToFit="1"/>
    </xf>
    <xf numFmtId="11" fontId="0" fillId="0" borderId="1" xfId="0" applyNumberFormat="1" applyFill="1" applyBorder="1" applyAlignment="1">
      <alignment horizontal="center"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 fillId="0" borderId="0" xfId="0" applyFont="1"/>
    <xf numFmtId="0" fontId="9" fillId="0" borderId="0" xfId="0" applyFont="1"/>
    <xf numFmtId="0" fontId="10"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2" borderId="5" xfId="0" applyFill="1" applyBorder="1"/>
    <xf numFmtId="0" fontId="7" fillId="2" borderId="10" xfId="0" applyFont="1" applyFill="1" applyBorder="1" applyAlignment="1">
      <alignment horizontal="center" vertical="center" wrapText="1"/>
    </xf>
    <xf numFmtId="14" fontId="7" fillId="2" borderId="10" xfId="0" applyNumberFormat="1" applyFont="1" applyFill="1" applyBorder="1" applyAlignment="1">
      <alignment horizontal="center" vertical="center" wrapText="1"/>
    </xf>
    <xf numFmtId="14" fontId="7" fillId="2" borderId="10" xfId="0" applyNumberFormat="1" applyFont="1" applyFill="1" applyBorder="1" applyAlignment="1">
      <alignment vertical="center" wrapText="1"/>
    </xf>
    <xf numFmtId="14" fontId="7" fillId="2" borderId="9"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3" fillId="0" borderId="0" xfId="0" applyFont="1"/>
    <xf numFmtId="0" fontId="10"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1" fontId="1" fillId="2" borderId="15" xfId="0" applyNumberFormat="1" applyFont="1" applyFill="1" applyBorder="1" applyAlignment="1">
      <alignment horizontal="center" vertical="center"/>
    </xf>
    <xf numFmtId="1" fontId="1" fillId="2" borderId="17" xfId="0" applyNumberFormat="1" applyFont="1" applyFill="1" applyBorder="1" applyAlignment="1">
      <alignment horizontal="center" vertical="center"/>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1" fontId="1" fillId="6" borderId="15" xfId="0" applyNumberFormat="1" applyFont="1" applyFill="1" applyBorder="1" applyAlignment="1">
      <alignment horizontal="center"/>
    </xf>
    <xf numFmtId="1" fontId="11" fillId="6" borderId="16" xfId="0" applyNumberFormat="1" applyFont="1" applyFill="1" applyBorder="1" applyAlignment="1">
      <alignment horizontal="center"/>
    </xf>
    <xf numFmtId="1" fontId="1" fillId="6" borderId="17" xfId="0" applyNumberFormat="1" applyFont="1" applyFill="1" applyBorder="1" applyAlignment="1">
      <alignment horizontal="center"/>
    </xf>
    <xf numFmtId="1" fontId="11" fillId="6" borderId="18" xfId="0" applyNumberFormat="1" applyFont="1" applyFill="1" applyBorder="1" applyAlignment="1">
      <alignment horizontal="center"/>
    </xf>
    <xf numFmtId="0" fontId="1" fillId="0" borderId="19" xfId="0" applyFont="1" applyBorder="1" applyAlignment="1">
      <alignment horizontal="center" vertical="center" wrapText="1"/>
    </xf>
    <xf numFmtId="0" fontId="1" fillId="6" borderId="20" xfId="0" applyFont="1" applyFill="1" applyBorder="1"/>
    <xf numFmtId="14" fontId="7" fillId="2" borderId="9"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7" fillId="2" borderId="5" xfId="0" applyFont="1" applyFill="1" applyBorder="1"/>
    <xf numFmtId="164" fontId="1" fillId="2" borderId="1" xfId="0" applyNumberFormat="1" applyFont="1" applyFill="1" applyBorder="1" applyAlignment="1">
      <alignment horizontal="center"/>
    </xf>
    <xf numFmtId="164" fontId="11" fillId="2" borderId="1" xfId="0" applyNumberFormat="1" applyFont="1" applyFill="1" applyBorder="1" applyAlignment="1">
      <alignment horizontal="center"/>
    </xf>
    <xf numFmtId="0" fontId="19" fillId="0" borderId="0" xfId="0" applyFont="1" applyAlignment="1">
      <alignment horizontal="center"/>
    </xf>
    <xf numFmtId="164" fontId="19" fillId="0" borderId="0" xfId="0" applyNumberFormat="1" applyFont="1" applyAlignment="1">
      <alignment horizontal="center"/>
    </xf>
    <xf numFmtId="0" fontId="19" fillId="0" borderId="0" xfId="0" applyFont="1" applyAlignment="1">
      <alignment horizontal="left"/>
    </xf>
    <xf numFmtId="164" fontId="18" fillId="0" borderId="0" xfId="0" applyNumberFormat="1" applyFont="1" applyAlignment="1">
      <alignment horizontal="center"/>
    </xf>
    <xf numFmtId="0" fontId="7" fillId="2" borderId="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center"/>
    </xf>
    <xf numFmtId="0" fontId="10" fillId="2" borderId="15" xfId="0" applyFont="1" applyFill="1" applyBorder="1" applyAlignment="1">
      <alignment horizontal="center" vertical="center" wrapText="1"/>
    </xf>
    <xf numFmtId="0" fontId="13" fillId="0" borderId="11" xfId="0" applyFont="1" applyBorder="1" applyAlignment="1">
      <alignment horizontal="center"/>
    </xf>
    <xf numFmtId="0" fontId="7" fillId="2" borderId="6" xfId="0" applyFont="1" applyFill="1" applyBorder="1" applyAlignment="1">
      <alignment horizontal="center" vertical="center" wrapText="1"/>
    </xf>
    <xf numFmtId="0" fontId="20" fillId="0" borderId="0" xfId="0" applyFont="1" applyAlignment="1">
      <alignment horizontal="left"/>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1" fontId="11" fillId="2" borderId="11" xfId="0" applyNumberFormat="1" applyFont="1" applyFill="1" applyBorder="1" applyAlignment="1">
      <alignment horizontal="center" vertical="center"/>
    </xf>
    <xf numFmtId="1" fontId="11" fillId="2" borderId="26" xfId="0" applyNumberFormat="1" applyFont="1" applyFill="1" applyBorder="1" applyAlignment="1">
      <alignment horizontal="center" vertical="center"/>
    </xf>
    <xf numFmtId="1" fontId="0" fillId="2" borderId="16" xfId="0" applyNumberFormat="1" applyFont="1" applyFill="1" applyBorder="1" applyAlignment="1">
      <alignment horizontal="center" vertical="center"/>
    </xf>
    <xf numFmtId="1" fontId="0" fillId="2" borderId="18" xfId="0" applyNumberFormat="1" applyFont="1" applyFill="1" applyBorder="1" applyAlignment="1">
      <alignment horizontal="center" vertical="center"/>
    </xf>
    <xf numFmtId="0" fontId="10" fillId="2" borderId="16" xfId="0" applyFont="1" applyFill="1" applyBorder="1" applyAlignment="1">
      <alignment horizontal="center" vertical="center" wrapText="1"/>
    </xf>
    <xf numFmtId="1" fontId="11" fillId="6" borderId="11" xfId="0" applyNumberFormat="1" applyFont="1" applyFill="1" applyBorder="1" applyAlignment="1">
      <alignment horizontal="center"/>
    </xf>
    <xf numFmtId="1" fontId="11" fillId="6" borderId="26" xfId="0" applyNumberFormat="1" applyFont="1" applyFill="1" applyBorder="1" applyAlignment="1">
      <alignment horizontal="center"/>
    </xf>
    <xf numFmtId="0" fontId="1" fillId="0" borderId="11" xfId="0" applyFont="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xf>
    <xf numFmtId="0" fontId="13"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 fontId="13" fillId="0" borderId="0" xfId="0" applyNumberFormat="1" applyFont="1"/>
    <xf numFmtId="2" fontId="13" fillId="0" borderId="0" xfId="0" applyNumberFormat="1" applyFont="1"/>
    <xf numFmtId="1" fontId="1"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2" fontId="1"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0" xfId="0" applyNumberFormat="1" applyFont="1" applyBorder="1" applyAlignment="1">
      <alignment vertical="center" wrapText="1"/>
    </xf>
    <xf numFmtId="164" fontId="1" fillId="0" borderId="0" xfId="0" applyNumberFormat="1" applyFont="1" applyBorder="1" applyAlignment="1">
      <alignment horizontal="center" vertical="center" wrapText="1"/>
    </xf>
    <xf numFmtId="164" fontId="13" fillId="0" borderId="0" xfId="0" applyNumberFormat="1" applyFont="1"/>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3" fillId="0" borderId="0" xfId="0" applyFont="1" applyFill="1" applyBorder="1"/>
    <xf numFmtId="164" fontId="1" fillId="2" borderId="0"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wrapText="1"/>
    </xf>
    <xf numFmtId="1" fontId="1" fillId="5" borderId="0" xfId="0" applyNumberFormat="1" applyFont="1" applyFill="1" applyBorder="1" applyAlignment="1">
      <alignment horizontal="center" vertical="center" wrapText="1"/>
    </xf>
    <xf numFmtId="2" fontId="1" fillId="5" borderId="0" xfId="0" applyNumberFormat="1" applyFont="1" applyFill="1" applyBorder="1" applyAlignment="1">
      <alignment horizontal="center" vertical="center" wrapText="1"/>
    </xf>
    <xf numFmtId="164" fontId="1" fillId="5" borderId="0" xfId="0" applyNumberFormat="1" applyFont="1" applyFill="1" applyBorder="1" applyAlignment="1">
      <alignment horizontal="center" vertical="center" wrapText="1"/>
    </xf>
    <xf numFmtId="0" fontId="13" fillId="0" borderId="0" xfId="0" applyFont="1" applyFill="1"/>
    <xf numFmtId="2" fontId="6" fillId="0" borderId="32" xfId="0" applyNumberFormat="1" applyFont="1" applyFill="1" applyBorder="1" applyAlignment="1"/>
    <xf numFmtId="2" fontId="6" fillId="0" borderId="0" xfId="0" applyNumberFormat="1" applyFont="1" applyFill="1" applyBorder="1" applyAlignment="1"/>
    <xf numFmtId="2" fontId="6" fillId="0" borderId="0" xfId="0" applyNumberFormat="1" applyFont="1" applyFill="1" applyBorder="1" applyAlignment="1">
      <alignment wrapText="1"/>
    </xf>
    <xf numFmtId="0" fontId="1" fillId="0" borderId="28"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3" xfId="0" applyFont="1" applyBorder="1" applyAlignment="1">
      <alignment horizontal="center" vertical="center" wrapText="1"/>
    </xf>
    <xf numFmtId="164" fontId="0" fillId="0" borderId="3" xfId="0" applyNumberFormat="1" applyFont="1" applyBorder="1" applyAlignment="1">
      <alignment horizontal="center" vertical="center" wrapText="1"/>
    </xf>
    <xf numFmtId="0" fontId="1"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2" fontId="0" fillId="0" borderId="34" xfId="0" applyNumberFormat="1" applyFont="1" applyBorder="1" applyAlignment="1">
      <alignment horizontal="center" vertical="center" wrapText="1"/>
    </xf>
    <xf numFmtId="1" fontId="1" fillId="5" borderId="34" xfId="0" applyNumberFormat="1" applyFont="1" applyFill="1" applyBorder="1" applyAlignment="1">
      <alignment horizontal="center" vertical="center" wrapText="1"/>
    </xf>
    <xf numFmtId="1" fontId="0" fillId="0" borderId="34" xfId="0" applyNumberFormat="1" applyFont="1" applyBorder="1" applyAlignment="1">
      <alignment horizontal="center" vertical="center" wrapText="1"/>
    </xf>
    <xf numFmtId="1" fontId="0" fillId="0" borderId="34" xfId="0" applyNumberFormat="1" applyBorder="1" applyAlignment="1">
      <alignment horizontal="center" vertical="center" wrapText="1"/>
    </xf>
    <xf numFmtId="2" fontId="1" fillId="5" borderId="34" xfId="0" applyNumberFormat="1" applyFont="1" applyFill="1" applyBorder="1" applyAlignment="1">
      <alignment horizontal="center" vertical="center" wrapText="1"/>
    </xf>
    <xf numFmtId="2" fontId="0" fillId="0" borderId="34" xfId="0" applyNumberFormat="1" applyBorder="1" applyAlignment="1">
      <alignment horizontal="center" vertical="center" wrapText="1"/>
    </xf>
    <xf numFmtId="164" fontId="1" fillId="5" borderId="34" xfId="0" applyNumberFormat="1" applyFont="1" applyFill="1" applyBorder="1" applyAlignment="1">
      <alignment horizontal="center" vertical="center" wrapText="1"/>
    </xf>
    <xf numFmtId="164" fontId="0" fillId="0" borderId="34" xfId="0" applyNumberFormat="1" applyFont="1" applyBorder="1" applyAlignment="1">
      <alignment horizontal="center" vertical="center" wrapText="1"/>
    </xf>
    <xf numFmtId="1" fontId="1" fillId="5" borderId="2" xfId="0" applyNumberFormat="1" applyFont="1" applyFill="1" applyBorder="1" applyAlignment="1">
      <alignment horizontal="center" vertical="center" wrapText="1"/>
    </xf>
    <xf numFmtId="1" fontId="0" fillId="0" borderId="2" xfId="0" applyNumberFormat="1" applyFont="1" applyBorder="1" applyAlignment="1">
      <alignment horizontal="center" vertical="center" wrapText="1"/>
    </xf>
    <xf numFmtId="164" fontId="27" fillId="0" borderId="3" xfId="0" applyNumberFormat="1" applyFont="1" applyFill="1" applyBorder="1" applyAlignment="1">
      <alignment horizontal="center" vertical="center"/>
    </xf>
    <xf numFmtId="0" fontId="0" fillId="0" borderId="32" xfId="0" applyBorder="1" applyAlignment="1">
      <alignment horizontal="center" vertical="center" wrapText="1"/>
    </xf>
    <xf numFmtId="0" fontId="27" fillId="0" borderId="34" xfId="0" applyFont="1" applyFill="1" applyBorder="1" applyAlignment="1">
      <alignment horizontal="center" vertical="center"/>
    </xf>
    <xf numFmtId="2" fontId="27" fillId="0" borderId="34" xfId="0" applyNumberFormat="1" applyFont="1" applyFill="1" applyBorder="1" applyAlignment="1">
      <alignment horizontal="center" vertical="center"/>
    </xf>
    <xf numFmtId="1" fontId="0" fillId="0" borderId="32" xfId="0" applyNumberFormat="1" applyFont="1" applyBorder="1" applyAlignment="1">
      <alignment horizontal="center" vertical="center" wrapText="1"/>
    </xf>
    <xf numFmtId="1" fontId="27" fillId="0" borderId="34" xfId="0" applyNumberFormat="1" applyFont="1" applyFill="1" applyBorder="1" applyAlignment="1">
      <alignment horizontal="center" vertical="center"/>
    </xf>
    <xf numFmtId="0" fontId="17" fillId="0" borderId="34" xfId="0" applyFont="1" applyFill="1" applyBorder="1" applyAlignment="1">
      <alignment horizontal="center" vertical="center"/>
    </xf>
    <xf numFmtId="0" fontId="17" fillId="0" borderId="34" xfId="0" applyFont="1" applyFill="1" applyBorder="1" applyAlignment="1">
      <alignment horizontal="center"/>
    </xf>
    <xf numFmtId="0" fontId="17" fillId="0" borderId="34" xfId="0" applyFont="1" applyBorder="1" applyAlignment="1">
      <alignment horizontal="center"/>
    </xf>
    <xf numFmtId="0" fontId="0" fillId="0" borderId="32" xfId="0" applyFont="1" applyBorder="1" applyAlignment="1">
      <alignment horizontal="center" vertical="center" wrapText="1"/>
    </xf>
    <xf numFmtId="165" fontId="27" fillId="0" borderId="34" xfId="0" applyNumberFormat="1" applyFont="1" applyFill="1" applyBorder="1" applyAlignment="1">
      <alignment horizontal="center" vertical="center"/>
    </xf>
    <xf numFmtId="2" fontId="0" fillId="0" borderId="32" xfId="0" applyNumberFormat="1" applyBorder="1" applyAlignment="1">
      <alignment horizontal="center" vertical="center" wrapText="1"/>
    </xf>
    <xf numFmtId="164" fontId="27" fillId="0" borderId="34" xfId="0" applyNumberFormat="1" applyFont="1" applyFill="1" applyBorder="1" applyAlignment="1">
      <alignment horizontal="center" vertical="center"/>
    </xf>
    <xf numFmtId="2" fontId="0" fillId="0" borderId="25" xfId="0" applyNumberFormat="1" applyBorder="1" applyAlignment="1">
      <alignment horizontal="center" vertical="center" wrapText="1"/>
    </xf>
    <xf numFmtId="0" fontId="27" fillId="0" borderId="2" xfId="0" applyNumberFormat="1" applyFont="1" applyFill="1" applyBorder="1" applyAlignment="1">
      <alignment horizontal="center" vertical="center"/>
    </xf>
    <xf numFmtId="0" fontId="1" fillId="5" borderId="2" xfId="0" applyFont="1" applyFill="1" applyBorder="1" applyAlignment="1">
      <alignment horizontal="center" vertical="center" wrapText="1"/>
    </xf>
    <xf numFmtId="0" fontId="0" fillId="0" borderId="25" xfId="0" applyBorder="1" applyAlignment="1">
      <alignment horizontal="center" vertical="center" wrapText="1"/>
    </xf>
    <xf numFmtId="0" fontId="27" fillId="0" borderId="2" xfId="0" applyFont="1" applyFill="1" applyBorder="1" applyAlignment="1">
      <alignment horizontal="center" vertical="center"/>
    </xf>
    <xf numFmtId="2" fontId="27" fillId="0" borderId="2" xfId="0" applyNumberFormat="1" applyFont="1" applyFill="1" applyBorder="1" applyAlignment="1">
      <alignment horizontal="center" vertical="center"/>
    </xf>
    <xf numFmtId="1" fontId="0" fillId="0" borderId="25" xfId="0" applyNumberFormat="1" applyFont="1" applyBorder="1" applyAlignment="1">
      <alignment horizontal="center" vertical="center" wrapText="1"/>
    </xf>
    <xf numFmtId="0" fontId="29" fillId="0" borderId="2" xfId="0" applyFont="1" applyBorder="1" applyAlignment="1">
      <alignment horizontal="center"/>
    </xf>
    <xf numFmtId="164" fontId="0" fillId="0" borderId="2" xfId="0" applyNumberFormat="1" applyFont="1" applyBorder="1" applyAlignment="1">
      <alignment horizontal="center" vertical="center" wrapText="1"/>
    </xf>
    <xf numFmtId="0" fontId="0" fillId="0" borderId="3" xfId="0" applyBorder="1" applyAlignment="1">
      <alignment horizontal="center"/>
    </xf>
    <xf numFmtId="0" fontId="0" fillId="0" borderId="34" xfId="0" applyBorder="1" applyAlignment="1">
      <alignment horizontal="center"/>
    </xf>
    <xf numFmtId="2" fontId="17" fillId="0" borderId="34" xfId="0" applyNumberFormat="1" applyFont="1" applyFill="1" applyBorder="1" applyAlignment="1">
      <alignment horizontal="center"/>
    </xf>
    <xf numFmtId="2" fontId="27" fillId="0" borderId="34" xfId="0" applyNumberFormat="1" applyFont="1" applyFill="1" applyBorder="1" applyAlignment="1">
      <alignment horizontal="center"/>
    </xf>
    <xf numFmtId="0" fontId="27" fillId="0" borderId="34" xfId="0" applyNumberFormat="1" applyFont="1" applyFill="1" applyBorder="1" applyAlignment="1">
      <alignment horizontal="center" vertical="center"/>
    </xf>
    <xf numFmtId="0" fontId="0" fillId="0" borderId="2" xfId="0" applyBorder="1" applyAlignment="1">
      <alignment horizontal="center"/>
    </xf>
    <xf numFmtId="164" fontId="1" fillId="5" borderId="2" xfId="0" applyNumberFormat="1" applyFont="1" applyFill="1" applyBorder="1" applyAlignment="1">
      <alignment horizontal="center" vertical="center" wrapText="1"/>
    </xf>
    <xf numFmtId="2"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2" fontId="0" fillId="0" borderId="2" xfId="0" applyNumberFormat="1" applyFont="1" applyBorder="1" applyAlignment="1">
      <alignment horizontal="center" vertical="center" wrapText="1"/>
    </xf>
    <xf numFmtId="0" fontId="13" fillId="0" borderId="0" xfId="0" applyFont="1" applyAlignment="1">
      <alignment wrapText="1"/>
    </xf>
    <xf numFmtId="164" fontId="0" fillId="2" borderId="0" xfId="0" applyNumberFormat="1" applyFont="1" applyFill="1" applyBorder="1" applyAlignment="1">
      <alignment horizontal="center" vertical="center" wrapText="1"/>
    </xf>
    <xf numFmtId="1" fontId="0" fillId="2" borderId="0" xfId="0" applyNumberFormat="1" applyFont="1" applyFill="1" applyBorder="1" applyAlignment="1">
      <alignment horizontal="center" vertical="center" wrapText="1"/>
    </xf>
    <xf numFmtId="2" fontId="0" fillId="2"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164" fontId="35" fillId="0" borderId="32"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164" fontId="35" fillId="0" borderId="33"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5" fillId="0" borderId="33" xfId="0" applyNumberFormat="1" applyFont="1" applyFill="1" applyBorder="1" applyAlignment="1">
      <alignment horizontal="center" vertical="center"/>
    </xf>
    <xf numFmtId="164" fontId="0" fillId="0" borderId="32"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33" xfId="0" applyNumberFormat="1" applyFont="1" applyFill="1" applyBorder="1" applyAlignment="1">
      <alignment horizontal="center"/>
    </xf>
    <xf numFmtId="164" fontId="27" fillId="0" borderId="32" xfId="0" applyNumberFormat="1" applyFont="1" applyFill="1" applyBorder="1" applyAlignment="1">
      <alignment horizontal="center" vertical="center"/>
    </xf>
    <xf numFmtId="0" fontId="17" fillId="0" borderId="3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3" xfId="0" applyFont="1" applyFill="1" applyBorder="1" applyAlignment="1">
      <alignment horizontal="center" vertical="center"/>
    </xf>
    <xf numFmtId="1" fontId="17" fillId="0" borderId="32"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1" fontId="17" fillId="0" borderId="33" xfId="0" applyNumberFormat="1" applyFont="1" applyFill="1" applyBorder="1" applyAlignment="1">
      <alignment horizontal="center" vertical="center"/>
    </xf>
    <xf numFmtId="0" fontId="34" fillId="0" borderId="32"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13" fillId="0" borderId="32" xfId="0" applyFont="1" applyBorder="1" applyAlignment="1">
      <alignment horizontal="center"/>
    </xf>
    <xf numFmtId="0" fontId="13" fillId="0" borderId="0" xfId="0" applyFont="1" applyBorder="1" applyAlignment="1">
      <alignment horizontal="center"/>
    </xf>
    <xf numFmtId="0" fontId="13" fillId="0" borderId="33" xfId="0" applyFont="1" applyBorder="1" applyAlignment="1">
      <alignment horizontal="center"/>
    </xf>
    <xf numFmtId="164" fontId="0" fillId="0" borderId="3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164" fontId="36" fillId="0" borderId="0" xfId="0" applyNumberFormat="1" applyFont="1" applyFill="1" applyBorder="1" applyAlignment="1">
      <alignment horizontal="center" vertical="center"/>
    </xf>
    <xf numFmtId="165" fontId="36" fillId="0" borderId="0" xfId="0" applyNumberFormat="1" applyFont="1" applyFill="1" applyBorder="1" applyAlignment="1">
      <alignment horizontal="center" vertical="center"/>
    </xf>
    <xf numFmtId="1" fontId="1" fillId="5" borderId="3" xfId="0" applyNumberFormat="1" applyFont="1" applyFill="1" applyBorder="1" applyAlignment="1">
      <alignment horizontal="center" vertical="center" wrapText="1"/>
    </xf>
    <xf numFmtId="1" fontId="0" fillId="0" borderId="28" xfId="0" applyNumberFormat="1" applyFont="1" applyBorder="1" applyAlignment="1">
      <alignment horizontal="center" vertical="center" wrapText="1"/>
    </xf>
    <xf numFmtId="0" fontId="17" fillId="0" borderId="3" xfId="0" applyFont="1" applyFill="1" applyBorder="1" applyAlignment="1">
      <alignment horizontal="center" vertical="center"/>
    </xf>
    <xf numFmtId="0" fontId="17" fillId="0" borderId="3" xfId="0" applyFont="1" applyFill="1" applyBorder="1" applyAlignment="1">
      <alignment horizontal="center"/>
    </xf>
    <xf numFmtId="1" fontId="27" fillId="0" borderId="2" xfId="0" applyNumberFormat="1" applyFont="1" applyFill="1" applyBorder="1" applyAlignment="1">
      <alignment horizontal="center" vertical="center"/>
    </xf>
    <xf numFmtId="165" fontId="27" fillId="0" borderId="28" xfId="0" applyNumberFormat="1" applyFont="1" applyFill="1" applyBorder="1" applyAlignment="1">
      <alignment horizontal="center" vertical="center"/>
    </xf>
    <xf numFmtId="0" fontId="27" fillId="0" borderId="25" xfId="0" applyNumberFormat="1" applyFont="1" applyFill="1" applyBorder="1" applyAlignment="1">
      <alignment horizontal="center" vertical="center"/>
    </xf>
    <xf numFmtId="165" fontId="27" fillId="0" borderId="3" xfId="0" applyNumberFormat="1" applyFont="1" applyFill="1" applyBorder="1" applyAlignment="1">
      <alignment horizontal="center" vertical="center"/>
    </xf>
    <xf numFmtId="1" fontId="0"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0" fontId="17" fillId="0" borderId="32"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33" xfId="0" applyFont="1" applyFill="1" applyBorder="1" applyAlignment="1">
      <alignment horizontal="right" vertical="center"/>
    </xf>
    <xf numFmtId="0" fontId="1" fillId="5" borderId="1" xfId="0" applyFont="1" applyFill="1" applyBorder="1" applyAlignment="1">
      <alignment horizontal="center" vertical="center" wrapText="1"/>
    </xf>
    <xf numFmtId="164" fontId="0" fillId="0" borderId="25" xfId="0" applyNumberFormat="1" applyBorder="1" applyAlignment="1">
      <alignment horizontal="center"/>
    </xf>
    <xf numFmtId="164" fontId="0" fillId="0" borderId="31" xfId="0" applyNumberFormat="1" applyBorder="1" applyAlignment="1">
      <alignment horizontal="center"/>
    </xf>
    <xf numFmtId="164" fontId="0" fillId="0" borderId="35" xfId="0" applyNumberFormat="1" applyBorder="1" applyAlignment="1">
      <alignment horizontal="center"/>
    </xf>
    <xf numFmtId="164" fontId="27" fillId="0" borderId="25" xfId="0" applyNumberFormat="1" applyFont="1" applyFill="1" applyBorder="1" applyAlignment="1">
      <alignment horizontal="center" vertical="center"/>
    </xf>
    <xf numFmtId="164" fontId="27" fillId="0" borderId="31" xfId="0" applyNumberFormat="1" applyFont="1" applyFill="1" applyBorder="1" applyAlignment="1">
      <alignment horizontal="center" vertical="center"/>
    </xf>
    <xf numFmtId="164" fontId="27" fillId="0" borderId="35" xfId="0" applyNumberFormat="1" applyFont="1" applyFill="1" applyBorder="1" applyAlignment="1">
      <alignment horizontal="center" vertical="center"/>
    </xf>
    <xf numFmtId="164" fontId="17" fillId="0" borderId="25" xfId="0" applyNumberFormat="1" applyFont="1" applyBorder="1" applyAlignment="1">
      <alignment horizont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1" fontId="17" fillId="0" borderId="28"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xf>
    <xf numFmtId="1" fontId="17" fillId="0" borderId="30" xfId="0" applyNumberFormat="1" applyFont="1" applyFill="1" applyBorder="1" applyAlignment="1">
      <alignment horizontal="center" vertical="center"/>
    </xf>
    <xf numFmtId="1" fontId="17" fillId="0" borderId="25" xfId="0" applyNumberFormat="1" applyFont="1" applyFill="1" applyBorder="1" applyAlignment="1">
      <alignment horizontal="center" vertical="center"/>
    </xf>
    <xf numFmtId="1" fontId="17" fillId="0" borderId="31" xfId="0" applyNumberFormat="1" applyFont="1" applyFill="1" applyBorder="1" applyAlignment="1">
      <alignment horizontal="center" vertical="center"/>
    </xf>
    <xf numFmtId="1" fontId="17" fillId="0" borderId="35" xfId="0" applyNumberFormat="1" applyFont="1" applyFill="1" applyBorder="1" applyAlignment="1">
      <alignment horizontal="center" vertical="center"/>
    </xf>
    <xf numFmtId="0" fontId="34" fillId="0" borderId="25"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5" xfId="0" applyFont="1" applyFill="1" applyBorder="1" applyAlignment="1">
      <alignment horizontal="center" vertical="center"/>
    </xf>
    <xf numFmtId="164" fontId="1" fillId="2" borderId="28" xfId="0" applyNumberFormat="1" applyFont="1" applyFill="1" applyBorder="1" applyAlignment="1">
      <alignment horizontal="center" vertical="center" wrapText="1"/>
    </xf>
    <xf numFmtId="164" fontId="1" fillId="2" borderId="29"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164" fontId="1" fillId="2" borderId="25" xfId="0" applyNumberFormat="1" applyFont="1" applyFill="1" applyBorder="1" applyAlignment="1">
      <alignment horizontal="center" vertical="center" wrapText="1"/>
    </xf>
    <xf numFmtId="164" fontId="1" fillId="2" borderId="31"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24" xfId="0" applyNumberFormat="1" applyFont="1" applyFill="1" applyBorder="1" applyAlignment="1">
      <alignment horizontal="center" vertical="center"/>
    </xf>
    <xf numFmtId="0" fontId="0" fillId="0" borderId="31" xfId="0" applyBorder="1" applyAlignment="1">
      <alignment horizontal="center" vertical="center" wrapText="1"/>
    </xf>
    <xf numFmtId="20" fontId="0" fillId="0" borderId="31" xfId="0" applyNumberFormat="1" applyBorder="1" applyAlignment="1">
      <alignment horizontal="center" vertical="center" wrapText="1"/>
    </xf>
    <xf numFmtId="0" fontId="0" fillId="0" borderId="35" xfId="0" applyBorder="1" applyAlignment="1">
      <alignment horizontal="center" vertical="center" wrapText="1"/>
    </xf>
    <xf numFmtId="2" fontId="14" fillId="2" borderId="2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2" borderId="32" xfId="0" applyNumberFormat="1" applyFont="1" applyFill="1" applyBorder="1" applyAlignment="1">
      <alignment horizontal="center" vertical="center" wrapText="1"/>
    </xf>
    <xf numFmtId="1" fontId="1" fillId="2" borderId="32" xfId="0" applyNumberFormat="1" applyFont="1" applyFill="1" applyBorder="1" applyAlignment="1">
      <alignment horizontal="center" vertical="center" wrapText="1"/>
    </xf>
    <xf numFmtId="0" fontId="0" fillId="0" borderId="1" xfId="0" applyBorder="1"/>
    <xf numFmtId="0" fontId="0" fillId="0" borderId="3" xfId="0" applyFont="1" applyBorder="1" applyAlignment="1">
      <alignment vertical="center"/>
    </xf>
    <xf numFmtId="0" fontId="1" fillId="0" borderId="2" xfId="0" applyFont="1" applyBorder="1" applyAlignment="1">
      <alignment horizontal="center" vertical="center" wrapText="1"/>
    </xf>
    <xf numFmtId="164" fontId="0" fillId="2" borderId="31" xfId="0" applyNumberFormat="1" applyFont="1" applyFill="1" applyBorder="1" applyAlignment="1">
      <alignment horizontal="center" vertical="center" wrapText="1"/>
    </xf>
    <xf numFmtId="2" fontId="14" fillId="2" borderId="29" xfId="0" applyNumberFormat="1" applyFont="1" applyFill="1" applyBorder="1" applyAlignment="1">
      <alignment horizontal="center" vertical="center" wrapText="1"/>
    </xf>
    <xf numFmtId="2" fontId="14" fillId="2" borderId="29" xfId="0" applyNumberFormat="1" applyFont="1" applyFill="1" applyBorder="1" applyAlignment="1">
      <alignment horizontal="center" vertical="center"/>
    </xf>
    <xf numFmtId="2" fontId="14" fillId="2" borderId="28" xfId="0" applyNumberFormat="1" applyFont="1" applyFill="1" applyBorder="1" applyAlignment="1">
      <alignment horizontal="center" vertical="center"/>
    </xf>
    <xf numFmtId="0" fontId="13" fillId="0" borderId="0" xfId="0" applyFont="1"/>
    <xf numFmtId="0" fontId="13" fillId="0" borderId="0" xfId="0" applyFont="1" applyAlignment="1">
      <alignment wrapText="1"/>
    </xf>
    <xf numFmtId="164" fontId="38" fillId="0" borderId="3" xfId="0" applyNumberFormat="1" applyFont="1" applyFill="1" applyBorder="1" applyAlignment="1">
      <alignment horizontal="center" vertical="center"/>
    </xf>
    <xf numFmtId="2" fontId="38" fillId="0" borderId="34" xfId="0" applyNumberFormat="1" applyFont="1" applyFill="1" applyBorder="1" applyAlignment="1">
      <alignment horizontal="center" vertical="center"/>
    </xf>
    <xf numFmtId="2" fontId="38" fillId="0" borderId="2" xfId="0" applyNumberFormat="1" applyFont="1" applyFill="1" applyBorder="1" applyAlignment="1">
      <alignment horizontal="center" vertical="center"/>
    </xf>
    <xf numFmtId="0" fontId="39" fillId="0" borderId="3" xfId="0" applyFont="1" applyFill="1" applyBorder="1" applyAlignment="1">
      <alignment horizontal="center" vertical="center"/>
    </xf>
    <xf numFmtId="1" fontId="38" fillId="0" borderId="2" xfId="0" applyNumberFormat="1" applyFont="1" applyFill="1" applyBorder="1" applyAlignment="1">
      <alignment horizontal="center" vertical="center"/>
    </xf>
    <xf numFmtId="0" fontId="39" fillId="0" borderId="34" xfId="0" applyFont="1" applyFill="1" applyBorder="1" applyAlignment="1">
      <alignment horizontal="center" vertical="center"/>
    </xf>
    <xf numFmtId="0" fontId="40" fillId="0" borderId="2" xfId="0" applyFont="1" applyBorder="1" applyAlignment="1">
      <alignment horizontal="center"/>
    </xf>
    <xf numFmtId="165" fontId="38" fillId="0" borderId="30" xfId="0" applyNumberFormat="1" applyFont="1" applyFill="1" applyBorder="1" applyAlignment="1">
      <alignment horizontal="center" vertical="center"/>
    </xf>
    <xf numFmtId="164" fontId="38" fillId="0" borderId="33" xfId="0" applyNumberFormat="1" applyFont="1" applyFill="1" applyBorder="1" applyAlignment="1">
      <alignment horizontal="center" vertical="center"/>
    </xf>
    <xf numFmtId="0" fontId="38" fillId="0" borderId="35" xfId="0" applyNumberFormat="1" applyFont="1" applyFill="1" applyBorder="1" applyAlignment="1">
      <alignment horizontal="center" vertical="center"/>
    </xf>
    <xf numFmtId="0" fontId="39" fillId="0" borderId="2" xfId="0" applyFont="1" applyFill="1" applyBorder="1" applyAlignment="1">
      <alignment horizontal="center" vertical="center"/>
    </xf>
    <xf numFmtId="165" fontId="38" fillId="0" borderId="34" xfId="0" applyNumberFormat="1" applyFont="1" applyFill="1" applyBorder="1" applyAlignment="1">
      <alignment horizontal="center" vertical="center"/>
    </xf>
    <xf numFmtId="164" fontId="38" fillId="0" borderId="34" xfId="0" applyNumberFormat="1" applyFont="1" applyFill="1" applyBorder="1" applyAlignment="1">
      <alignment horizontal="center" vertical="center"/>
    </xf>
    <xf numFmtId="0" fontId="38" fillId="0" borderId="2" xfId="0" applyNumberFormat="1" applyFont="1" applyFill="1" applyBorder="1" applyAlignment="1">
      <alignment horizontal="center" vertical="center"/>
    </xf>
    <xf numFmtId="1" fontId="1" fillId="2" borderId="30" xfId="0" applyNumberFormat="1" applyFont="1" applyFill="1" applyBorder="1" applyAlignment="1">
      <alignment horizontal="center" vertical="center" wrapText="1"/>
    </xf>
    <xf numFmtId="1" fontId="1" fillId="2" borderId="35" xfId="0" applyNumberFormat="1" applyFont="1" applyFill="1" applyBorder="1" applyAlignment="1">
      <alignment horizontal="center" vertical="center" wrapText="1"/>
    </xf>
    <xf numFmtId="1" fontId="1" fillId="2" borderId="33" xfId="0" applyNumberFormat="1" applyFont="1" applyFill="1" applyBorder="1" applyAlignment="1">
      <alignment horizontal="center" vertical="center" wrapText="1"/>
    </xf>
    <xf numFmtId="0" fontId="22" fillId="0" borderId="0" xfId="0" applyFont="1" applyAlignment="1">
      <alignment horizontal="left" vertical="top" wrapText="1"/>
    </xf>
    <xf numFmtId="0" fontId="13" fillId="0" borderId="0" xfId="0" applyFont="1" applyAlignment="1">
      <alignment horizontal="left" vertical="top"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2" fillId="8" borderId="1" xfId="0" applyFont="1" applyFill="1" applyBorder="1" applyAlignment="1">
      <alignment horizontal="center" vertical="center"/>
    </xf>
    <xf numFmtId="0" fontId="22" fillId="8" borderId="11" xfId="0" applyFont="1" applyFill="1" applyBorder="1" applyAlignment="1">
      <alignment horizontal="center" vertical="center"/>
    </xf>
    <xf numFmtId="0" fontId="13" fillId="0" borderId="0" xfId="0" applyFont="1" applyAlignment="1">
      <alignment horizontal="left" wrapText="1"/>
    </xf>
    <xf numFmtId="14" fontId="26" fillId="0" borderId="28" xfId="0" applyNumberFormat="1"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11" xfId="0" applyFont="1" applyBorder="1" applyAlignment="1">
      <alignment horizontal="center" vertical="center"/>
    </xf>
    <xf numFmtId="0" fontId="0" fillId="0" borderId="27" xfId="0" applyBorder="1" applyAlignment="1">
      <alignment horizontal="center" vertical="center"/>
    </xf>
    <xf numFmtId="0" fontId="22" fillId="0" borderId="0" xfId="0" applyFont="1" applyAlignment="1">
      <alignment horizontal="left" wrapText="1"/>
    </xf>
    <xf numFmtId="2" fontId="14" fillId="2" borderId="29"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29" xfId="0" applyNumberFormat="1" applyFont="1" applyFill="1" applyBorder="1" applyAlignment="1">
      <alignment horizontal="center" vertical="center"/>
    </xf>
    <xf numFmtId="2" fontId="14" fillId="2" borderId="31" xfId="0" applyNumberFormat="1" applyFont="1" applyFill="1" applyBorder="1" applyAlignment="1">
      <alignment horizontal="center" vertical="center"/>
    </xf>
    <xf numFmtId="2" fontId="14" fillId="2" borderId="28" xfId="0" applyNumberFormat="1" applyFont="1" applyFill="1" applyBorder="1" applyAlignment="1">
      <alignment horizontal="center" vertical="center"/>
    </xf>
    <xf numFmtId="2" fontId="14" fillId="2" borderId="25" xfId="0" applyNumberFormat="1" applyFont="1" applyFill="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3" fillId="0" borderId="0" xfId="0" applyFont="1" applyAlignment="1">
      <alignment wrapText="1"/>
    </xf>
    <xf numFmtId="2" fontId="6" fillId="2" borderId="0" xfId="0" applyNumberFormat="1" applyFont="1" applyFill="1" applyBorder="1" applyAlignment="1">
      <alignment horizontal="center"/>
    </xf>
    <xf numFmtId="2" fontId="6" fillId="2" borderId="31" xfId="0" applyNumberFormat="1" applyFont="1" applyFill="1" applyBorder="1" applyAlignment="1">
      <alignment horizontal="center"/>
    </xf>
    <xf numFmtId="2" fontId="6" fillId="2" borderId="0" xfId="0" applyNumberFormat="1" applyFont="1" applyFill="1" applyBorder="1" applyAlignment="1">
      <alignment horizontal="center" wrapText="1"/>
    </xf>
    <xf numFmtId="2" fontId="6" fillId="2" borderId="31" xfId="0" applyNumberFormat="1" applyFont="1" applyFill="1" applyBorder="1" applyAlignment="1">
      <alignment horizontal="center" wrapText="1"/>
    </xf>
    <xf numFmtId="0" fontId="2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3" fillId="0" borderId="1" xfId="0" applyFont="1" applyBorder="1" applyAlignment="1">
      <alignment horizontal="center" wrapText="1"/>
    </xf>
    <xf numFmtId="0" fontId="24" fillId="0" borderId="11" xfId="0" applyFont="1" applyBorder="1" applyAlignment="1">
      <alignment horizontal="center" wrapText="1"/>
    </xf>
    <xf numFmtId="0" fontId="24" fillId="0" borderId="24" xfId="0" applyFont="1" applyBorder="1" applyAlignment="1">
      <alignment horizontal="center" wrapText="1"/>
    </xf>
    <xf numFmtId="0" fontId="13" fillId="0" borderId="27" xfId="0" applyFont="1" applyBorder="1" applyAlignment="1">
      <alignment horizontal="center" wrapText="1"/>
    </xf>
    <xf numFmtId="0" fontId="7"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8"/>
  <sheetViews>
    <sheetView workbookViewId="0">
      <selection activeCell="B26" sqref="B26"/>
    </sheetView>
  </sheetViews>
  <sheetFormatPr defaultColWidth="12.85546875" defaultRowHeight="12.75" x14ac:dyDescent="0.2"/>
  <cols>
    <col min="1" max="1" width="3.42578125" style="38" customWidth="1"/>
    <col min="2" max="2" width="13.28515625" style="38" customWidth="1"/>
    <col min="3" max="3" width="9.140625" style="38" customWidth="1"/>
    <col min="4" max="8" width="14.5703125" style="38" customWidth="1"/>
    <col min="9" max="13" width="10.7109375" style="38" customWidth="1"/>
    <col min="14" max="19" width="11.42578125" style="38" customWidth="1"/>
    <col min="20" max="22" width="12.85546875" style="38"/>
    <col min="23" max="23" width="9.42578125" style="38" customWidth="1"/>
    <col min="24" max="25" width="12.85546875" style="38"/>
    <col min="26" max="26" width="12.85546875" style="38" customWidth="1"/>
    <col min="27" max="16384" width="12.85546875" style="38"/>
  </cols>
  <sheetData>
    <row r="2" spans="1:13" ht="15.75" x14ac:dyDescent="0.2">
      <c r="B2" s="280" t="s">
        <v>124</v>
      </c>
      <c r="C2" s="280"/>
      <c r="D2" s="280"/>
      <c r="E2" s="280"/>
      <c r="F2" s="280"/>
      <c r="G2" s="280"/>
      <c r="H2" s="280"/>
      <c r="I2" s="280"/>
      <c r="J2" s="280"/>
      <c r="K2" s="280"/>
      <c r="L2" s="280"/>
      <c r="M2" s="280"/>
    </row>
    <row r="5" spans="1:13" ht="15.75" x14ac:dyDescent="0.2">
      <c r="B5" s="285" t="s">
        <v>133</v>
      </c>
      <c r="C5" s="286"/>
      <c r="D5" s="283" t="s">
        <v>125</v>
      </c>
      <c r="E5" s="282" t="s">
        <v>122</v>
      </c>
      <c r="F5" s="282" t="s">
        <v>122</v>
      </c>
      <c r="G5" s="282" t="s">
        <v>174</v>
      </c>
      <c r="H5" s="282" t="s">
        <v>123</v>
      </c>
      <c r="I5" s="109"/>
      <c r="J5" s="110"/>
      <c r="K5" s="110"/>
      <c r="L5" s="111"/>
      <c r="M5" s="84"/>
    </row>
    <row r="6" spans="1:13" ht="30" x14ac:dyDescent="0.2">
      <c r="A6" s="87"/>
      <c r="B6" s="113" t="s">
        <v>113</v>
      </c>
      <c r="C6" s="114" t="s">
        <v>28</v>
      </c>
      <c r="D6" s="284"/>
      <c r="E6" s="282"/>
      <c r="F6" s="282"/>
      <c r="G6" s="282"/>
      <c r="H6" s="282"/>
      <c r="I6" s="260" t="s">
        <v>55</v>
      </c>
      <c r="J6" s="259" t="s">
        <v>20</v>
      </c>
      <c r="K6" s="259" t="s">
        <v>93</v>
      </c>
      <c r="L6" s="258" t="s">
        <v>114</v>
      </c>
      <c r="M6" s="251"/>
    </row>
    <row r="7" spans="1:13" ht="15" x14ac:dyDescent="0.2">
      <c r="A7" s="87"/>
      <c r="B7" s="113" t="s">
        <v>40</v>
      </c>
      <c r="C7" s="112" t="s">
        <v>6</v>
      </c>
      <c r="D7" s="263">
        <v>6.9</v>
      </c>
      <c r="E7" s="130">
        <v>7.7338129496402885</v>
      </c>
      <c r="F7" s="130">
        <v>7.9388489208633102</v>
      </c>
      <c r="G7" s="263">
        <v>7.5660377358490578</v>
      </c>
      <c r="H7" s="130">
        <v>7.368522072936659</v>
      </c>
      <c r="I7" s="238">
        <f>AVERAGE(E7:F7,H7)</f>
        <v>7.6803946478134195</v>
      </c>
      <c r="J7" s="239">
        <f>STDEVA(E7:F7,H7)</f>
        <v>0.28889152738361379</v>
      </c>
      <c r="K7" s="239">
        <f>MAX(E7:F7,H7)</f>
        <v>7.9388489208633102</v>
      </c>
      <c r="L7" s="277">
        <f>COUNT(E7:F7,H7)</f>
        <v>3</v>
      </c>
      <c r="M7" s="117" t="s">
        <v>40</v>
      </c>
    </row>
    <row r="8" spans="1:13" ht="15" x14ac:dyDescent="0.2">
      <c r="A8" s="87"/>
      <c r="B8" s="117" t="s">
        <v>56</v>
      </c>
      <c r="C8" s="131" t="s">
        <v>12</v>
      </c>
      <c r="D8" s="264"/>
      <c r="E8" s="132"/>
      <c r="F8" s="132"/>
      <c r="G8" s="264">
        <v>0.62424999999999997</v>
      </c>
      <c r="H8" s="133"/>
      <c r="I8" s="241"/>
      <c r="J8" s="101"/>
      <c r="K8" s="101"/>
      <c r="L8" s="279"/>
      <c r="M8" s="117" t="s">
        <v>56</v>
      </c>
    </row>
    <row r="9" spans="1:13" ht="15" x14ac:dyDescent="0.2">
      <c r="A9" s="87"/>
      <c r="B9" s="145" t="s">
        <v>106</v>
      </c>
      <c r="C9" s="146" t="s">
        <v>111</v>
      </c>
      <c r="D9" s="265"/>
      <c r="E9" s="147"/>
      <c r="F9" s="147"/>
      <c r="G9" s="265">
        <v>2.4811500000000004</v>
      </c>
      <c r="H9" s="148">
        <v>1.2684</v>
      </c>
      <c r="I9" s="242">
        <f>AVERAGE(E9:F9,H9)</f>
        <v>1.2684</v>
      </c>
      <c r="J9" s="243"/>
      <c r="K9" s="243"/>
      <c r="L9" s="278">
        <f>COUNT(E9:F9,H9)</f>
        <v>1</v>
      </c>
      <c r="M9" s="117" t="s">
        <v>106</v>
      </c>
    </row>
    <row r="10" spans="1:13" ht="15" x14ac:dyDescent="0.25">
      <c r="A10" s="91"/>
      <c r="B10" s="200" t="s">
        <v>70</v>
      </c>
      <c r="C10" s="201" t="s">
        <v>12</v>
      </c>
      <c r="D10" s="266"/>
      <c r="E10" s="202">
        <v>492</v>
      </c>
      <c r="F10" s="202">
        <v>543</v>
      </c>
      <c r="G10" s="266">
        <v>950</v>
      </c>
      <c r="H10" s="203">
        <v>610</v>
      </c>
      <c r="I10" s="241">
        <f>AVERAGE(E10:F10,H10)</f>
        <v>548.33333333333337</v>
      </c>
      <c r="J10" s="101">
        <f>STDEVA(E10:F10,H10)</f>
        <v>59.180514811323953</v>
      </c>
      <c r="K10" s="101">
        <f>MAX(E10:F10,H10)</f>
        <v>610</v>
      </c>
      <c r="L10" s="102">
        <f>COUNT(E10:F10,H10)</f>
        <v>3</v>
      </c>
      <c r="M10" s="121" t="s">
        <v>70</v>
      </c>
    </row>
    <row r="11" spans="1:13" ht="15" x14ac:dyDescent="0.2">
      <c r="A11" s="91"/>
      <c r="B11" s="128" t="s">
        <v>69</v>
      </c>
      <c r="C11" s="149" t="s">
        <v>12</v>
      </c>
      <c r="D11" s="267">
        <v>1075</v>
      </c>
      <c r="E11" s="204">
        <v>678.98273043926304</v>
      </c>
      <c r="F11" s="204">
        <v>777.51584435525115</v>
      </c>
      <c r="G11" s="267">
        <v>1140.2968546822981</v>
      </c>
      <c r="H11" s="204">
        <v>907.40040360814442</v>
      </c>
      <c r="I11" s="241">
        <f>AVERAGE(E11:F11,H11)</f>
        <v>787.96632613421968</v>
      </c>
      <c r="J11" s="101">
        <f>STDEVA(E11:F11,H11)</f>
        <v>114.56687034666938</v>
      </c>
      <c r="K11" s="101">
        <f>MAX(E11:F11,H11)</f>
        <v>907.40040360814442</v>
      </c>
      <c r="L11" s="102">
        <f>COUNT(E11:F11,H11)</f>
        <v>3</v>
      </c>
      <c r="M11" s="121" t="s">
        <v>69</v>
      </c>
    </row>
    <row r="12" spans="1:13" ht="15" x14ac:dyDescent="0.25">
      <c r="A12" s="91"/>
      <c r="B12" s="121" t="s">
        <v>59</v>
      </c>
      <c r="C12" s="134" t="s">
        <v>12</v>
      </c>
      <c r="D12" s="268">
        <v>1036</v>
      </c>
      <c r="E12" s="136">
        <v>1112</v>
      </c>
      <c r="F12" s="136">
        <v>1202</v>
      </c>
      <c r="G12" s="268"/>
      <c r="H12" s="138">
        <v>1350</v>
      </c>
      <c r="I12" s="238">
        <f>AVERAGE(E12:F12,H12)</f>
        <v>1221.3333333333333</v>
      </c>
      <c r="J12" s="239">
        <f>STDEVA(E12:F12,H12)</f>
        <v>120.17209881388165</v>
      </c>
      <c r="K12" s="239">
        <f>MAX(E12:F12,H12)</f>
        <v>1350</v>
      </c>
      <c r="L12" s="277">
        <f>COUNT(E12:F12,H12)</f>
        <v>3</v>
      </c>
      <c r="M12" s="121" t="s">
        <v>59</v>
      </c>
    </row>
    <row r="13" spans="1:13" ht="15" x14ac:dyDescent="0.25">
      <c r="A13" s="91"/>
      <c r="B13" s="121" t="s">
        <v>71</v>
      </c>
      <c r="C13" s="134" t="s">
        <v>12</v>
      </c>
      <c r="D13" s="268">
        <v>245</v>
      </c>
      <c r="E13" s="136">
        <v>152</v>
      </c>
      <c r="F13" s="136">
        <v>140</v>
      </c>
      <c r="G13" s="268">
        <v>1020</v>
      </c>
      <c r="H13" s="137">
        <v>225</v>
      </c>
      <c r="I13" s="241">
        <f>AVERAGE(E13:F13,H13)</f>
        <v>172.33333333333334</v>
      </c>
      <c r="J13" s="101">
        <f>STDEVA(E13:F13,H13)</f>
        <v>46.003623045726904</v>
      </c>
      <c r="K13" s="101">
        <f>MAX(E13:F13,H13)</f>
        <v>225</v>
      </c>
      <c r="L13" s="279">
        <f>COUNT(E13:F13,H13)</f>
        <v>3</v>
      </c>
      <c r="M13" s="121" t="s">
        <v>71</v>
      </c>
    </row>
    <row r="14" spans="1:13" ht="15" x14ac:dyDescent="0.2">
      <c r="A14" s="98"/>
      <c r="B14" s="128" t="s">
        <v>68</v>
      </c>
      <c r="C14" s="149" t="s">
        <v>12</v>
      </c>
      <c r="D14" s="273">
        <v>582</v>
      </c>
      <c r="E14" s="150"/>
      <c r="F14" s="150"/>
      <c r="G14" s="269"/>
      <c r="H14" s="150"/>
      <c r="I14" s="242"/>
      <c r="J14" s="243"/>
      <c r="K14" s="243"/>
      <c r="L14" s="278"/>
      <c r="M14" s="117" t="s">
        <v>68</v>
      </c>
    </row>
    <row r="15" spans="1:13" ht="15" x14ac:dyDescent="0.2">
      <c r="A15" s="98"/>
      <c r="B15" s="124" t="s">
        <v>9</v>
      </c>
      <c r="C15" s="139" t="s">
        <v>12</v>
      </c>
      <c r="D15" s="274"/>
      <c r="E15" s="205" t="s">
        <v>153</v>
      </c>
      <c r="F15" s="207" t="s">
        <v>152</v>
      </c>
      <c r="G15" s="270" t="s">
        <v>154</v>
      </c>
      <c r="H15" s="140">
        <v>3.6765060600004916E-2</v>
      </c>
      <c r="I15" s="252">
        <f>AVERAGE(H15,0.022,0.006)</f>
        <v>2.1588353533334975E-2</v>
      </c>
      <c r="J15" s="103">
        <f>STDEVA(H15,0.022,0.006)</f>
        <v>1.5386660717668144E-2</v>
      </c>
      <c r="K15" s="103">
        <f>MAX(H15,0.022,0.006)</f>
        <v>3.6765060600004916E-2</v>
      </c>
      <c r="L15" s="102">
        <f>COUNT(H15,0.022,0.006)</f>
        <v>3</v>
      </c>
      <c r="M15" s="124" t="s">
        <v>9</v>
      </c>
    </row>
    <row r="16" spans="1:13" ht="15" x14ac:dyDescent="0.2">
      <c r="A16" s="91"/>
      <c r="B16" s="124" t="s">
        <v>8</v>
      </c>
      <c r="C16" s="141" t="s">
        <v>12</v>
      </c>
      <c r="D16" s="275"/>
      <c r="E16" s="177" t="s">
        <v>155</v>
      </c>
      <c r="F16" s="142" t="s">
        <v>155</v>
      </c>
      <c r="G16" s="271" t="s">
        <v>156</v>
      </c>
      <c r="H16" s="142">
        <v>0.39747474747474748</v>
      </c>
      <c r="I16" s="252">
        <f>AVERAGE(H16,0.4,0.4)</f>
        <v>0.39915824915824921</v>
      </c>
      <c r="J16" s="103">
        <f>STDEVA(H16,0.4,0.4)</f>
        <v>1.4579552252263371E-3</v>
      </c>
      <c r="K16" s="103">
        <f>MAX(H16,0.4,0.4)</f>
        <v>0.4</v>
      </c>
      <c r="L16" s="102">
        <f>COUNT(H16,0.4,0.4)</f>
        <v>3</v>
      </c>
      <c r="M16" s="124" t="s">
        <v>8</v>
      </c>
    </row>
    <row r="17" spans="1:14" ht="15" x14ac:dyDescent="0.2">
      <c r="A17" s="91"/>
      <c r="B17" s="121" t="s">
        <v>72</v>
      </c>
      <c r="C17" s="141" t="s">
        <v>12</v>
      </c>
      <c r="D17" s="275">
        <v>109</v>
      </c>
      <c r="E17" s="177" t="s">
        <v>157</v>
      </c>
      <c r="F17" s="142" t="s">
        <v>158</v>
      </c>
      <c r="G17" s="271" t="s">
        <v>159</v>
      </c>
      <c r="H17" s="142">
        <v>42</v>
      </c>
      <c r="I17" s="253">
        <f>AVERAGE(H17,47.8,49.2)</f>
        <v>46.333333333333336</v>
      </c>
      <c r="J17" s="102">
        <f>STDEVA(H17,47.8,49.2)</f>
        <v>3.8175035472587759</v>
      </c>
      <c r="K17" s="102">
        <f>MAX(H17,47.8,49.2)</f>
        <v>49.2</v>
      </c>
      <c r="L17" s="102">
        <f>COUNT(H17,47.8,49.2)</f>
        <v>3</v>
      </c>
      <c r="M17" s="121" t="s">
        <v>72</v>
      </c>
    </row>
    <row r="18" spans="1:14" ht="15" x14ac:dyDescent="0.2">
      <c r="A18" s="99"/>
      <c r="B18" s="128" t="s">
        <v>67</v>
      </c>
      <c r="C18" s="149" t="s">
        <v>12</v>
      </c>
      <c r="D18" s="276">
        <v>212</v>
      </c>
      <c r="E18" s="206">
        <v>113.99999999999999</v>
      </c>
      <c r="F18" s="144" t="s">
        <v>121</v>
      </c>
      <c r="G18" s="272">
        <v>154</v>
      </c>
      <c r="H18" s="144">
        <v>105</v>
      </c>
      <c r="I18" s="253">
        <f>AVERAGE(95.5,E18,H18)</f>
        <v>104.83333333333333</v>
      </c>
      <c r="J18" s="102">
        <f>STDEVA(95.5,E18,H18)</f>
        <v>9.251126057585271</v>
      </c>
      <c r="K18" s="102">
        <f>MAX(95.5,E18,H18)</f>
        <v>113.99999999999999</v>
      </c>
      <c r="L18" s="102">
        <f>COUNT(95.5,E18,H18)</f>
        <v>3</v>
      </c>
      <c r="M18" s="121" t="s">
        <v>67</v>
      </c>
    </row>
    <row r="19" spans="1:14" ht="15" x14ac:dyDescent="0.2">
      <c r="A19" s="91"/>
      <c r="B19" s="126" t="s">
        <v>105</v>
      </c>
      <c r="C19" s="134" t="s">
        <v>12</v>
      </c>
      <c r="D19" s="275"/>
      <c r="E19" s="177" t="s">
        <v>160</v>
      </c>
      <c r="F19" s="142" t="s">
        <v>161</v>
      </c>
      <c r="G19" s="271" t="s">
        <v>162</v>
      </c>
      <c r="H19" s="142">
        <v>5.6980161191577681</v>
      </c>
      <c r="I19" s="238">
        <f>AVERAGE(H19,9,5.4)</f>
        <v>6.6993387063859231</v>
      </c>
      <c r="J19" s="239">
        <f>STDEVA(H19,9,5.4)</f>
        <v>1.9979952934804326</v>
      </c>
      <c r="K19" s="239">
        <f>MAX(H19,9,5.4)</f>
        <v>9</v>
      </c>
      <c r="L19" s="277">
        <f>COUNT(H19,9,5.4)</f>
        <v>3</v>
      </c>
      <c r="M19" s="126" t="s">
        <v>105</v>
      </c>
    </row>
    <row r="20" spans="1:14" ht="15" x14ac:dyDescent="0.2">
      <c r="A20" s="100"/>
      <c r="B20" s="128" t="s">
        <v>73</v>
      </c>
      <c r="C20" s="143" t="s">
        <v>12</v>
      </c>
      <c r="D20" s="276">
        <v>6.42</v>
      </c>
      <c r="E20" s="206">
        <v>8.52</v>
      </c>
      <c r="F20" s="144">
        <v>5.88</v>
      </c>
      <c r="G20" s="272">
        <v>8.7100000000000009</v>
      </c>
      <c r="H20" s="144">
        <v>6.24</v>
      </c>
      <c r="I20" s="242">
        <f>AVERAGE(E20:F20,H20)</f>
        <v>6.88</v>
      </c>
      <c r="J20" s="243">
        <f>STDEVA(E20:F20,H20)</f>
        <v>1.4316424134538568</v>
      </c>
      <c r="K20" s="243">
        <f>MAX(E20:F20,H20)</f>
        <v>8.52</v>
      </c>
      <c r="L20" s="278">
        <f>COUNT(E20:F20,H20)</f>
        <v>3</v>
      </c>
      <c r="M20" s="128" t="s">
        <v>73</v>
      </c>
      <c r="N20" s="108"/>
    </row>
    <row r="21" spans="1:14" ht="15" x14ac:dyDescent="0.25">
      <c r="D21"/>
      <c r="E21"/>
      <c r="F21"/>
      <c r="G21"/>
      <c r="H21"/>
    </row>
    <row r="22" spans="1:14" ht="15" x14ac:dyDescent="0.25">
      <c r="B22" s="26" t="s">
        <v>102</v>
      </c>
    </row>
    <row r="23" spans="1:14" x14ac:dyDescent="0.2">
      <c r="B23" s="281" t="s">
        <v>130</v>
      </c>
      <c r="C23" s="281"/>
      <c r="D23" s="281"/>
      <c r="E23" s="281"/>
      <c r="F23" s="281"/>
      <c r="G23" s="281"/>
      <c r="H23" s="281"/>
      <c r="I23" s="281"/>
      <c r="J23" s="281"/>
    </row>
    <row r="25" spans="1:14" ht="15.75" x14ac:dyDescent="0.25">
      <c r="B25" s="38" t="s">
        <v>128</v>
      </c>
      <c r="H25" s="167"/>
      <c r="I25" s="198"/>
      <c r="J25" s="198"/>
      <c r="K25" s="198"/>
      <c r="L25"/>
    </row>
    <row r="26" spans="1:14" ht="15.75" x14ac:dyDescent="0.25">
      <c r="B26" s="261" t="s">
        <v>175</v>
      </c>
      <c r="H26" s="167"/>
      <c r="I26" s="199"/>
      <c r="J26" s="199"/>
      <c r="K26" s="199"/>
      <c r="L26"/>
    </row>
    <row r="27" spans="1:14" ht="15" x14ac:dyDescent="0.25">
      <c r="H27" s="167"/>
      <c r="I27" s="198"/>
      <c r="J27" s="198"/>
      <c r="K27" s="198"/>
      <c r="L27"/>
    </row>
    <row r="28" spans="1:14" ht="15" x14ac:dyDescent="0.25">
      <c r="H28" s="167"/>
      <c r="I28" s="198"/>
      <c r="J28" s="198"/>
      <c r="K28" s="198"/>
      <c r="L28"/>
    </row>
    <row r="29" spans="1:14" ht="15" x14ac:dyDescent="0.25">
      <c r="I29"/>
      <c r="J29"/>
      <c r="K29"/>
      <c r="L29"/>
    </row>
    <row r="30" spans="1:14" ht="15" x14ac:dyDescent="0.25">
      <c r="I30"/>
      <c r="J30"/>
      <c r="K30"/>
      <c r="L30"/>
    </row>
    <row r="31" spans="1:14" ht="15" x14ac:dyDescent="0.25">
      <c r="I31"/>
      <c r="J31"/>
      <c r="K31"/>
      <c r="L31"/>
    </row>
    <row r="32" spans="1:14" ht="15" x14ac:dyDescent="0.25">
      <c r="I32"/>
      <c r="J32"/>
      <c r="K32"/>
      <c r="L32"/>
    </row>
    <row r="33" spans="9:12" ht="15" x14ac:dyDescent="0.25">
      <c r="I33"/>
      <c r="J33"/>
      <c r="K33"/>
      <c r="L33"/>
    </row>
    <row r="34" spans="9:12" ht="15" x14ac:dyDescent="0.25">
      <c r="I34"/>
      <c r="J34"/>
      <c r="K34"/>
      <c r="L34"/>
    </row>
    <row r="35" spans="9:12" ht="15" x14ac:dyDescent="0.25">
      <c r="I35"/>
      <c r="J35"/>
      <c r="K35"/>
      <c r="L35"/>
    </row>
    <row r="36" spans="9:12" ht="15" x14ac:dyDescent="0.25">
      <c r="I36"/>
      <c r="J36"/>
      <c r="K36"/>
      <c r="L36"/>
    </row>
    <row r="37" spans="9:12" ht="15" x14ac:dyDescent="0.25">
      <c r="I37"/>
      <c r="J37"/>
      <c r="K37"/>
      <c r="L37"/>
    </row>
    <row r="38" spans="9:12" ht="15" x14ac:dyDescent="0.25">
      <c r="I38"/>
      <c r="J38"/>
      <c r="K38"/>
      <c r="L38"/>
    </row>
    <row r="39" spans="9:12" ht="15" x14ac:dyDescent="0.25">
      <c r="I39"/>
      <c r="J39"/>
      <c r="K39"/>
      <c r="L39"/>
    </row>
    <row r="40" spans="9:12" ht="15" x14ac:dyDescent="0.25">
      <c r="I40"/>
      <c r="J40"/>
      <c r="K40"/>
      <c r="L40"/>
    </row>
    <row r="41" spans="9:12" ht="15" x14ac:dyDescent="0.25">
      <c r="I41"/>
      <c r="J41"/>
      <c r="K41"/>
      <c r="L41"/>
    </row>
    <row r="42" spans="9:12" ht="15" x14ac:dyDescent="0.25">
      <c r="I42"/>
      <c r="J42"/>
      <c r="K42"/>
      <c r="L42"/>
    </row>
    <row r="43" spans="9:12" ht="15" x14ac:dyDescent="0.25">
      <c r="I43"/>
      <c r="J43"/>
      <c r="K43"/>
      <c r="L43"/>
    </row>
    <row r="44" spans="9:12" ht="15" x14ac:dyDescent="0.25">
      <c r="I44"/>
      <c r="J44"/>
      <c r="K44"/>
      <c r="L44"/>
    </row>
    <row r="45" spans="9:12" ht="15" x14ac:dyDescent="0.25">
      <c r="I45"/>
      <c r="J45"/>
      <c r="K45"/>
      <c r="L45"/>
    </row>
    <row r="46" spans="9:12" ht="15" x14ac:dyDescent="0.25">
      <c r="I46"/>
      <c r="J46"/>
      <c r="K46"/>
      <c r="L46"/>
    </row>
    <row r="47" spans="9:12" ht="15" x14ac:dyDescent="0.25">
      <c r="I47"/>
      <c r="J47"/>
      <c r="K47"/>
      <c r="L47"/>
    </row>
    <row r="48" spans="9:12" ht="15" x14ac:dyDescent="0.25">
      <c r="I48"/>
      <c r="J48"/>
      <c r="K48"/>
      <c r="L48"/>
    </row>
  </sheetData>
  <mergeCells count="8">
    <mergeCell ref="B2:M2"/>
    <mergeCell ref="B23:J23"/>
    <mergeCell ref="E5:E6"/>
    <mergeCell ref="F5:F6"/>
    <mergeCell ref="G5:G6"/>
    <mergeCell ref="D5:D6"/>
    <mergeCell ref="B5:C5"/>
    <mergeCell ref="H5:H6"/>
  </mergeCells>
  <pageMargins left="0.7" right="0.7" top="0.75" bottom="0.75" header="0.3" footer="0.3"/>
  <pageSetup paperSize="9" scale="76"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zoomScale="55" zoomScaleNormal="55" workbookViewId="0">
      <selection activeCell="B26" sqref="B26"/>
    </sheetView>
  </sheetViews>
  <sheetFormatPr defaultColWidth="12.85546875" defaultRowHeight="12.75" x14ac:dyDescent="0.2"/>
  <cols>
    <col min="1" max="1" width="3.42578125" style="38" customWidth="1"/>
    <col min="2" max="2" width="13.28515625" style="38" customWidth="1"/>
    <col min="3" max="3" width="9.140625" style="38" customWidth="1"/>
    <col min="4" max="19" width="7.5703125" style="38" customWidth="1"/>
    <col min="20" max="22" width="11.42578125" style="38" customWidth="1"/>
    <col min="23" max="23" width="12.85546875" style="38" customWidth="1"/>
    <col min="24" max="29" width="11.42578125" style="38" customWidth="1"/>
    <col min="30" max="32" width="12.85546875" style="38"/>
    <col min="33" max="33" width="9.42578125" style="38" customWidth="1"/>
    <col min="34" max="35" width="12.85546875" style="38"/>
    <col min="36" max="36" width="12.85546875" style="38" customWidth="1"/>
    <col min="37" max="16384" width="12.85546875" style="38"/>
  </cols>
  <sheetData>
    <row r="2" spans="1:23" ht="15.75" x14ac:dyDescent="0.2">
      <c r="B2" s="280" t="s">
        <v>165</v>
      </c>
      <c r="C2" s="280"/>
      <c r="D2" s="280"/>
      <c r="E2" s="280"/>
      <c r="F2" s="280"/>
      <c r="G2" s="280"/>
      <c r="H2" s="280"/>
      <c r="I2" s="280"/>
      <c r="J2" s="280"/>
      <c r="K2" s="280"/>
      <c r="L2" s="280"/>
      <c r="M2" s="280"/>
      <c r="N2" s="280"/>
      <c r="O2" s="280"/>
      <c r="P2" s="280"/>
      <c r="Q2" s="280"/>
      <c r="R2" s="280"/>
      <c r="S2" s="280"/>
      <c r="T2" s="280"/>
      <c r="U2" s="280"/>
      <c r="V2" s="280"/>
      <c r="W2" s="280"/>
    </row>
    <row r="5" spans="1:23" ht="15.75" customHeight="1" x14ac:dyDescent="0.2">
      <c r="B5" s="285" t="s">
        <v>133</v>
      </c>
      <c r="C5" s="286"/>
      <c r="D5" s="288">
        <v>41408</v>
      </c>
      <c r="E5" s="289"/>
      <c r="F5" s="289"/>
      <c r="G5" s="289"/>
      <c r="H5" s="290"/>
      <c r="I5" s="288">
        <v>41409</v>
      </c>
      <c r="J5" s="289"/>
      <c r="K5" s="289"/>
      <c r="L5" s="289"/>
      <c r="M5" s="289"/>
      <c r="N5" s="290"/>
      <c r="O5" s="291" t="s">
        <v>151</v>
      </c>
      <c r="P5" s="289"/>
      <c r="Q5" s="289"/>
      <c r="R5" s="289"/>
      <c r="S5" s="290"/>
      <c r="T5" s="110"/>
      <c r="U5" s="110"/>
      <c r="V5" s="111"/>
      <c r="W5" s="84"/>
    </row>
    <row r="6" spans="1:23" ht="30" x14ac:dyDescent="0.25">
      <c r="A6" s="87"/>
      <c r="B6" s="213" t="s">
        <v>113</v>
      </c>
      <c r="C6" s="81" t="s">
        <v>28</v>
      </c>
      <c r="D6" s="146" t="s">
        <v>134</v>
      </c>
      <c r="E6" s="247" t="s">
        <v>135</v>
      </c>
      <c r="F6" s="247" t="s">
        <v>136</v>
      </c>
      <c r="G6" s="248" t="s">
        <v>137</v>
      </c>
      <c r="H6" s="249" t="s">
        <v>164</v>
      </c>
      <c r="I6" s="146" t="s">
        <v>138</v>
      </c>
      <c r="J6" s="247" t="s">
        <v>139</v>
      </c>
      <c r="K6" s="247" t="s">
        <v>140</v>
      </c>
      <c r="L6" s="247" t="s">
        <v>141</v>
      </c>
      <c r="M6" s="247" t="s">
        <v>142</v>
      </c>
      <c r="N6" s="249" t="s">
        <v>143</v>
      </c>
      <c r="O6" s="146" t="s">
        <v>144</v>
      </c>
      <c r="P6" s="247" t="s">
        <v>145</v>
      </c>
      <c r="Q6" s="247" t="s">
        <v>146</v>
      </c>
      <c r="R6" s="247" t="s">
        <v>147</v>
      </c>
      <c r="S6" s="249" t="s">
        <v>148</v>
      </c>
      <c r="T6" s="245" t="s">
        <v>163</v>
      </c>
      <c r="U6" s="246" t="s">
        <v>93</v>
      </c>
      <c r="V6" s="250" t="s">
        <v>114</v>
      </c>
      <c r="W6" s="254"/>
    </row>
    <row r="7" spans="1:23" ht="15" x14ac:dyDescent="0.25">
      <c r="A7" s="87"/>
      <c r="B7" s="145" t="s">
        <v>149</v>
      </c>
      <c r="C7" s="146" t="s">
        <v>150</v>
      </c>
      <c r="D7" s="214">
        <v>43.333432981504679</v>
      </c>
      <c r="E7" s="215">
        <v>52.082272064153948</v>
      </c>
      <c r="F7" s="215">
        <v>89.905097676687319</v>
      </c>
      <c r="G7" s="215">
        <v>106.74315173631959</v>
      </c>
      <c r="H7" s="216">
        <v>128.27068501264452</v>
      </c>
      <c r="I7" s="214">
        <v>79.735369511704164</v>
      </c>
      <c r="J7" s="215">
        <v>64.674673711979153</v>
      </c>
      <c r="K7" s="215">
        <v>60.348960866263589</v>
      </c>
      <c r="L7" s="215">
        <v>65.314912530120026</v>
      </c>
      <c r="M7" s="215">
        <v>85.073205274286693</v>
      </c>
      <c r="N7" s="216">
        <v>100.10048712650321</v>
      </c>
      <c r="O7" s="214">
        <v>105.56221243509846</v>
      </c>
      <c r="P7" s="215">
        <v>100.94122235509941</v>
      </c>
      <c r="Q7" s="215">
        <v>76.416934725446424</v>
      </c>
      <c r="R7" s="215">
        <v>48.495634645120823</v>
      </c>
      <c r="S7" s="216">
        <v>46.681446046603469</v>
      </c>
      <c r="T7" s="238">
        <f>AVERAGE(D7:S7)</f>
        <v>78.354981168720983</v>
      </c>
      <c r="U7" s="239">
        <f t="shared" ref="U7" si="0">MAX(D7:S7)</f>
        <v>128.27068501264452</v>
      </c>
      <c r="V7" s="240">
        <f t="shared" ref="V7" si="1">COUNTA(D7:S7)</f>
        <v>16</v>
      </c>
      <c r="W7" s="113" t="s">
        <v>149</v>
      </c>
    </row>
    <row r="8" spans="1:23" ht="15" x14ac:dyDescent="0.25">
      <c r="A8" s="87"/>
      <c r="B8" s="117" t="s">
        <v>40</v>
      </c>
      <c r="C8" s="131" t="s">
        <v>6</v>
      </c>
      <c r="D8" s="169">
        <v>7.2534525273262238</v>
      </c>
      <c r="E8" s="170">
        <v>7.135529005437875</v>
      </c>
      <c r="F8" s="170">
        <v>7.1438334788102935</v>
      </c>
      <c r="G8" s="170">
        <v>7.4178811001001179</v>
      </c>
      <c r="H8" s="171">
        <v>7.5441090953608843</v>
      </c>
      <c r="I8" s="169">
        <v>7.3497844184462826</v>
      </c>
      <c r="J8" s="170">
        <v>7.3115838409331566</v>
      </c>
      <c r="K8" s="170">
        <v>7.2455484383347404</v>
      </c>
      <c r="L8" s="172">
        <v>7.1400000000000006</v>
      </c>
      <c r="M8" s="172">
        <v>7.0599999999999987</v>
      </c>
      <c r="N8" s="173">
        <v>7.044999999999999</v>
      </c>
      <c r="O8" s="174">
        <v>7.0857096217173439</v>
      </c>
      <c r="P8" s="175">
        <v>7.0504634979040759</v>
      </c>
      <c r="Q8" s="175">
        <v>6.9699009291880341</v>
      </c>
      <c r="R8" s="175">
        <v>7.0303228557250659</v>
      </c>
      <c r="S8" s="176">
        <v>7.0454283373593238</v>
      </c>
      <c r="T8" s="241">
        <f>SUMPRODUCT(D8:S8,D$7:S$7)/SUM(D$7:S$7)</f>
        <v>7.1933653407975839</v>
      </c>
      <c r="U8" s="101">
        <f t="shared" ref="U8:U14" si="2">MAX(D8:S8)</f>
        <v>7.5441090953608843</v>
      </c>
      <c r="V8" s="102">
        <f t="shared" ref="V8:V21" si="3">COUNTA(D8:S8)</f>
        <v>16</v>
      </c>
      <c r="W8" s="117" t="s">
        <v>40</v>
      </c>
    </row>
    <row r="9" spans="1:23" ht="15" x14ac:dyDescent="0.25">
      <c r="A9" s="87"/>
      <c r="B9" s="117" t="s">
        <v>56</v>
      </c>
      <c r="C9" s="131" t="s">
        <v>12</v>
      </c>
      <c r="D9" s="169">
        <v>0.42833333333333329</v>
      </c>
      <c r="E9" s="170">
        <v>0.71833333333333338</v>
      </c>
      <c r="F9" s="170">
        <v>0.57333333333333336</v>
      </c>
      <c r="G9" s="170">
        <v>0.12500000000000003</v>
      </c>
      <c r="H9" s="171">
        <v>7.0000000000000007E-2</v>
      </c>
      <c r="I9" s="169">
        <v>0.43333333333333335</v>
      </c>
      <c r="J9" s="170">
        <v>0.4549999999999999</v>
      </c>
      <c r="K9" s="170">
        <v>0.61666666666666659</v>
      </c>
      <c r="L9" s="172">
        <v>0.82333333333333325</v>
      </c>
      <c r="M9" s="172">
        <v>0.82500000000000007</v>
      </c>
      <c r="N9" s="173">
        <v>0.83</v>
      </c>
      <c r="O9" s="174">
        <v>0.76666666666666661</v>
      </c>
      <c r="P9" s="175">
        <v>0.36</v>
      </c>
      <c r="Q9" s="175">
        <v>0.57999999999999996</v>
      </c>
      <c r="R9" s="175">
        <v>0.86</v>
      </c>
      <c r="S9" s="176">
        <v>0.64500000000000002</v>
      </c>
      <c r="T9" s="241">
        <f t="shared" ref="T9:T21" si="4">SUMPRODUCT(D9:S9,D$7:S$7)/SUM(D$7:S$7)</f>
        <v>0.53561319841391808</v>
      </c>
      <c r="U9" s="103">
        <f t="shared" si="2"/>
        <v>0.86</v>
      </c>
      <c r="V9" s="102">
        <f t="shared" si="3"/>
        <v>16</v>
      </c>
      <c r="W9" s="117" t="s">
        <v>56</v>
      </c>
    </row>
    <row r="10" spans="1:23" ht="15" x14ac:dyDescent="0.25">
      <c r="A10" s="87"/>
      <c r="B10" s="145" t="s">
        <v>106</v>
      </c>
      <c r="C10" s="146" t="s">
        <v>111</v>
      </c>
      <c r="D10" s="217">
        <v>2.0546666666666664</v>
      </c>
      <c r="E10" s="218">
        <v>1.9061666666666666</v>
      </c>
      <c r="F10" s="218">
        <v>1.8908333333333334</v>
      </c>
      <c r="G10" s="218">
        <v>2.7163333333333335</v>
      </c>
      <c r="H10" s="219">
        <v>3.2983333333333333</v>
      </c>
      <c r="I10" s="217">
        <v>2.9466666666666668</v>
      </c>
      <c r="J10" s="218">
        <v>2.9983333333333335</v>
      </c>
      <c r="K10" s="218">
        <v>2.8366666666666664</v>
      </c>
      <c r="L10" s="218">
        <v>2.5400000000000005</v>
      </c>
      <c r="M10" s="218">
        <v>2.3483333333333332</v>
      </c>
      <c r="N10" s="219">
        <v>2.4449999999999998</v>
      </c>
      <c r="O10" s="220">
        <v>1.9144999999999999</v>
      </c>
      <c r="P10" s="215">
        <v>1.8744999999999998</v>
      </c>
      <c r="Q10" s="215">
        <v>1.7549999999999999</v>
      </c>
      <c r="R10" s="215">
        <v>1.7665</v>
      </c>
      <c r="S10" s="216">
        <v>1.7475000000000001</v>
      </c>
      <c r="T10" s="241">
        <f t="shared" si="4"/>
        <v>2.3726092189505876</v>
      </c>
      <c r="U10" s="103">
        <f t="shared" si="2"/>
        <v>3.2983333333333333</v>
      </c>
      <c r="V10" s="102">
        <f t="shared" si="3"/>
        <v>16</v>
      </c>
      <c r="W10" s="117" t="s">
        <v>106</v>
      </c>
    </row>
    <row r="11" spans="1:23" ht="15" x14ac:dyDescent="0.2">
      <c r="A11" s="91"/>
      <c r="B11" s="200" t="s">
        <v>70</v>
      </c>
      <c r="C11" s="201" t="s">
        <v>12</v>
      </c>
      <c r="D11" s="221">
        <v>360</v>
      </c>
      <c r="E11" s="222">
        <v>240</v>
      </c>
      <c r="F11" s="222">
        <v>250</v>
      </c>
      <c r="G11" s="222">
        <v>400</v>
      </c>
      <c r="H11" s="223">
        <v>620</v>
      </c>
      <c r="I11" s="221">
        <v>550</v>
      </c>
      <c r="J11" s="222">
        <v>600</v>
      </c>
      <c r="K11" s="222">
        <v>390</v>
      </c>
      <c r="L11" s="222">
        <v>500</v>
      </c>
      <c r="M11" s="222">
        <v>510</v>
      </c>
      <c r="N11" s="223">
        <v>400</v>
      </c>
      <c r="O11" s="224">
        <v>280</v>
      </c>
      <c r="P11" s="225">
        <v>250</v>
      </c>
      <c r="Q11" s="225">
        <v>260</v>
      </c>
      <c r="R11" s="225">
        <v>225</v>
      </c>
      <c r="S11" s="226">
        <v>200</v>
      </c>
      <c r="T11" s="241">
        <f t="shared" si="4"/>
        <v>390.84178726373261</v>
      </c>
      <c r="U11" s="102">
        <f t="shared" si="2"/>
        <v>620</v>
      </c>
      <c r="V11" s="102">
        <f t="shared" si="3"/>
        <v>16</v>
      </c>
      <c r="W11" s="121" t="s">
        <v>69</v>
      </c>
    </row>
    <row r="12" spans="1:23" ht="15" x14ac:dyDescent="0.2">
      <c r="A12" s="91"/>
      <c r="B12" s="128" t="s">
        <v>18</v>
      </c>
      <c r="C12" s="149" t="s">
        <v>12</v>
      </c>
      <c r="D12" s="227">
        <v>489.08254725572198</v>
      </c>
      <c r="E12" s="228">
        <v>413.8390784471498</v>
      </c>
      <c r="F12" s="228">
        <v>396.81972240711548</v>
      </c>
      <c r="G12" s="228">
        <v>659.27610765606551</v>
      </c>
      <c r="H12" s="229">
        <v>895.75558105443679</v>
      </c>
      <c r="I12" s="227">
        <v>842.90600177222495</v>
      </c>
      <c r="J12" s="228">
        <v>947.70940475559405</v>
      </c>
      <c r="K12" s="228">
        <v>781.99462226052333</v>
      </c>
      <c r="L12" s="228">
        <v>687.9402862498074</v>
      </c>
      <c r="M12" s="228">
        <v>639.56948487286786</v>
      </c>
      <c r="N12" s="229">
        <v>669.12941904766421</v>
      </c>
      <c r="O12" s="227">
        <v>456.83534633776276</v>
      </c>
      <c r="P12" s="228">
        <v>439.81599029772843</v>
      </c>
      <c r="Q12" s="228">
        <v>436.23296797351071</v>
      </c>
      <c r="R12" s="228">
        <v>428.17116774402075</v>
      </c>
      <c r="S12" s="229">
        <v>379.80036636708121</v>
      </c>
      <c r="T12" s="241">
        <f t="shared" si="4"/>
        <v>614.32240112775253</v>
      </c>
      <c r="U12" s="102">
        <f t="shared" si="2"/>
        <v>947.70940475559405</v>
      </c>
      <c r="V12" s="102">
        <f t="shared" si="3"/>
        <v>16</v>
      </c>
      <c r="W12" s="121" t="s">
        <v>70</v>
      </c>
    </row>
    <row r="13" spans="1:23" ht="15" x14ac:dyDescent="0.2">
      <c r="A13" s="91"/>
      <c r="B13" s="121" t="s">
        <v>59</v>
      </c>
      <c r="C13" s="134" t="s">
        <v>12</v>
      </c>
      <c r="D13" s="178">
        <v>590</v>
      </c>
      <c r="E13" s="179">
        <v>820</v>
      </c>
      <c r="F13" s="179">
        <v>972</v>
      </c>
      <c r="G13" s="179">
        <v>1062</v>
      </c>
      <c r="H13" s="180">
        <v>2100</v>
      </c>
      <c r="I13" s="178">
        <v>1540</v>
      </c>
      <c r="J13" s="179">
        <v>2100</v>
      </c>
      <c r="K13" s="179">
        <v>1600</v>
      </c>
      <c r="L13" s="179">
        <v>1620</v>
      </c>
      <c r="M13" s="179">
        <v>990</v>
      </c>
      <c r="N13" s="180">
        <v>1060</v>
      </c>
      <c r="O13" s="181">
        <v>1133.3</v>
      </c>
      <c r="P13" s="182">
        <v>1110</v>
      </c>
      <c r="Q13" s="182">
        <v>1223.3</v>
      </c>
      <c r="R13" s="182">
        <v>990</v>
      </c>
      <c r="S13" s="183">
        <v>960</v>
      </c>
      <c r="T13" s="241">
        <f t="shared" si="4"/>
        <v>1282.3710034191154</v>
      </c>
      <c r="U13" s="102">
        <f t="shared" si="2"/>
        <v>2100</v>
      </c>
      <c r="V13" s="102">
        <f t="shared" si="3"/>
        <v>16</v>
      </c>
      <c r="W13" s="121" t="s">
        <v>59</v>
      </c>
    </row>
    <row r="14" spans="1:23" ht="15" x14ac:dyDescent="0.2">
      <c r="A14" s="91"/>
      <c r="B14" s="121" t="s">
        <v>71</v>
      </c>
      <c r="C14" s="134" t="s">
        <v>12</v>
      </c>
      <c r="D14" s="184"/>
      <c r="E14" s="185"/>
      <c r="F14" s="185"/>
      <c r="G14" s="185"/>
      <c r="H14" s="186"/>
      <c r="I14" s="184"/>
      <c r="J14" s="185"/>
      <c r="K14" s="185"/>
      <c r="L14" s="187"/>
      <c r="M14" s="187"/>
      <c r="N14" s="188"/>
      <c r="O14" s="181">
        <v>46.8</v>
      </c>
      <c r="P14" s="182">
        <v>46.7</v>
      </c>
      <c r="Q14" s="182">
        <v>56.6</v>
      </c>
      <c r="R14" s="182">
        <v>60</v>
      </c>
      <c r="S14" s="183">
        <v>53.3</v>
      </c>
      <c r="T14" s="241">
        <f t="shared" si="4"/>
        <v>15.456359630372635</v>
      </c>
      <c r="U14" s="102">
        <f t="shared" si="2"/>
        <v>60</v>
      </c>
      <c r="V14" s="102">
        <f t="shared" si="3"/>
        <v>5</v>
      </c>
      <c r="W14" s="121" t="s">
        <v>71</v>
      </c>
    </row>
    <row r="15" spans="1:23" ht="15" x14ac:dyDescent="0.2">
      <c r="A15" s="98"/>
      <c r="B15" s="128" t="s">
        <v>68</v>
      </c>
      <c r="C15" s="149" t="s">
        <v>12</v>
      </c>
      <c r="D15" s="230"/>
      <c r="E15" s="231"/>
      <c r="F15" s="231"/>
      <c r="G15" s="231"/>
      <c r="H15" s="232"/>
      <c r="I15" s="230"/>
      <c r="J15" s="231"/>
      <c r="K15" s="231"/>
      <c r="L15" s="233"/>
      <c r="M15" s="233"/>
      <c r="N15" s="234"/>
      <c r="O15" s="235"/>
      <c r="P15" s="236"/>
      <c r="Q15" s="236"/>
      <c r="R15" s="236"/>
      <c r="S15" s="237"/>
      <c r="T15" s="241"/>
      <c r="U15" s="102"/>
      <c r="V15" s="102">
        <f t="shared" si="3"/>
        <v>0</v>
      </c>
      <c r="W15" s="117" t="s">
        <v>68</v>
      </c>
    </row>
    <row r="16" spans="1:23" ht="17.25" x14ac:dyDescent="0.2">
      <c r="A16" s="98"/>
      <c r="B16" s="124" t="s">
        <v>170</v>
      </c>
      <c r="C16" s="139" t="s">
        <v>12</v>
      </c>
      <c r="D16" s="189"/>
      <c r="E16" s="190"/>
      <c r="F16" s="190"/>
      <c r="G16" s="190"/>
      <c r="H16" s="191"/>
      <c r="I16" s="189"/>
      <c r="J16" s="190"/>
      <c r="K16" s="190"/>
      <c r="L16" s="190"/>
      <c r="M16" s="190"/>
      <c r="N16" s="191"/>
      <c r="O16" s="210"/>
      <c r="P16" s="211"/>
      <c r="Q16" s="211"/>
      <c r="R16" s="211"/>
      <c r="S16" s="212"/>
      <c r="T16" s="241"/>
      <c r="U16" s="103"/>
      <c r="V16" s="102">
        <f t="shared" si="3"/>
        <v>0</v>
      </c>
      <c r="W16" s="124" t="s">
        <v>170</v>
      </c>
    </row>
    <row r="17" spans="1:24" ht="17.25" x14ac:dyDescent="0.2">
      <c r="A17" s="91"/>
      <c r="B17" s="124" t="s">
        <v>171</v>
      </c>
      <c r="C17" s="141" t="s">
        <v>12</v>
      </c>
      <c r="D17" s="192">
        <v>1.490530303030303</v>
      </c>
      <c r="E17" s="193">
        <v>2.1861111111111113</v>
      </c>
      <c r="F17" s="193">
        <v>1.7886363636363636</v>
      </c>
      <c r="G17" s="193">
        <v>2.2854797979797978</v>
      </c>
      <c r="H17" s="194">
        <v>1.9873737373737372</v>
      </c>
      <c r="I17" s="192">
        <v>2.3848484848484848</v>
      </c>
      <c r="J17" s="193">
        <v>2.6829545454545456</v>
      </c>
      <c r="K17" s="193">
        <v>2.881691919191919</v>
      </c>
      <c r="L17" s="193">
        <v>2.0867424242424244</v>
      </c>
      <c r="M17" s="193">
        <v>2.5835858585858587</v>
      </c>
      <c r="N17" s="194">
        <v>3.0804292929292929</v>
      </c>
      <c r="O17" s="192">
        <v>0.59621212121212119</v>
      </c>
      <c r="P17" s="193"/>
      <c r="Q17" s="193">
        <v>0.59621212121212119</v>
      </c>
      <c r="R17" s="193">
        <v>0.89431818181818179</v>
      </c>
      <c r="S17" s="194">
        <v>0.39747474747474748</v>
      </c>
      <c r="T17" s="241">
        <f t="shared" si="4"/>
        <v>1.7632768259741634</v>
      </c>
      <c r="U17" s="103">
        <f>MAX(D17:S17)</f>
        <v>3.0804292929292929</v>
      </c>
      <c r="V17" s="102">
        <f t="shared" si="3"/>
        <v>15</v>
      </c>
      <c r="W17" s="124" t="s">
        <v>171</v>
      </c>
    </row>
    <row r="18" spans="1:24" ht="17.25" x14ac:dyDescent="0.2">
      <c r="A18" s="91"/>
      <c r="B18" s="121" t="s">
        <v>172</v>
      </c>
      <c r="C18" s="141" t="s">
        <v>12</v>
      </c>
      <c r="D18" s="192">
        <v>85.2</v>
      </c>
      <c r="E18" s="193">
        <v>68.5</v>
      </c>
      <c r="F18" s="193">
        <v>70</v>
      </c>
      <c r="G18" s="193">
        <v>124</v>
      </c>
      <c r="H18" s="194">
        <v>169</v>
      </c>
      <c r="I18" s="192">
        <v>140</v>
      </c>
      <c r="J18" s="193">
        <v>122</v>
      </c>
      <c r="K18" s="193">
        <v>120</v>
      </c>
      <c r="L18" s="193">
        <v>73.900000000000006</v>
      </c>
      <c r="M18" s="193">
        <v>94.3</v>
      </c>
      <c r="N18" s="194">
        <v>94.5</v>
      </c>
      <c r="O18" s="192">
        <v>77.42865574275406</v>
      </c>
      <c r="P18" s="193">
        <v>69.035049943600455</v>
      </c>
      <c r="Q18" s="193">
        <v>64.130920712634307</v>
      </c>
      <c r="R18" s="193">
        <v>63.659369825041409</v>
      </c>
      <c r="S18" s="194">
        <v>66.771605683154547</v>
      </c>
      <c r="T18" s="241">
        <f t="shared" si="4"/>
        <v>98.364529467155464</v>
      </c>
      <c r="U18" s="102">
        <f>MAX(D18:S18)</f>
        <v>169</v>
      </c>
      <c r="V18" s="102">
        <f t="shared" si="3"/>
        <v>16</v>
      </c>
      <c r="W18" s="121" t="s">
        <v>172</v>
      </c>
    </row>
    <row r="19" spans="1:24" ht="15" x14ac:dyDescent="0.2">
      <c r="A19" s="99"/>
      <c r="B19" s="128" t="s">
        <v>67</v>
      </c>
      <c r="C19" s="149" t="s">
        <v>12</v>
      </c>
      <c r="D19" s="195">
        <v>103.25</v>
      </c>
      <c r="E19" s="196">
        <v>87</v>
      </c>
      <c r="F19" s="196">
        <v>83</v>
      </c>
      <c r="G19" s="196">
        <v>158</v>
      </c>
      <c r="H19" s="197">
        <v>205.75</v>
      </c>
      <c r="I19" s="195">
        <v>172.5</v>
      </c>
      <c r="J19" s="196">
        <v>167.5</v>
      </c>
      <c r="K19" s="196">
        <v>150.25</v>
      </c>
      <c r="L19" s="196">
        <v>124</v>
      </c>
      <c r="M19" s="196">
        <v>116.25000000000001</v>
      </c>
      <c r="N19" s="197"/>
      <c r="O19" s="195">
        <v>76.100000000000009</v>
      </c>
      <c r="P19" s="196">
        <v>89.9</v>
      </c>
      <c r="Q19" s="196">
        <v>74.7</v>
      </c>
      <c r="R19" s="196">
        <v>79.099999999999994</v>
      </c>
      <c r="S19" s="197">
        <v>70.7</v>
      </c>
      <c r="T19" s="241">
        <f t="shared" si="4"/>
        <v>112.72480302175506</v>
      </c>
      <c r="U19" s="102">
        <f>MAX(95.5,D19:S19)</f>
        <v>205.75</v>
      </c>
      <c r="V19" s="102">
        <f t="shared" si="3"/>
        <v>15</v>
      </c>
      <c r="W19" s="121" t="s">
        <v>67</v>
      </c>
    </row>
    <row r="20" spans="1:24" ht="17.25" x14ac:dyDescent="0.2">
      <c r="A20" s="91"/>
      <c r="B20" s="126" t="s">
        <v>173</v>
      </c>
      <c r="C20" s="134" t="s">
        <v>12</v>
      </c>
      <c r="D20" s="192">
        <v>9.8132499829939341</v>
      </c>
      <c r="E20" s="193">
        <v>8.0721895021401728</v>
      </c>
      <c r="F20" s="193">
        <v>6.9642419234150506</v>
      </c>
      <c r="G20" s="193">
        <v>8.7053024042688136</v>
      </c>
      <c r="H20" s="194">
        <v>12.029145140444179</v>
      </c>
      <c r="I20" s="192">
        <v>13.29537094470146</v>
      </c>
      <c r="J20" s="193">
        <v>12.345701591508497</v>
      </c>
      <c r="K20" s="193">
        <v>10.604641110654736</v>
      </c>
      <c r="L20" s="193">
        <v>11.079475787251218</v>
      </c>
      <c r="M20" s="193">
        <v>13.453649170233621</v>
      </c>
      <c r="N20" s="194">
        <v>10.446362885122575</v>
      </c>
      <c r="O20" s="192">
        <v>7.2807983744793807</v>
      </c>
      <c r="P20" s="193">
        <v>6.647685472350739</v>
      </c>
      <c r="Q20" s="193">
        <v>7.2807983744793807</v>
      </c>
      <c r="R20" s="193">
        <v>6.4894072468185797</v>
      </c>
      <c r="S20" s="194">
        <v>5.6980161191577761</v>
      </c>
      <c r="T20" s="241">
        <f t="shared" si="4"/>
        <v>9.518466278547109</v>
      </c>
      <c r="U20" s="101">
        <f>MAX(D20:S20)</f>
        <v>13.453649170233621</v>
      </c>
      <c r="V20" s="102">
        <f t="shared" si="3"/>
        <v>16</v>
      </c>
      <c r="W20" s="126" t="s">
        <v>173</v>
      </c>
    </row>
    <row r="21" spans="1:24" ht="15" x14ac:dyDescent="0.2">
      <c r="A21" s="100"/>
      <c r="B21" s="128" t="s">
        <v>73</v>
      </c>
      <c r="C21" s="143" t="s">
        <v>12</v>
      </c>
      <c r="D21" s="195">
        <v>8.41</v>
      </c>
      <c r="E21" s="196">
        <v>7.16</v>
      </c>
      <c r="F21" s="196">
        <v>7.01</v>
      </c>
      <c r="G21" s="196">
        <v>10.600000000000001</v>
      </c>
      <c r="H21" s="197">
        <v>13.600000000000001</v>
      </c>
      <c r="I21" s="195">
        <v>14</v>
      </c>
      <c r="J21" s="196">
        <v>13.3</v>
      </c>
      <c r="K21" s="196">
        <v>12</v>
      </c>
      <c r="L21" s="196">
        <v>11</v>
      </c>
      <c r="M21" s="196">
        <v>10.9</v>
      </c>
      <c r="N21" s="197">
        <v>10.8</v>
      </c>
      <c r="O21" s="195">
        <v>7.95</v>
      </c>
      <c r="P21" s="196">
        <v>8.25</v>
      </c>
      <c r="Q21" s="196">
        <v>7.34</v>
      </c>
      <c r="R21" s="196">
        <v>6.93</v>
      </c>
      <c r="S21" s="197">
        <v>5.9399999999999995</v>
      </c>
      <c r="T21" s="242">
        <f t="shared" si="4"/>
        <v>9.9844380694887587</v>
      </c>
      <c r="U21" s="243">
        <f>MAX(D21:S21)</f>
        <v>14</v>
      </c>
      <c r="V21" s="244">
        <f t="shared" si="3"/>
        <v>16</v>
      </c>
      <c r="W21" s="128" t="s">
        <v>73</v>
      </c>
      <c r="X21" s="108"/>
    </row>
    <row r="22" spans="1:24" ht="15" x14ac:dyDescent="0.25">
      <c r="D22" s="168"/>
      <c r="E22" s="168"/>
      <c r="F22" s="168"/>
      <c r="G22" s="168"/>
      <c r="H22" s="168"/>
      <c r="I22" s="168"/>
      <c r="J22" s="168"/>
      <c r="K22" s="168"/>
      <c r="L22" s="168"/>
      <c r="M22" s="168"/>
      <c r="N22" s="168"/>
      <c r="O22" s="168"/>
      <c r="P22" s="168"/>
      <c r="Q22" s="168"/>
      <c r="R22" s="168"/>
      <c r="S22" s="168"/>
    </row>
    <row r="23" spans="1:24" ht="15" x14ac:dyDescent="0.25">
      <c r="B23" s="26" t="s">
        <v>102</v>
      </c>
    </row>
    <row r="24" spans="1:24" ht="45" customHeight="1" x14ac:dyDescent="0.25">
      <c r="B24" s="287" t="s">
        <v>166</v>
      </c>
      <c r="C24" s="287"/>
      <c r="D24" s="287"/>
      <c r="E24" s="287"/>
      <c r="F24" s="287"/>
      <c r="G24" s="287"/>
      <c r="H24" s="287"/>
      <c r="I24" s="287"/>
      <c r="J24" s="287"/>
      <c r="K24" s="163"/>
      <c r="L24" s="163"/>
      <c r="M24" s="163"/>
      <c r="N24" s="163"/>
      <c r="O24" s="163"/>
      <c r="P24" s="163"/>
      <c r="Q24"/>
      <c r="R24"/>
      <c r="S24"/>
      <c r="T24"/>
    </row>
    <row r="25" spans="1:24" ht="15" x14ac:dyDescent="0.25">
      <c r="Q25"/>
      <c r="R25"/>
      <c r="S25"/>
      <c r="T25"/>
    </row>
    <row r="26" spans="1:24" ht="29.25" customHeight="1" x14ac:dyDescent="0.2">
      <c r="B26" s="287" t="s">
        <v>169</v>
      </c>
      <c r="C26" s="287"/>
      <c r="D26" s="287"/>
      <c r="E26" s="287"/>
      <c r="F26" s="287"/>
      <c r="G26" s="287"/>
      <c r="H26" s="287"/>
      <c r="I26" s="287"/>
      <c r="J26" s="287"/>
      <c r="K26" s="287"/>
      <c r="L26" s="287"/>
      <c r="M26" s="287"/>
      <c r="N26" s="287"/>
      <c r="O26" s="262"/>
      <c r="P26" s="262"/>
      <c r="Q26" s="262"/>
      <c r="R26" s="262"/>
      <c r="S26" s="262"/>
      <c r="T26" s="262"/>
      <c r="U26" s="262"/>
      <c r="V26" s="262"/>
      <c r="W26" s="262"/>
    </row>
    <row r="27" spans="1:24" ht="15" x14ac:dyDescent="0.25">
      <c r="M27"/>
      <c r="N27"/>
      <c r="O27"/>
      <c r="P27"/>
      <c r="Q27"/>
      <c r="R27"/>
      <c r="S27"/>
      <c r="T27"/>
    </row>
    <row r="28" spans="1:24" ht="15" x14ac:dyDescent="0.25">
      <c r="Q28"/>
      <c r="R28"/>
      <c r="S28"/>
      <c r="T28"/>
    </row>
    <row r="29" spans="1:24" ht="15" x14ac:dyDescent="0.25">
      <c r="Q29"/>
      <c r="R29"/>
      <c r="S29"/>
      <c r="T29"/>
    </row>
    <row r="30" spans="1:24" ht="15" x14ac:dyDescent="0.25">
      <c r="Q30"/>
      <c r="R30"/>
      <c r="S30"/>
      <c r="T30"/>
    </row>
    <row r="31" spans="1:24" ht="15" x14ac:dyDescent="0.25">
      <c r="Q31"/>
      <c r="R31"/>
      <c r="S31"/>
      <c r="T31"/>
    </row>
    <row r="32" spans="1:24" ht="15" x14ac:dyDescent="0.25">
      <c r="Q32"/>
      <c r="R32"/>
      <c r="S32"/>
      <c r="T32"/>
    </row>
    <row r="33" spans="17:20" ht="15" x14ac:dyDescent="0.25">
      <c r="Q33"/>
      <c r="R33"/>
      <c r="S33"/>
      <c r="T33"/>
    </row>
    <row r="34" spans="17:20" ht="15" x14ac:dyDescent="0.25">
      <c r="Q34"/>
      <c r="R34"/>
      <c r="S34"/>
      <c r="T34"/>
    </row>
    <row r="35" spans="17:20" ht="15" x14ac:dyDescent="0.25">
      <c r="Q35"/>
      <c r="R35"/>
      <c r="S35"/>
      <c r="T35"/>
    </row>
    <row r="36" spans="17:20" ht="15" x14ac:dyDescent="0.25">
      <c r="Q36"/>
      <c r="R36"/>
      <c r="S36"/>
      <c r="T36"/>
    </row>
    <row r="37" spans="17:20" ht="15" x14ac:dyDescent="0.25">
      <c r="Q37"/>
      <c r="R37"/>
      <c r="S37"/>
      <c r="T37"/>
    </row>
    <row r="38" spans="17:20" ht="15" x14ac:dyDescent="0.25">
      <c r="Q38"/>
      <c r="R38"/>
      <c r="S38"/>
      <c r="T38"/>
    </row>
    <row r="39" spans="17:20" ht="15" x14ac:dyDescent="0.25">
      <c r="Q39"/>
      <c r="R39"/>
      <c r="S39"/>
      <c r="T39"/>
    </row>
  </sheetData>
  <mergeCells count="7">
    <mergeCell ref="B2:W2"/>
    <mergeCell ref="B5:C5"/>
    <mergeCell ref="B26:N26"/>
    <mergeCell ref="D5:H5"/>
    <mergeCell ref="I5:N5"/>
    <mergeCell ref="O5:S5"/>
    <mergeCell ref="B24:J2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58"/>
  <sheetViews>
    <sheetView zoomScale="90" zoomScaleNormal="90" workbookViewId="0">
      <selection activeCell="I53" sqref="I53"/>
    </sheetView>
  </sheetViews>
  <sheetFormatPr defaultColWidth="9.140625" defaultRowHeight="15" x14ac:dyDescent="0.25"/>
  <cols>
    <col min="2" max="2" width="24.42578125" customWidth="1"/>
    <col min="3" max="3" width="9.140625" customWidth="1"/>
    <col min="4" max="4" width="11.85546875" customWidth="1"/>
    <col min="5" max="5" width="10.28515625" customWidth="1"/>
    <col min="6" max="6" width="11.42578125" customWidth="1"/>
    <col min="7" max="8" width="10.85546875" customWidth="1"/>
    <col min="9" max="9" width="11.5703125" customWidth="1"/>
    <col min="10" max="10" width="12.140625" customWidth="1"/>
    <col min="11" max="11" width="11.28515625" customWidth="1"/>
    <col min="12" max="12" width="13.85546875" customWidth="1"/>
    <col min="13" max="13" width="10.42578125" customWidth="1"/>
    <col min="14" max="14" width="11" customWidth="1"/>
    <col min="15" max="16" width="12.28515625" customWidth="1"/>
    <col min="17" max="17" width="12" customWidth="1"/>
    <col min="18" max="24" width="12.140625" customWidth="1"/>
    <col min="25" max="25" width="11.5703125" customWidth="1"/>
    <col min="26" max="26" width="12" customWidth="1"/>
    <col min="27" max="28" width="11" customWidth="1"/>
    <col min="29" max="29" width="11.7109375" customWidth="1"/>
    <col min="30" max="30" width="11" customWidth="1"/>
    <col min="31" max="31" width="12.85546875" customWidth="1"/>
    <col min="32" max="32" width="11" customWidth="1"/>
  </cols>
  <sheetData>
    <row r="2" spans="2:31" ht="18.75" x14ac:dyDescent="0.3">
      <c r="B2" s="27" t="s">
        <v>86</v>
      </c>
    </row>
    <row r="4" spans="2:31" ht="18.75" x14ac:dyDescent="0.3">
      <c r="B4" s="27" t="s">
        <v>27</v>
      </c>
      <c r="D4" t="s">
        <v>54</v>
      </c>
      <c r="AB4" s="27" t="s">
        <v>64</v>
      </c>
      <c r="AE4" s="27" t="s">
        <v>61</v>
      </c>
    </row>
    <row r="5" spans="2:31" ht="15.75" thickBot="1" x14ac:dyDescent="0.3"/>
    <row r="6" spans="2:31" x14ac:dyDescent="0.25">
      <c r="B6" s="30"/>
      <c r="C6" s="33"/>
      <c r="D6" s="33"/>
      <c r="E6" s="33"/>
      <c r="F6" s="34">
        <v>40758</v>
      </c>
      <c r="G6" s="34">
        <v>40601</v>
      </c>
      <c r="H6" s="35">
        <v>40601</v>
      </c>
      <c r="I6" s="35">
        <v>40601</v>
      </c>
      <c r="J6" s="35">
        <v>40601</v>
      </c>
      <c r="K6" s="35">
        <v>40601</v>
      </c>
      <c r="L6" s="36">
        <v>40595</v>
      </c>
      <c r="M6" s="34">
        <v>40569</v>
      </c>
      <c r="N6" s="34">
        <v>40566</v>
      </c>
      <c r="O6" s="34">
        <v>40552</v>
      </c>
      <c r="P6" s="34">
        <v>40538</v>
      </c>
      <c r="Q6" s="34">
        <v>40524</v>
      </c>
      <c r="R6" s="34">
        <v>40447</v>
      </c>
      <c r="S6" s="34">
        <v>40426</v>
      </c>
      <c r="T6" s="34">
        <v>40419</v>
      </c>
      <c r="U6" s="34">
        <v>40405</v>
      </c>
      <c r="V6" s="34">
        <v>40379</v>
      </c>
      <c r="W6" s="34">
        <v>40365</v>
      </c>
      <c r="X6" s="34">
        <v>40184</v>
      </c>
      <c r="Y6" s="36">
        <v>39847</v>
      </c>
      <c r="Z6" s="34">
        <v>39196</v>
      </c>
      <c r="AB6" s="52">
        <v>40752</v>
      </c>
      <c r="AC6" s="34">
        <v>40695</v>
      </c>
      <c r="AE6" s="52">
        <v>40184</v>
      </c>
    </row>
    <row r="7" spans="2:31" x14ac:dyDescent="0.25">
      <c r="B7" s="295" t="s">
        <v>53</v>
      </c>
      <c r="C7" s="295" t="s">
        <v>28</v>
      </c>
      <c r="D7" s="29" t="s">
        <v>29</v>
      </c>
      <c r="E7" s="295"/>
      <c r="F7" s="295" t="s">
        <v>31</v>
      </c>
      <c r="G7" s="29" t="s">
        <v>31</v>
      </c>
      <c r="H7" s="29" t="s">
        <v>31</v>
      </c>
      <c r="I7" s="29" t="s">
        <v>31</v>
      </c>
      <c r="J7" s="29" t="s">
        <v>31</v>
      </c>
      <c r="K7" s="29" t="s">
        <v>31</v>
      </c>
      <c r="L7" s="37" t="s">
        <v>31</v>
      </c>
      <c r="M7" s="37" t="s">
        <v>31</v>
      </c>
      <c r="N7" s="37" t="s">
        <v>31</v>
      </c>
      <c r="O7" s="37" t="s">
        <v>31</v>
      </c>
      <c r="P7" s="37" t="s">
        <v>31</v>
      </c>
      <c r="Q7" s="37" t="s">
        <v>31</v>
      </c>
      <c r="R7" s="70" t="s">
        <v>31</v>
      </c>
      <c r="S7" s="70" t="s">
        <v>31</v>
      </c>
      <c r="T7" s="70" t="s">
        <v>31</v>
      </c>
      <c r="U7" s="70" t="s">
        <v>31</v>
      </c>
      <c r="V7" s="70" t="s">
        <v>31</v>
      </c>
      <c r="W7" s="70" t="s">
        <v>31</v>
      </c>
      <c r="X7" s="37" t="s">
        <v>31</v>
      </c>
      <c r="Y7" s="37" t="s">
        <v>31</v>
      </c>
      <c r="Z7" s="37" t="s">
        <v>31</v>
      </c>
      <c r="AB7" s="37" t="s">
        <v>31</v>
      </c>
      <c r="AC7" s="37" t="s">
        <v>31</v>
      </c>
      <c r="AE7" s="37" t="s">
        <v>31</v>
      </c>
    </row>
    <row r="8" spans="2:31" ht="15.75" thickBot="1" x14ac:dyDescent="0.3">
      <c r="B8" s="296"/>
      <c r="C8" s="296"/>
      <c r="D8" s="31" t="s">
        <v>30</v>
      </c>
      <c r="E8" s="296"/>
      <c r="F8" s="296"/>
      <c r="G8" s="31" t="s">
        <v>32</v>
      </c>
      <c r="H8" s="31" t="s">
        <v>33</v>
      </c>
      <c r="I8" s="31" t="s">
        <v>34</v>
      </c>
      <c r="J8" s="31" t="s">
        <v>35</v>
      </c>
      <c r="K8" s="31" t="s">
        <v>36</v>
      </c>
      <c r="L8" s="32"/>
      <c r="M8" s="32"/>
      <c r="N8" s="32"/>
      <c r="O8" s="32"/>
      <c r="P8" s="32"/>
      <c r="Q8" s="32"/>
      <c r="R8" s="32"/>
      <c r="S8" s="32"/>
      <c r="T8" s="32"/>
      <c r="U8" s="32"/>
      <c r="V8" s="32"/>
      <c r="W8" s="32"/>
      <c r="X8" s="32"/>
      <c r="Y8" s="32"/>
      <c r="Z8" s="32"/>
      <c r="AB8" s="56" t="s">
        <v>60</v>
      </c>
      <c r="AC8" s="56" t="s">
        <v>60</v>
      </c>
      <c r="AE8" s="32"/>
    </row>
    <row r="9" spans="2:31" ht="24.75" customHeight="1" thickBot="1" x14ac:dyDescent="0.3">
      <c r="B9" s="23" t="s">
        <v>37</v>
      </c>
      <c r="C9" s="22" t="s">
        <v>38</v>
      </c>
      <c r="D9" s="22" t="s">
        <v>39</v>
      </c>
      <c r="E9" s="22"/>
      <c r="F9" s="22">
        <v>30.1</v>
      </c>
      <c r="G9" s="22">
        <v>18.399999999999999</v>
      </c>
      <c r="H9" s="22">
        <v>17.559999999999999</v>
      </c>
      <c r="I9" s="22">
        <v>17.399999999999999</v>
      </c>
      <c r="J9" s="22">
        <v>17.3</v>
      </c>
      <c r="K9" s="22">
        <v>17.25</v>
      </c>
      <c r="L9" s="23">
        <v>18.3</v>
      </c>
      <c r="M9" s="22">
        <v>16.8</v>
      </c>
      <c r="N9" s="22">
        <v>18.8</v>
      </c>
      <c r="O9" s="22">
        <v>17.3</v>
      </c>
      <c r="P9" s="22">
        <v>18.8</v>
      </c>
      <c r="Q9" s="22">
        <v>15.57</v>
      </c>
      <c r="R9" s="22">
        <v>28.7</v>
      </c>
      <c r="S9" s="22">
        <v>28</v>
      </c>
      <c r="T9" s="22">
        <v>28.7</v>
      </c>
      <c r="U9" s="22">
        <v>28</v>
      </c>
      <c r="V9" s="22">
        <v>28.2</v>
      </c>
      <c r="W9" s="22">
        <v>28</v>
      </c>
      <c r="X9" s="22">
        <v>18.8</v>
      </c>
      <c r="Y9" s="23">
        <v>17.7</v>
      </c>
      <c r="Z9" s="22"/>
      <c r="AB9" s="53">
        <v>28.4</v>
      </c>
      <c r="AC9" s="53">
        <v>25.1</v>
      </c>
      <c r="AE9" s="23">
        <v>18.8</v>
      </c>
    </row>
    <row r="10" spans="2:31" ht="15.75" thickBot="1" x14ac:dyDescent="0.3">
      <c r="B10" s="23" t="s">
        <v>40</v>
      </c>
      <c r="C10" s="22"/>
      <c r="D10" s="22" t="s">
        <v>41</v>
      </c>
      <c r="E10" s="22"/>
      <c r="F10" s="22">
        <v>6.56</v>
      </c>
      <c r="G10" s="22">
        <v>8.5</v>
      </c>
      <c r="H10" s="22">
        <v>8.99</v>
      </c>
      <c r="I10" s="22">
        <v>8.7799999999999994</v>
      </c>
      <c r="J10" s="22">
        <v>8.4499999999999993</v>
      </c>
      <c r="K10" s="22">
        <v>8.0500000000000007</v>
      </c>
      <c r="L10" s="23">
        <v>8.1</v>
      </c>
      <c r="M10" s="22">
        <v>8.5</v>
      </c>
      <c r="N10" s="22">
        <v>8.11</v>
      </c>
      <c r="O10" s="22">
        <v>8.3699999999999992</v>
      </c>
      <c r="P10" s="22">
        <v>7.26</v>
      </c>
      <c r="Q10" s="22">
        <v>8.4499999999999993</v>
      </c>
      <c r="R10" s="22">
        <v>6.78</v>
      </c>
      <c r="S10" s="22">
        <v>6.39</v>
      </c>
      <c r="T10" s="22">
        <v>6.78</v>
      </c>
      <c r="U10" s="22">
        <v>6.3</v>
      </c>
      <c r="V10" s="22">
        <v>6.7</v>
      </c>
      <c r="W10" s="22">
        <v>6.15</v>
      </c>
      <c r="X10" s="22">
        <v>7.49</v>
      </c>
      <c r="Y10" s="23">
        <v>7.73</v>
      </c>
      <c r="Z10" s="22"/>
      <c r="AB10" s="53">
        <v>6.97</v>
      </c>
      <c r="AC10" s="53">
        <v>6.54</v>
      </c>
      <c r="AE10" s="23">
        <v>7.55</v>
      </c>
    </row>
    <row r="11" spans="2:31" ht="24.75" customHeight="1" thickBot="1" x14ac:dyDescent="0.3">
      <c r="B11" s="23" t="s">
        <v>42</v>
      </c>
      <c r="C11" s="22" t="s">
        <v>43</v>
      </c>
      <c r="D11" s="22"/>
      <c r="E11" s="22"/>
      <c r="F11" s="22">
        <v>2095</v>
      </c>
      <c r="G11" s="22">
        <v>3356</v>
      </c>
      <c r="H11" s="22">
        <v>3300</v>
      </c>
      <c r="I11" s="22">
        <v>3250</v>
      </c>
      <c r="J11" s="22">
        <v>3220</v>
      </c>
      <c r="K11" s="22">
        <v>3275</v>
      </c>
      <c r="L11" s="23">
        <v>3000</v>
      </c>
      <c r="M11" s="22">
        <v>3500</v>
      </c>
      <c r="N11" s="22">
        <v>3390</v>
      </c>
      <c r="O11" s="22">
        <v>3820</v>
      </c>
      <c r="P11" s="22">
        <v>2378</v>
      </c>
      <c r="Q11" s="22">
        <v>2224</v>
      </c>
      <c r="R11" s="22">
        <v>2010</v>
      </c>
      <c r="S11" s="22">
        <v>2000</v>
      </c>
      <c r="T11" s="22">
        <v>2039</v>
      </c>
      <c r="U11" s="22">
        <v>2286</v>
      </c>
      <c r="V11" s="22">
        <v>2000</v>
      </c>
      <c r="W11" s="22">
        <v>2152</v>
      </c>
      <c r="X11" s="22">
        <v>2510</v>
      </c>
      <c r="Y11" s="23">
        <v>3350</v>
      </c>
      <c r="Z11" s="22"/>
      <c r="AB11" s="53">
        <v>956</v>
      </c>
      <c r="AC11" s="53">
        <v>982</v>
      </c>
      <c r="AE11" s="23">
        <v>2400</v>
      </c>
    </row>
    <row r="12" spans="2:31" ht="36.75" customHeight="1" thickBot="1" x14ac:dyDescent="0.3">
      <c r="B12" s="23" t="s">
        <v>44</v>
      </c>
      <c r="C12" s="22" t="s">
        <v>45</v>
      </c>
      <c r="D12" s="22"/>
      <c r="E12" s="22"/>
      <c r="F12" s="22">
        <v>1644</v>
      </c>
      <c r="G12" s="22">
        <v>2270</v>
      </c>
      <c r="H12" s="22">
        <v>2015</v>
      </c>
      <c r="I12" s="22">
        <v>1967</v>
      </c>
      <c r="J12" s="22">
        <v>2049</v>
      </c>
      <c r="K12" s="22">
        <v>1971</v>
      </c>
      <c r="L12" s="23">
        <v>1940</v>
      </c>
      <c r="M12" s="22">
        <v>2515</v>
      </c>
      <c r="N12" s="22">
        <v>2534</v>
      </c>
      <c r="O12" s="22">
        <v>2609</v>
      </c>
      <c r="P12" s="22">
        <v>1615</v>
      </c>
      <c r="Q12" s="22">
        <v>2506</v>
      </c>
      <c r="R12" s="22">
        <v>1359</v>
      </c>
      <c r="S12" s="22">
        <v>1330</v>
      </c>
      <c r="T12" s="22">
        <v>1382</v>
      </c>
      <c r="U12" s="22">
        <v>1512</v>
      </c>
      <c r="V12" s="22">
        <v>1354</v>
      </c>
      <c r="W12" s="22">
        <v>1449</v>
      </c>
      <c r="X12" s="22">
        <v>6340</v>
      </c>
      <c r="Y12" s="23"/>
      <c r="Z12" s="22"/>
      <c r="AB12" s="53">
        <v>705</v>
      </c>
      <c r="AC12" s="53">
        <v>812</v>
      </c>
      <c r="AE12" s="23">
        <v>8090</v>
      </c>
    </row>
    <row r="13" spans="2:31" ht="48.75" customHeight="1" thickBot="1" x14ac:dyDescent="0.3">
      <c r="B13" s="23" t="s">
        <v>46</v>
      </c>
      <c r="C13" s="22" t="s">
        <v>45</v>
      </c>
      <c r="D13" s="22">
        <v>2000</v>
      </c>
      <c r="E13" s="22"/>
      <c r="F13" s="22">
        <v>1152</v>
      </c>
      <c r="G13" s="22">
        <v>1845</v>
      </c>
      <c r="H13" s="22">
        <v>1815</v>
      </c>
      <c r="I13" s="22">
        <v>1787</v>
      </c>
      <c r="J13" s="22">
        <v>1771</v>
      </c>
      <c r="K13" s="22">
        <v>1801</v>
      </c>
      <c r="L13" s="23">
        <v>1650</v>
      </c>
      <c r="M13" s="22">
        <v>1925</v>
      </c>
      <c r="N13" s="22">
        <v>1864</v>
      </c>
      <c r="O13" s="22">
        <v>2101</v>
      </c>
      <c r="P13" s="22">
        <v>1307</v>
      </c>
      <c r="Q13" s="22">
        <v>1223</v>
      </c>
      <c r="R13" s="22">
        <v>1105</v>
      </c>
      <c r="S13" s="22">
        <v>100</v>
      </c>
      <c r="T13" s="22">
        <v>1121</v>
      </c>
      <c r="U13" s="22">
        <v>1257</v>
      </c>
      <c r="V13" s="22">
        <v>1100</v>
      </c>
      <c r="W13" s="22">
        <v>1183</v>
      </c>
      <c r="X13" s="22">
        <v>1713</v>
      </c>
      <c r="Y13" s="23">
        <v>2345</v>
      </c>
      <c r="Z13" s="22"/>
      <c r="AB13" s="53">
        <v>525</v>
      </c>
      <c r="AC13" s="53">
        <v>540</v>
      </c>
      <c r="AE13" s="23">
        <v>1638</v>
      </c>
    </row>
    <row r="14" spans="2:31" ht="48.75" customHeight="1" thickBot="1" x14ac:dyDescent="0.3">
      <c r="B14" s="23" t="s">
        <v>47</v>
      </c>
      <c r="C14" s="22" t="s">
        <v>45</v>
      </c>
      <c r="D14" s="22">
        <v>50</v>
      </c>
      <c r="E14" s="22"/>
      <c r="F14" s="24">
        <v>492</v>
      </c>
      <c r="G14" s="24">
        <v>425</v>
      </c>
      <c r="H14" s="24">
        <v>200</v>
      </c>
      <c r="I14" s="24">
        <v>180</v>
      </c>
      <c r="J14" s="24">
        <v>278</v>
      </c>
      <c r="K14" s="24">
        <v>170</v>
      </c>
      <c r="L14" s="25">
        <v>290</v>
      </c>
      <c r="M14" s="24">
        <v>590</v>
      </c>
      <c r="N14" s="24">
        <v>670</v>
      </c>
      <c r="O14" s="24">
        <v>508</v>
      </c>
      <c r="P14" s="24">
        <v>308</v>
      </c>
      <c r="Q14" s="24">
        <v>1283</v>
      </c>
      <c r="R14" s="24">
        <v>254</v>
      </c>
      <c r="S14" s="24">
        <v>230</v>
      </c>
      <c r="T14" s="24">
        <v>261</v>
      </c>
      <c r="U14" s="24">
        <v>255</v>
      </c>
      <c r="V14" s="24">
        <v>254</v>
      </c>
      <c r="W14" s="24">
        <v>266</v>
      </c>
      <c r="X14" s="24">
        <v>4627</v>
      </c>
      <c r="Y14" s="25"/>
      <c r="Z14" s="24">
        <v>194</v>
      </c>
      <c r="AB14" s="53">
        <v>180</v>
      </c>
      <c r="AC14" s="53">
        <v>272</v>
      </c>
      <c r="AE14" s="23">
        <v>6452</v>
      </c>
    </row>
    <row r="15" spans="2:31" ht="15.75" thickBot="1" x14ac:dyDescent="0.3">
      <c r="B15" s="23" t="s">
        <v>17</v>
      </c>
      <c r="C15" s="22" t="s">
        <v>45</v>
      </c>
      <c r="D15" s="22">
        <v>60</v>
      </c>
      <c r="E15" s="22"/>
      <c r="F15" s="24">
        <v>410</v>
      </c>
      <c r="G15" s="24">
        <v>500</v>
      </c>
      <c r="H15" s="24">
        <v>500</v>
      </c>
      <c r="I15" s="24">
        <v>486</v>
      </c>
      <c r="J15" s="24">
        <v>415</v>
      </c>
      <c r="K15" s="24">
        <v>500</v>
      </c>
      <c r="L15" s="25">
        <v>420</v>
      </c>
      <c r="M15" s="24">
        <v>680</v>
      </c>
      <c r="N15" s="24">
        <v>700</v>
      </c>
      <c r="O15" s="24">
        <v>500</v>
      </c>
      <c r="P15" s="24">
        <v>280</v>
      </c>
      <c r="Q15" s="24">
        <v>500</v>
      </c>
      <c r="R15" s="24">
        <v>230</v>
      </c>
      <c r="S15" s="24">
        <v>220</v>
      </c>
      <c r="T15" s="24">
        <v>240</v>
      </c>
      <c r="U15" s="24">
        <v>280</v>
      </c>
      <c r="V15" s="24">
        <v>110</v>
      </c>
      <c r="W15" s="24">
        <v>300</v>
      </c>
      <c r="X15" s="24">
        <v>362</v>
      </c>
      <c r="Y15" s="25">
        <v>750</v>
      </c>
      <c r="Z15" s="24">
        <v>340</v>
      </c>
      <c r="AB15" s="53">
        <v>430</v>
      </c>
      <c r="AC15" s="53">
        <v>400</v>
      </c>
      <c r="AE15" s="23">
        <v>608</v>
      </c>
    </row>
    <row r="16" spans="2:31" ht="15.75" thickBot="1" x14ac:dyDescent="0.3">
      <c r="B16" s="23" t="s">
        <v>18</v>
      </c>
      <c r="C16" s="22" t="s">
        <v>45</v>
      </c>
      <c r="D16" s="22">
        <v>80</v>
      </c>
      <c r="E16" s="22"/>
      <c r="F16" s="24">
        <v>637</v>
      </c>
      <c r="G16" s="24">
        <v>1292</v>
      </c>
      <c r="H16" s="24">
        <v>1097</v>
      </c>
      <c r="I16" s="24">
        <v>831</v>
      </c>
      <c r="J16" s="24">
        <v>818</v>
      </c>
      <c r="K16" s="24">
        <v>1091</v>
      </c>
      <c r="L16" s="25">
        <v>981</v>
      </c>
      <c r="M16" s="24">
        <v>1200</v>
      </c>
      <c r="N16" s="24">
        <v>1136</v>
      </c>
      <c r="O16" s="24">
        <v>1500</v>
      </c>
      <c r="P16" s="24">
        <v>718</v>
      </c>
      <c r="Q16" s="24">
        <v>1175</v>
      </c>
      <c r="R16" s="24">
        <v>390</v>
      </c>
      <c r="S16" s="24">
        <v>350</v>
      </c>
      <c r="T16" s="24">
        <v>390</v>
      </c>
      <c r="U16" s="24">
        <v>400</v>
      </c>
      <c r="V16" s="24">
        <v>140</v>
      </c>
      <c r="W16" s="24">
        <v>442</v>
      </c>
      <c r="X16" s="24">
        <v>517</v>
      </c>
      <c r="Y16" s="25">
        <v>1071</v>
      </c>
      <c r="Z16" s="24">
        <v>753</v>
      </c>
      <c r="AB16" s="53">
        <v>616</v>
      </c>
      <c r="AC16" s="53">
        <v>500</v>
      </c>
      <c r="AE16" s="23">
        <v>869</v>
      </c>
    </row>
    <row r="17" spans="2:31" ht="36.75" customHeight="1" thickBot="1" x14ac:dyDescent="0.3">
      <c r="B17" s="23" t="s">
        <v>48</v>
      </c>
      <c r="C17" s="22" t="s">
        <v>45</v>
      </c>
      <c r="D17" s="22">
        <v>4</v>
      </c>
      <c r="E17" s="22"/>
      <c r="F17" s="22">
        <v>0</v>
      </c>
      <c r="G17" s="22">
        <v>0</v>
      </c>
      <c r="H17" s="22">
        <v>0.68</v>
      </c>
      <c r="I17" s="22">
        <v>0.66</v>
      </c>
      <c r="J17" s="22">
        <v>0.56000000000000005</v>
      </c>
      <c r="K17" s="22">
        <v>0.49</v>
      </c>
      <c r="L17" s="23">
        <v>0.64</v>
      </c>
      <c r="M17" s="22">
        <v>0</v>
      </c>
      <c r="N17" s="22">
        <v>0</v>
      </c>
      <c r="O17" s="22">
        <v>0.8</v>
      </c>
      <c r="P17" s="22">
        <v>0.89</v>
      </c>
      <c r="Q17" s="22">
        <v>0.8</v>
      </c>
      <c r="R17" s="22"/>
      <c r="S17" s="22"/>
      <c r="T17" s="22"/>
      <c r="U17" s="22"/>
      <c r="V17" s="22"/>
      <c r="W17" s="22"/>
      <c r="X17" s="22"/>
      <c r="AB17" s="53">
        <v>0</v>
      </c>
      <c r="AC17" s="53">
        <v>0</v>
      </c>
      <c r="AE17" s="23"/>
    </row>
    <row r="18" spans="2:31" ht="24.75" customHeight="1" thickBot="1" x14ac:dyDescent="0.3">
      <c r="B18" s="23" t="s">
        <v>49</v>
      </c>
      <c r="C18" s="22" t="s">
        <v>45</v>
      </c>
      <c r="D18" s="22">
        <v>1</v>
      </c>
      <c r="E18" s="22"/>
      <c r="F18" s="22">
        <v>3</v>
      </c>
      <c r="G18" s="22">
        <v>7</v>
      </c>
      <c r="H18" s="22">
        <v>6</v>
      </c>
      <c r="I18" s="22">
        <v>5.4</v>
      </c>
      <c r="J18" s="22">
        <v>6</v>
      </c>
      <c r="K18" s="22">
        <v>7</v>
      </c>
      <c r="L18" s="23">
        <v>7</v>
      </c>
      <c r="M18" s="22">
        <v>4</v>
      </c>
      <c r="N18" s="22">
        <v>3</v>
      </c>
      <c r="O18" s="22">
        <v>6</v>
      </c>
      <c r="P18" s="22">
        <v>2</v>
      </c>
      <c r="Q18" s="22">
        <v>2</v>
      </c>
      <c r="R18" s="22"/>
      <c r="S18" s="22"/>
      <c r="T18" s="22"/>
      <c r="U18" s="22"/>
      <c r="V18" s="22"/>
      <c r="W18" s="22"/>
      <c r="X18" s="22"/>
      <c r="AB18" s="53">
        <v>4.5</v>
      </c>
      <c r="AC18" s="53">
        <v>4</v>
      </c>
      <c r="AE18" s="23"/>
    </row>
    <row r="19" spans="2:31" ht="26.25" customHeight="1" thickBot="1" x14ac:dyDescent="0.3">
      <c r="B19" s="23" t="s">
        <v>50</v>
      </c>
      <c r="C19" s="22" t="s">
        <v>45</v>
      </c>
      <c r="D19" s="22">
        <v>1</v>
      </c>
      <c r="E19" s="22"/>
      <c r="F19" s="22">
        <v>28</v>
      </c>
      <c r="G19" s="22">
        <v>22</v>
      </c>
      <c r="H19" s="22">
        <v>21</v>
      </c>
      <c r="I19" s="22">
        <v>18.399999999999999</v>
      </c>
      <c r="J19" s="22">
        <v>24</v>
      </c>
      <c r="K19" s="22">
        <v>16</v>
      </c>
      <c r="L19" s="23">
        <v>16</v>
      </c>
      <c r="M19" s="22">
        <v>25</v>
      </c>
      <c r="N19" s="22">
        <v>24.8</v>
      </c>
      <c r="O19" s="22">
        <v>28</v>
      </c>
      <c r="P19" s="22">
        <v>8.1</v>
      </c>
      <c r="Q19" s="22">
        <v>10.8</v>
      </c>
      <c r="R19" s="22">
        <v>6.4</v>
      </c>
      <c r="S19" s="22">
        <v>8</v>
      </c>
      <c r="T19" s="22">
        <v>6</v>
      </c>
      <c r="U19" s="22">
        <v>8.4</v>
      </c>
      <c r="V19" s="22">
        <v>2</v>
      </c>
      <c r="W19" s="22">
        <v>8</v>
      </c>
      <c r="X19" s="22">
        <v>2.8</v>
      </c>
      <c r="AB19" s="53">
        <v>4.8</v>
      </c>
      <c r="AC19" s="53">
        <v>8</v>
      </c>
      <c r="AE19" s="23">
        <v>3</v>
      </c>
    </row>
    <row r="20" spans="2:31" ht="15.75" thickBot="1" x14ac:dyDescent="0.3">
      <c r="B20" s="23" t="s">
        <v>51</v>
      </c>
      <c r="C20" s="22" t="s">
        <v>45</v>
      </c>
      <c r="D20" s="22">
        <v>1</v>
      </c>
      <c r="E20" s="22"/>
      <c r="F20" s="22">
        <v>0</v>
      </c>
      <c r="G20" s="22">
        <v>0</v>
      </c>
      <c r="H20" s="22">
        <v>0</v>
      </c>
      <c r="I20" s="22">
        <v>0</v>
      </c>
      <c r="J20" s="22">
        <v>0</v>
      </c>
      <c r="K20" s="22">
        <v>0</v>
      </c>
      <c r="L20" s="23">
        <v>0.05</v>
      </c>
      <c r="M20" s="22">
        <v>0</v>
      </c>
      <c r="N20" s="22">
        <v>3.4</v>
      </c>
      <c r="O20" s="22">
        <v>0.2</v>
      </c>
      <c r="P20" s="22">
        <v>0</v>
      </c>
      <c r="Q20" s="22">
        <v>0</v>
      </c>
      <c r="R20" s="22"/>
      <c r="S20" s="22"/>
      <c r="T20" s="22"/>
      <c r="U20" s="22"/>
      <c r="V20" s="22"/>
      <c r="W20" s="22"/>
      <c r="X20" s="22"/>
      <c r="AB20" s="53">
        <v>0</v>
      </c>
      <c r="AC20" s="53">
        <v>0</v>
      </c>
    </row>
    <row r="21" spans="2:31" ht="15.75" thickBot="1" x14ac:dyDescent="0.3">
      <c r="B21" s="23" t="s">
        <v>52</v>
      </c>
      <c r="C21" s="22" t="s">
        <v>45</v>
      </c>
      <c r="D21" s="22">
        <v>45</v>
      </c>
      <c r="E21" s="22"/>
      <c r="F21" s="22">
        <v>0</v>
      </c>
      <c r="G21" s="22">
        <v>0</v>
      </c>
      <c r="H21" s="22">
        <v>0</v>
      </c>
      <c r="I21" s="22">
        <v>0</v>
      </c>
      <c r="J21" s="22">
        <v>0</v>
      </c>
      <c r="K21" s="22">
        <v>0</v>
      </c>
      <c r="L21" s="23">
        <v>2.21</v>
      </c>
      <c r="M21" s="22">
        <v>0</v>
      </c>
      <c r="N21" s="22">
        <v>4.4269999999999996</v>
      </c>
      <c r="O21" s="22">
        <v>0</v>
      </c>
      <c r="P21" s="22">
        <v>0</v>
      </c>
      <c r="Q21" s="22">
        <v>0</v>
      </c>
      <c r="R21" s="22"/>
      <c r="S21" s="22"/>
      <c r="T21" s="22"/>
      <c r="U21" s="22"/>
      <c r="V21" s="22"/>
      <c r="W21" s="22"/>
      <c r="X21" s="22"/>
      <c r="AB21" s="53">
        <v>0</v>
      </c>
      <c r="AC21" s="53">
        <v>0</v>
      </c>
    </row>
    <row r="24" spans="2:31" ht="15.75" thickBot="1" x14ac:dyDescent="0.3"/>
    <row r="25" spans="2:31" ht="36" customHeight="1" x14ac:dyDescent="0.3">
      <c r="B25" s="27" t="s">
        <v>65</v>
      </c>
      <c r="D25" s="81" t="s">
        <v>94</v>
      </c>
      <c r="E25" s="66" t="s">
        <v>22</v>
      </c>
      <c r="F25" s="292" t="s">
        <v>85</v>
      </c>
      <c r="G25" s="293"/>
      <c r="H25" s="294"/>
      <c r="I25" s="292" t="s">
        <v>62</v>
      </c>
      <c r="J25" s="294"/>
      <c r="K25" s="50" t="s">
        <v>63</v>
      </c>
    </row>
    <row r="26" spans="2:31" x14ac:dyDescent="0.25">
      <c r="D26" s="39" t="s">
        <v>53</v>
      </c>
      <c r="E26" s="67"/>
      <c r="F26" s="68" t="s">
        <v>55</v>
      </c>
      <c r="G26" s="73" t="s">
        <v>20</v>
      </c>
      <c r="H26" s="41" t="s">
        <v>93</v>
      </c>
      <c r="I26" s="44" t="s">
        <v>55</v>
      </c>
      <c r="J26" s="45" t="s">
        <v>20</v>
      </c>
      <c r="K26" s="54"/>
    </row>
    <row r="27" spans="2:31" x14ac:dyDescent="0.25">
      <c r="D27" s="40" t="s">
        <v>37</v>
      </c>
      <c r="E27" s="67" t="s">
        <v>38</v>
      </c>
      <c r="F27" s="42">
        <f>AVERAGE(F9:Y9)</f>
        <v>21.484000000000002</v>
      </c>
      <c r="G27" s="74">
        <f>_xlfn.STDEV.S(F9:Z9)</f>
        <v>5.3722771806063045</v>
      </c>
      <c r="H27" s="76">
        <f>MAX(F9:Y9)</f>
        <v>30.1</v>
      </c>
      <c r="I27" s="46">
        <f>AVERAGE(AB9:AC9)</f>
        <v>26.75</v>
      </c>
      <c r="J27" s="47">
        <f>_xlfn.STDEV.S(AB9:AC9)</f>
        <v>2.3334523779156049</v>
      </c>
      <c r="K27" s="54">
        <v>18.8</v>
      </c>
    </row>
    <row r="28" spans="2:31" x14ac:dyDescent="0.25">
      <c r="D28" s="40" t="s">
        <v>40</v>
      </c>
      <c r="E28" s="67"/>
      <c r="F28" s="42">
        <f>AVERAGE(F10:Y10)</f>
        <v>7.6220000000000017</v>
      </c>
      <c r="G28" s="74">
        <f>_xlfn.STDEV.S(F10:Z10)</f>
        <v>0.92687704288732853</v>
      </c>
      <c r="H28" s="76">
        <f>MAX(F10:Y10)</f>
        <v>8.99</v>
      </c>
      <c r="I28" s="46">
        <f>AVERAGE(AB10:AC10)</f>
        <v>6.7549999999999999</v>
      </c>
      <c r="J28" s="47">
        <f>_xlfn.STDEV.S(AB10:AC10)</f>
        <v>0.30405591591021525</v>
      </c>
      <c r="K28" s="54">
        <v>7.55</v>
      </c>
    </row>
    <row r="29" spans="2:31" x14ac:dyDescent="0.25">
      <c r="D29" s="40" t="s">
        <v>42</v>
      </c>
      <c r="E29" s="67" t="s">
        <v>12</v>
      </c>
      <c r="F29" s="42">
        <f>AVERAGE(F11:Y11)</f>
        <v>2757.75</v>
      </c>
      <c r="G29" s="74">
        <f>_xlfn.STDEV.S(F11:Z11)</f>
        <v>632.75777979787563</v>
      </c>
      <c r="H29" s="76">
        <f>MAX(F11:Y11)</f>
        <v>3820</v>
      </c>
      <c r="I29" s="46">
        <f>AVERAGE(AB11:AC11)</f>
        <v>969</v>
      </c>
      <c r="J29" s="47">
        <f>_xlfn.STDEV.S(AB11:AC11)</f>
        <v>18.384776310850235</v>
      </c>
      <c r="K29" s="54">
        <v>2400</v>
      </c>
    </row>
    <row r="30" spans="2:31" ht="15.75" customHeight="1" x14ac:dyDescent="0.25">
      <c r="D30" s="40" t="s">
        <v>17</v>
      </c>
      <c r="E30" s="67" t="s">
        <v>12</v>
      </c>
      <c r="F30" s="42">
        <f>AVERAGE(F15:Z15)</f>
        <v>415.38095238095241</v>
      </c>
      <c r="G30" s="74">
        <f>_xlfn.STDEV.S(F15:Z15)</f>
        <v>167.16712481540029</v>
      </c>
      <c r="H30" s="76">
        <f>MAX(F15:Y15)</f>
        <v>750</v>
      </c>
      <c r="I30" s="46">
        <f>AVERAGE(AB15:AC15)</f>
        <v>415</v>
      </c>
      <c r="J30" s="47">
        <f>_xlfn.STDEV.S(AB15:AC15)</f>
        <v>21.213203435596427</v>
      </c>
      <c r="K30" s="54">
        <v>608</v>
      </c>
    </row>
    <row r="31" spans="2:31" x14ac:dyDescent="0.25">
      <c r="D31" s="40" t="s">
        <v>18</v>
      </c>
      <c r="E31" s="67" t="s">
        <v>12</v>
      </c>
      <c r="F31" s="42">
        <f>AVERAGE(F16:Z16)</f>
        <v>806.14285714285711</v>
      </c>
      <c r="G31" s="74">
        <f>_xlfn.STDEV.S(F16:Z16)</f>
        <v>374.38112742421799</v>
      </c>
      <c r="H31" s="76">
        <f>MAX(F16:Y16)</f>
        <v>1500</v>
      </c>
      <c r="I31" s="46">
        <f>AVERAGE(AB16:AC16)</f>
        <v>558</v>
      </c>
      <c r="J31" s="47">
        <f>_xlfn.STDEV.S(AB16:AC16)</f>
        <v>82.024386617639507</v>
      </c>
      <c r="K31" s="54">
        <v>869</v>
      </c>
    </row>
    <row r="32" spans="2:31" x14ac:dyDescent="0.25">
      <c r="D32" s="40" t="s">
        <v>59</v>
      </c>
      <c r="E32" s="67" t="s">
        <v>12</v>
      </c>
      <c r="F32" s="42">
        <f>AVERAGE(F12:Y12)</f>
        <v>2124.2631578947367</v>
      </c>
      <c r="G32" s="74">
        <f>_xlfn.STDEV.S(F12:Z12)</f>
        <v>1112.462126301898</v>
      </c>
      <c r="H32" s="76">
        <f>MAX(F12:Y12)</f>
        <v>6340</v>
      </c>
      <c r="I32" s="46">
        <f>AVERAGE(AB12:AC12)</f>
        <v>758.5</v>
      </c>
      <c r="J32" s="47">
        <f>_xlfn.STDEV.S(AB12:AC12)</f>
        <v>75.660425586960585</v>
      </c>
      <c r="K32" s="54">
        <v>8090</v>
      </c>
    </row>
    <row r="33" spans="2:11" x14ac:dyDescent="0.25">
      <c r="D33" s="40" t="s">
        <v>13</v>
      </c>
      <c r="E33" s="67" t="s">
        <v>12</v>
      </c>
      <c r="F33" s="42">
        <f>AVERAGE(F13:Y13)</f>
        <v>1508.25</v>
      </c>
      <c r="G33" s="74">
        <f>_xlfn.STDEV.S(F13:Z13)</f>
        <v>499.14673246082236</v>
      </c>
      <c r="H33" s="76">
        <f>MAX(F13:Y13)</f>
        <v>2345</v>
      </c>
      <c r="I33" s="46">
        <f>AVERAGE(AB13:AC13)</f>
        <v>532.5</v>
      </c>
      <c r="J33" s="47">
        <f>_xlfn.STDEV.S(AB13:AC13)</f>
        <v>10.606601717798213</v>
      </c>
      <c r="K33" s="54">
        <v>1638</v>
      </c>
    </row>
    <row r="34" spans="2:11" x14ac:dyDescent="0.25">
      <c r="D34" s="40" t="s">
        <v>15</v>
      </c>
      <c r="E34" s="67" t="s">
        <v>12</v>
      </c>
      <c r="F34" s="42">
        <f>AVERAGE(F14:Z14)</f>
        <v>586.75</v>
      </c>
      <c r="G34" s="74">
        <f>_xlfn.STDEV.S(F14:Z14)</f>
        <v>984.84510537390975</v>
      </c>
      <c r="H34" s="76">
        <f>MAX(F14:Y14)</f>
        <v>4627</v>
      </c>
      <c r="I34" s="46">
        <f>AVERAGE(AB14:AC14)</f>
        <v>226</v>
      </c>
      <c r="J34" s="47">
        <f>_xlfn.STDEV.S(AB14:AC14)</f>
        <v>65.053823869162372</v>
      </c>
      <c r="K34" s="54">
        <v>6452</v>
      </c>
    </row>
    <row r="35" spans="2:11" x14ac:dyDescent="0.25">
      <c r="D35" s="40" t="s">
        <v>49</v>
      </c>
      <c r="E35" s="67" t="s">
        <v>12</v>
      </c>
      <c r="F35" s="42">
        <f>AVERAGE(F18:Y18)</f>
        <v>4.8666666666666663</v>
      </c>
      <c r="G35" s="74">
        <f>_xlfn.STDEV.S(F18:Z18)</f>
        <v>1.9527758021169077</v>
      </c>
      <c r="H35" s="76">
        <f>MAX(F18:Y18)</f>
        <v>7</v>
      </c>
      <c r="I35" s="46">
        <f>AVERAGE(AB18:AC18)</f>
        <v>4.25</v>
      </c>
      <c r="J35" s="47">
        <f>_xlfn.STDEV.S(AB18:AC18)</f>
        <v>0.35355339059327379</v>
      </c>
      <c r="K35" s="54"/>
    </row>
    <row r="36" spans="2:11" x14ac:dyDescent="0.25">
      <c r="D36" s="40" t="s">
        <v>50</v>
      </c>
      <c r="E36" s="67" t="s">
        <v>12</v>
      </c>
      <c r="F36" s="42">
        <f>AVERAGE(F19:Y19)</f>
        <v>14.93157894736842</v>
      </c>
      <c r="G36" s="74">
        <f>_xlfn.STDEV.S(F19:Z19)</f>
        <v>8.7974777087008196</v>
      </c>
      <c r="H36" s="76">
        <f>MAX(F19:Y19)</f>
        <v>28</v>
      </c>
      <c r="I36" s="46">
        <f>AVERAGE(AB19:AC19)</f>
        <v>6.4</v>
      </c>
      <c r="J36" s="47">
        <f>_xlfn.STDEV.S(AB19:AC19)</f>
        <v>2.2627416997969467</v>
      </c>
      <c r="K36" s="54">
        <v>3</v>
      </c>
    </row>
    <row r="37" spans="2:11" s="26" customFormat="1" x14ac:dyDescent="0.25">
      <c r="D37" s="40" t="s">
        <v>57</v>
      </c>
      <c r="E37" s="67" t="s">
        <v>12</v>
      </c>
      <c r="F37" s="42">
        <f>AVERAGE(F20:Y20)</f>
        <v>0.30416666666666664</v>
      </c>
      <c r="G37" s="74">
        <f>_xlfn.STDEV.S(F20:Z20)</f>
        <v>0.97664973095255436</v>
      </c>
      <c r="H37" s="76">
        <f>MAX(F20:Y20)</f>
        <v>3.4</v>
      </c>
      <c r="I37" s="46">
        <f>AVERAGE(AB20:AC20)</f>
        <v>0</v>
      </c>
      <c r="J37" s="47">
        <f>_xlfn.STDEV.S(AB20:AC20)</f>
        <v>0</v>
      </c>
      <c r="K37" s="51"/>
    </row>
    <row r="38" spans="2:11" x14ac:dyDescent="0.25">
      <c r="D38" s="40" t="s">
        <v>58</v>
      </c>
      <c r="E38" s="67" t="s">
        <v>12</v>
      </c>
      <c r="F38" s="42">
        <f>AVERAGE(F21:Y21)</f>
        <v>0.55308333333333326</v>
      </c>
      <c r="G38" s="74">
        <f>_xlfn.STDEV.S(F21:Z21)</f>
        <v>1.3754871836641163</v>
      </c>
      <c r="H38" s="76">
        <f>MAX(F21:Y21)</f>
        <v>4.4269999999999996</v>
      </c>
      <c r="I38" s="46">
        <f>AVERAGE(AB21:AC21)</f>
        <v>0</v>
      </c>
      <c r="J38" s="47">
        <f>_xlfn.STDEV.S(AB21:AC21)</f>
        <v>0</v>
      </c>
      <c r="K38" s="51"/>
    </row>
    <row r="39" spans="2:11" ht="15.75" thickBot="1" x14ac:dyDescent="0.3">
      <c r="D39" s="40" t="s">
        <v>56</v>
      </c>
      <c r="E39" s="67" t="s">
        <v>12</v>
      </c>
      <c r="F39" s="43">
        <f>AVERAGE(F17:Y17)</f>
        <v>0.45999999999999996</v>
      </c>
      <c r="G39" s="75">
        <f>_xlfn.STDEV.S(F17:Z17)</f>
        <v>0.35601327860833315</v>
      </c>
      <c r="H39" s="77">
        <f>MAX(F17:Y17)</f>
        <v>0.89</v>
      </c>
      <c r="I39" s="48">
        <f>AVERAGE(AB17:AC17)</f>
        <v>0</v>
      </c>
      <c r="J39" s="49">
        <f>_xlfn.STDEV.S(AB17:AC17)</f>
        <v>0</v>
      </c>
      <c r="K39" s="55"/>
    </row>
    <row r="42" spans="2:11" ht="18.75" x14ac:dyDescent="0.3">
      <c r="B42" s="27" t="s">
        <v>87</v>
      </c>
    </row>
    <row r="43" spans="2:11" ht="15" customHeight="1" thickBot="1" x14ac:dyDescent="0.3">
      <c r="B43" s="26"/>
    </row>
    <row r="44" spans="2:11" ht="32.25" customHeight="1" x14ac:dyDescent="0.25">
      <c r="D44" s="81" t="s">
        <v>94</v>
      </c>
      <c r="E44" s="66" t="s">
        <v>22</v>
      </c>
      <c r="F44" s="292" t="s">
        <v>89</v>
      </c>
      <c r="G44" s="293"/>
      <c r="H44" s="294"/>
      <c r="I44" s="292" t="s">
        <v>88</v>
      </c>
      <c r="J44" s="293"/>
      <c r="K44" s="294"/>
    </row>
    <row r="45" spans="2:11" x14ac:dyDescent="0.25">
      <c r="D45" s="39" t="s">
        <v>53</v>
      </c>
      <c r="E45" s="67"/>
      <c r="F45" s="72" t="s">
        <v>55</v>
      </c>
      <c r="G45" s="73" t="s">
        <v>20</v>
      </c>
      <c r="H45" s="78" t="s">
        <v>93</v>
      </c>
      <c r="I45" s="68" t="s">
        <v>55</v>
      </c>
      <c r="J45" s="73" t="s">
        <v>20</v>
      </c>
      <c r="K45" s="78" t="s">
        <v>93</v>
      </c>
    </row>
    <row r="46" spans="2:11" x14ac:dyDescent="0.25">
      <c r="D46" s="40" t="s">
        <v>37</v>
      </c>
      <c r="E46" s="67" t="s">
        <v>38</v>
      </c>
      <c r="F46" s="42">
        <f>AVERAGE(F9,R9:W9)</f>
        <v>28.528571428571428</v>
      </c>
      <c r="G46" s="74">
        <f>_xlfn.STDEV.S(F9,R9:W9)</f>
        <v>0.76095178496907401</v>
      </c>
      <c r="H46" s="76">
        <f>MAX(F9,R9:W9)</f>
        <v>30.1</v>
      </c>
      <c r="I46" s="46">
        <f>AVERAGE(G9:Q9,X9:Y9)</f>
        <v>17.690769230769231</v>
      </c>
      <c r="J46" s="79">
        <f>_xlfn.STDEV.S(G9:Q9,X9:Y9)</f>
        <v>0.93353683678847166</v>
      </c>
      <c r="K46" s="76">
        <f>MAX(G9:Q9,X9:Y9)</f>
        <v>18.8</v>
      </c>
    </row>
    <row r="47" spans="2:11" x14ac:dyDescent="0.25">
      <c r="D47" s="40" t="s">
        <v>40</v>
      </c>
      <c r="E47" s="67"/>
      <c r="F47" s="42">
        <f>AVERAGE(F10,R10:W10)</f>
        <v>6.5228571428571431</v>
      </c>
      <c r="G47" s="74">
        <f>_xlfn.STDEV.S(F10,R10:W10)</f>
        <v>0.24877796564502294</v>
      </c>
      <c r="H47" s="76">
        <f>MAX(F10,R10:W10)</f>
        <v>6.78</v>
      </c>
      <c r="I47" s="46">
        <f>AVERAGE(G10:Q10,X10:Y10)</f>
        <v>8.2138461538461538</v>
      </c>
      <c r="J47" s="79">
        <f>_xlfn.STDEV.S(G10:Q10,X10:Y10)</f>
        <v>0.49506798289962922</v>
      </c>
      <c r="K47" s="76">
        <f>MAX(G10:Q10,X10:Y10)</f>
        <v>8.99</v>
      </c>
    </row>
    <row r="48" spans="2:11" x14ac:dyDescent="0.25">
      <c r="D48" s="40" t="s">
        <v>42</v>
      </c>
      <c r="E48" s="67" t="s">
        <v>12</v>
      </c>
      <c r="F48" s="42">
        <f>AVERAGE(F11,R11:W11)</f>
        <v>2083.1428571428573</v>
      </c>
      <c r="G48" s="74">
        <f>_xlfn.STDEV.S(F11,R11:W11)</f>
        <v>105.79607518149965</v>
      </c>
      <c r="H48" s="76">
        <f>MAX(F11,R11:W11)</f>
        <v>2286</v>
      </c>
      <c r="I48" s="46">
        <f>AVERAGE(G11:Q11,X11:Y11)</f>
        <v>3121</v>
      </c>
      <c r="J48" s="79">
        <f>_xlfn.STDEV.S(G11:Q11,X11:Y11)</f>
        <v>468.96055271205915</v>
      </c>
      <c r="K48" s="76">
        <f>MAX(G11:Q11,X11:Y11)</f>
        <v>3820</v>
      </c>
    </row>
    <row r="49" spans="4:11" ht="15" customHeight="1" x14ac:dyDescent="0.25">
      <c r="D49" s="40" t="s">
        <v>17</v>
      </c>
      <c r="E49" s="67" t="s">
        <v>12</v>
      </c>
      <c r="F49" s="42">
        <f>AVERAGE(F15,R15:W15)</f>
        <v>255.71428571428572</v>
      </c>
      <c r="G49" s="74">
        <f>_xlfn.STDEV.S(F15,R15:W15)</f>
        <v>91.078197694278614</v>
      </c>
      <c r="H49" s="76">
        <f>MAX(F15,R15:W15)</f>
        <v>410</v>
      </c>
      <c r="I49" s="46">
        <f>AVERAGE(G15:Q15,X15:Y15)</f>
        <v>507.15384615384613</v>
      </c>
      <c r="J49" s="79">
        <f>_xlfn.STDEV.S(G15:Q15,X15:Y15)</f>
        <v>134.0086105155475</v>
      </c>
      <c r="K49" s="76">
        <f>MAX(G15:Q15,X15:Y15)</f>
        <v>750</v>
      </c>
    </row>
    <row r="50" spans="4:11" x14ac:dyDescent="0.25">
      <c r="D50" s="40" t="s">
        <v>18</v>
      </c>
      <c r="E50" s="67" t="s">
        <v>12</v>
      </c>
      <c r="F50" s="42">
        <f>AVERAGE(F16,R16:W16)</f>
        <v>392.71428571428572</v>
      </c>
      <c r="G50" s="74">
        <f>_xlfn.STDEV.S(F16,R16:W16)</f>
        <v>145.98026611579425</v>
      </c>
      <c r="H50" s="76">
        <f>MAX(F16,R16:W16)</f>
        <v>637</v>
      </c>
      <c r="I50" s="46">
        <f>AVERAGE(G16:Q16,X16:Y16)</f>
        <v>1032.8461538461538</v>
      </c>
      <c r="J50" s="79">
        <f>_xlfn.STDEV.S(G16:Q16,X16:Y16)</f>
        <v>259.47859454228785</v>
      </c>
      <c r="K50" s="76">
        <f>MAX(G16:Q16,X16:Y16)</f>
        <v>1500</v>
      </c>
    </row>
    <row r="51" spans="4:11" x14ac:dyDescent="0.25">
      <c r="D51" s="40" t="s">
        <v>59</v>
      </c>
      <c r="E51" s="67" t="s">
        <v>12</v>
      </c>
      <c r="F51" s="42">
        <f>AVERAGE(F12,R12:W12)</f>
        <v>1432.8571428571429</v>
      </c>
      <c r="G51" s="74">
        <f>_xlfn.STDEV.S(F12,R12:W12)</f>
        <v>112.50544960345783</v>
      </c>
      <c r="H51" s="76">
        <f>MAX(F12,R12:W12)</f>
        <v>1644</v>
      </c>
      <c r="I51" s="46">
        <f>AVERAGE(G12:Q12,X12:Y12)</f>
        <v>2527.5833333333335</v>
      </c>
      <c r="J51" s="79">
        <f>_xlfn.STDEV.S(G12:Q12,X12:Y12)</f>
        <v>1239.5765008724359</v>
      </c>
      <c r="K51" s="76">
        <f>MAX(G12:Q12,X12:Y12)</f>
        <v>6340</v>
      </c>
    </row>
    <row r="52" spans="4:11" x14ac:dyDescent="0.25">
      <c r="D52" s="40" t="s">
        <v>13</v>
      </c>
      <c r="E52" s="67" t="s">
        <v>12</v>
      </c>
      <c r="F52" s="42">
        <f>AVERAGE(F13,R13:W13)</f>
        <v>1002.5714285714286</v>
      </c>
      <c r="G52" s="74">
        <f>_xlfn.STDEV.S(F13,R13:W13)</f>
        <v>401.7175032046182</v>
      </c>
      <c r="H52" s="76">
        <f>MAX(F13,R13:W13)</f>
        <v>1257</v>
      </c>
      <c r="I52" s="46">
        <f>AVERAGE(G13:Q13,X13:Y13)</f>
        <v>1780.5384615384614</v>
      </c>
      <c r="J52" s="79">
        <f>_xlfn.STDEV.S(G13:Q13,X13:Y13)</f>
        <v>290.36345482418409</v>
      </c>
      <c r="K52" s="76">
        <f>MAX(G13:Q13,X13:Y13)</f>
        <v>2345</v>
      </c>
    </row>
    <row r="53" spans="4:11" x14ac:dyDescent="0.25">
      <c r="D53" s="40" t="s">
        <v>15</v>
      </c>
      <c r="E53" s="67" t="s">
        <v>12</v>
      </c>
      <c r="F53" s="42">
        <f>AVERAGE(F14,R14:W14)</f>
        <v>287.42857142857144</v>
      </c>
      <c r="G53" s="74">
        <f>_xlfn.STDEV.S(F14,R14:W14)</f>
        <v>90.913616770458091</v>
      </c>
      <c r="H53" s="76">
        <f>MAX(F14,R14:W14)</f>
        <v>492</v>
      </c>
      <c r="I53" s="46">
        <f>AVERAGE(G14:Q14,X14:Y14)</f>
        <v>794.08333333333337</v>
      </c>
      <c r="J53" s="79">
        <f>_xlfn.STDEV.S(G14:Q14,X14:Y14)</f>
        <v>1246.1444143899018</v>
      </c>
      <c r="K53" s="76">
        <f>MAX(G14:Q14,X14:Y14)</f>
        <v>4627</v>
      </c>
    </row>
    <row r="54" spans="4:11" x14ac:dyDescent="0.25">
      <c r="D54" s="40" t="s">
        <v>49</v>
      </c>
      <c r="E54" s="67" t="s">
        <v>12</v>
      </c>
      <c r="F54" s="42">
        <f>AVERAGE(F18,R18:W18)</f>
        <v>3</v>
      </c>
      <c r="G54" s="74"/>
      <c r="H54" s="76">
        <f>MAX(F18,R18:W18)</f>
        <v>3</v>
      </c>
      <c r="I54" s="46">
        <f>AVERAGE(G18:Q18,X18:Y18)</f>
        <v>5.0363636363636362</v>
      </c>
      <c r="J54" s="79">
        <f>_xlfn.STDEV.S(G18:Q18,X18:Y18)</f>
        <v>1.9530861359769704</v>
      </c>
      <c r="K54" s="76">
        <f>MAX(G18:Q18,X18:Y18)</f>
        <v>7</v>
      </c>
    </row>
    <row r="55" spans="4:11" x14ac:dyDescent="0.25">
      <c r="D55" s="40" t="s">
        <v>50</v>
      </c>
      <c r="E55" s="67" t="s">
        <v>12</v>
      </c>
      <c r="F55" s="42">
        <f>AVERAGE(F19,R19:W19)</f>
        <v>9.5428571428571427</v>
      </c>
      <c r="G55" s="74">
        <f>_xlfn.STDEV.S(F19,R19:W19)</f>
        <v>8.4267148883490659</v>
      </c>
      <c r="H55" s="76">
        <f>MAX(F19,R19:W19)</f>
        <v>28</v>
      </c>
      <c r="I55" s="46">
        <f>AVERAGE(G19:Q19,X19:Y19)</f>
        <v>18.075000000000003</v>
      </c>
      <c r="J55" s="79">
        <f>_xlfn.STDEV.S(G19:Q19,X19:Y19)</f>
        <v>7.6587590972096029</v>
      </c>
      <c r="K55" s="76">
        <f>MAX(G19:Q19,X19:Y19)</f>
        <v>28</v>
      </c>
    </row>
    <row r="56" spans="4:11" x14ac:dyDescent="0.25">
      <c r="D56" s="40" t="s">
        <v>57</v>
      </c>
      <c r="E56" s="67" t="s">
        <v>12</v>
      </c>
      <c r="F56" s="42">
        <f>AVERAGE(F20,R20:W20)</f>
        <v>0</v>
      </c>
      <c r="G56" s="74"/>
      <c r="H56" s="76">
        <f>MAX(F20,R20:W20)</f>
        <v>0</v>
      </c>
      <c r="I56" s="46">
        <f>AVERAGE(G20:Q20,X20:Y20)</f>
        <v>0.33181818181818179</v>
      </c>
      <c r="J56" s="79">
        <f>_xlfn.STDEV.S(G20:Q20,X20:Y20)</f>
        <v>1.019380382210862</v>
      </c>
      <c r="K56" s="76">
        <f>MAX(G20:Q20,X20:Y20)</f>
        <v>3.4</v>
      </c>
    </row>
    <row r="57" spans="4:11" x14ac:dyDescent="0.25">
      <c r="D57" s="40" t="s">
        <v>58</v>
      </c>
      <c r="E57" s="67" t="s">
        <v>12</v>
      </c>
      <c r="F57" s="42">
        <f>AVERAGE(F21,R21:W21)</f>
        <v>0</v>
      </c>
      <c r="G57" s="74"/>
      <c r="H57" s="76">
        <f>MAX(F21,R21:W21)</f>
        <v>0</v>
      </c>
      <c r="I57" s="46">
        <f>AVERAGE(G21:Q21,X21:Y21)</f>
        <v>0.60336363636363632</v>
      </c>
      <c r="J57" s="79">
        <f>_xlfn.STDEV.S(G21:Q21,X21:Y21)</f>
        <v>1.4310102915581895</v>
      </c>
      <c r="K57" s="76">
        <f>MAX(G21:Q21,X21:Y21)</f>
        <v>4.4269999999999996</v>
      </c>
    </row>
    <row r="58" spans="4:11" ht="15.75" thickBot="1" x14ac:dyDescent="0.3">
      <c r="D58" s="40" t="s">
        <v>56</v>
      </c>
      <c r="E58" s="67" t="s">
        <v>12</v>
      </c>
      <c r="F58" s="43">
        <f>AVERAGE(F17,R17:W17)</f>
        <v>0</v>
      </c>
      <c r="G58" s="75"/>
      <c r="H58" s="77">
        <f>MAX(F17,R17:W17)</f>
        <v>0</v>
      </c>
      <c r="I58" s="48">
        <f>AVERAGE(G17:Q17,X17:Y17)</f>
        <v>0.50181818181818183</v>
      </c>
      <c r="J58" s="80">
        <f>_xlfn.STDEV.S(G17:Q17,X17:Y17)</f>
        <v>0.34108116869209265</v>
      </c>
      <c r="K58" s="77">
        <f>MAX(G17:Q17,X17:Y17)</f>
        <v>0.89</v>
      </c>
    </row>
  </sheetData>
  <mergeCells count="8">
    <mergeCell ref="F25:H25"/>
    <mergeCell ref="F44:H44"/>
    <mergeCell ref="I44:K44"/>
    <mergeCell ref="I25:J25"/>
    <mergeCell ref="B7:B8"/>
    <mergeCell ref="C7:C8"/>
    <mergeCell ref="E7:E8"/>
    <mergeCell ref="F7: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workbookViewId="0">
      <selection activeCell="I20" sqref="I20:I21"/>
    </sheetView>
  </sheetViews>
  <sheetFormatPr defaultColWidth="9.140625" defaultRowHeight="15" x14ac:dyDescent="0.25"/>
  <cols>
    <col min="2" max="2" width="20.5703125" customWidth="1"/>
    <col min="4" max="4" width="17.140625" customWidth="1"/>
    <col min="5" max="5" width="17.28515625" customWidth="1"/>
    <col min="6" max="6" width="14.5703125" customWidth="1"/>
    <col min="7" max="7" width="14.28515625" customWidth="1"/>
    <col min="8" max="8" width="9.85546875" customWidth="1"/>
    <col min="9" max="9" width="10.85546875" customWidth="1"/>
  </cols>
  <sheetData>
    <row r="2" spans="2:13" ht="18.75" x14ac:dyDescent="0.3">
      <c r="B2" s="27" t="s">
        <v>101</v>
      </c>
    </row>
    <row r="4" spans="2:13" ht="15.75" x14ac:dyDescent="0.25">
      <c r="B4" s="71" t="s">
        <v>84</v>
      </c>
    </row>
    <row r="6" spans="2:13" ht="38.25" x14ac:dyDescent="0.25">
      <c r="B6" s="297" t="s">
        <v>100</v>
      </c>
      <c r="C6" s="298"/>
      <c r="D6" s="17" t="s">
        <v>25</v>
      </c>
      <c r="E6" s="16" t="s">
        <v>23</v>
      </c>
      <c r="F6" s="17" t="s">
        <v>24</v>
      </c>
      <c r="G6" s="17" t="s">
        <v>26</v>
      </c>
      <c r="H6" s="15"/>
      <c r="I6" s="15"/>
      <c r="L6" s="61" t="s">
        <v>74</v>
      </c>
      <c r="M6" s="59"/>
    </row>
    <row r="7" spans="2:13" x14ac:dyDescent="0.25">
      <c r="B7" s="14" t="s">
        <v>53</v>
      </c>
      <c r="C7" s="13" t="s">
        <v>22</v>
      </c>
      <c r="D7" s="12">
        <v>40706</v>
      </c>
      <c r="E7" s="12">
        <v>40805</v>
      </c>
      <c r="F7" s="12">
        <v>40807</v>
      </c>
      <c r="G7" s="12">
        <v>40871</v>
      </c>
      <c r="H7" s="11" t="s">
        <v>21</v>
      </c>
      <c r="I7" s="11" t="s">
        <v>20</v>
      </c>
      <c r="J7" s="11" t="s">
        <v>93</v>
      </c>
      <c r="L7" s="59"/>
      <c r="M7" s="59"/>
    </row>
    <row r="8" spans="2:13" x14ac:dyDescent="0.25">
      <c r="B8" s="7" t="s">
        <v>19</v>
      </c>
      <c r="C8" s="5" t="s">
        <v>6</v>
      </c>
      <c r="D8" s="5">
        <v>6.5</v>
      </c>
      <c r="E8" s="5">
        <v>7.34</v>
      </c>
      <c r="F8" s="5">
        <v>7.24</v>
      </c>
      <c r="G8" s="5">
        <v>7</v>
      </c>
      <c r="H8" s="3">
        <f>AVERAGE(D8:G8)</f>
        <v>7.02</v>
      </c>
      <c r="I8" s="2">
        <f>STDEVA(D8:G8)</f>
        <v>0.37487775785358796</v>
      </c>
      <c r="J8" s="83">
        <f>MAX(D8:G8)</f>
        <v>7.34</v>
      </c>
      <c r="L8" s="62">
        <f t="shared" ref="L8:L21" si="0">AVERAGE(D8:F8)</f>
        <v>7.0266666666666664</v>
      </c>
      <c r="M8" s="60">
        <f>_xlfn.STDEV.S(D8:F8)</f>
        <v>0.45883911486852702</v>
      </c>
    </row>
    <row r="9" spans="2:13" x14ac:dyDescent="0.25">
      <c r="B9" s="10" t="s">
        <v>18</v>
      </c>
      <c r="C9" s="9" t="s">
        <v>16</v>
      </c>
      <c r="D9" s="5">
        <v>2282</v>
      </c>
      <c r="E9" s="5">
        <v>428</v>
      </c>
      <c r="F9" s="5">
        <v>2440</v>
      </c>
      <c r="G9" s="5">
        <v>1186</v>
      </c>
      <c r="H9" s="3">
        <f t="shared" ref="H9:H21" si="1">AVERAGE(D9:G9)</f>
        <v>1584</v>
      </c>
      <c r="I9" s="2">
        <f t="shared" ref="I9:I19" si="2">STDEVA(D9:G9)</f>
        <v>951.25881511465286</v>
      </c>
      <c r="J9" s="83">
        <f t="shared" ref="J9:J21" si="3">MAX(D9:G9)</f>
        <v>2440</v>
      </c>
      <c r="L9" s="62">
        <f t="shared" si="0"/>
        <v>1716.6666666666667</v>
      </c>
      <c r="M9" s="60">
        <f>_xlfn.STDEV.S(D9:F9)</f>
        <v>1118.8106780565392</v>
      </c>
    </row>
    <row r="10" spans="2:13" x14ac:dyDescent="0.25">
      <c r="B10" s="7" t="s">
        <v>17</v>
      </c>
      <c r="C10" s="9" t="s">
        <v>16</v>
      </c>
      <c r="D10" s="5">
        <v>1515</v>
      </c>
      <c r="E10" s="5">
        <v>267</v>
      </c>
      <c r="F10" s="5">
        <v>1635</v>
      </c>
      <c r="G10" s="5">
        <v>635</v>
      </c>
      <c r="H10" s="3">
        <f t="shared" si="1"/>
        <v>1013</v>
      </c>
      <c r="I10" s="2">
        <f t="shared" si="2"/>
        <v>667.90418474508749</v>
      </c>
      <c r="J10" s="83">
        <f t="shared" si="3"/>
        <v>1635</v>
      </c>
      <c r="L10" s="62">
        <f t="shared" si="0"/>
        <v>1139</v>
      </c>
      <c r="M10" s="60">
        <f>_xlfn.STDEV.S(D10:F10)</f>
        <v>757.5539584742462</v>
      </c>
    </row>
    <row r="11" spans="2:13" x14ac:dyDescent="0.25">
      <c r="B11" s="10" t="s">
        <v>15</v>
      </c>
      <c r="C11" s="9" t="s">
        <v>12</v>
      </c>
      <c r="D11" s="5">
        <v>1630</v>
      </c>
      <c r="E11" s="5">
        <v>108</v>
      </c>
      <c r="F11" s="5">
        <v>728.5</v>
      </c>
      <c r="G11" s="5">
        <v>472</v>
      </c>
      <c r="H11" s="3">
        <f t="shared" si="1"/>
        <v>734.625</v>
      </c>
      <c r="I11" s="2">
        <f t="shared" si="2"/>
        <v>648.9387971912297</v>
      </c>
      <c r="J11" s="83">
        <f t="shared" si="3"/>
        <v>1630</v>
      </c>
      <c r="L11" s="62">
        <f t="shared" si="0"/>
        <v>822.16666666666663</v>
      </c>
      <c r="M11" s="60">
        <f>_xlfn.STDEV.S(D11:F11)</f>
        <v>765.31110231939886</v>
      </c>
    </row>
    <row r="12" spans="2:13" x14ac:dyDescent="0.25">
      <c r="B12" s="10" t="s">
        <v>14</v>
      </c>
      <c r="C12" s="9" t="s">
        <v>12</v>
      </c>
      <c r="D12" s="5"/>
      <c r="E12" s="4"/>
      <c r="F12" s="5"/>
      <c r="G12" s="5">
        <v>124</v>
      </c>
      <c r="H12" s="3">
        <f t="shared" si="1"/>
        <v>124</v>
      </c>
      <c r="I12" s="2"/>
      <c r="J12" s="83">
        <f t="shared" si="3"/>
        <v>124</v>
      </c>
      <c r="L12" s="62" t="e">
        <f t="shared" si="0"/>
        <v>#DIV/0!</v>
      </c>
      <c r="M12" s="60"/>
    </row>
    <row r="13" spans="2:13" x14ac:dyDescent="0.25">
      <c r="B13" s="10" t="s">
        <v>13</v>
      </c>
      <c r="C13" s="9" t="s">
        <v>12</v>
      </c>
      <c r="D13" s="5">
        <v>585</v>
      </c>
      <c r="E13" s="5">
        <v>2075</v>
      </c>
      <c r="F13" s="5">
        <v>503.5</v>
      </c>
      <c r="G13" s="5">
        <v>1188</v>
      </c>
      <c r="H13" s="3">
        <f t="shared" si="1"/>
        <v>1087.875</v>
      </c>
      <c r="I13" s="2">
        <f t="shared" si="2"/>
        <v>725.446572234418</v>
      </c>
      <c r="J13" s="83">
        <f t="shared" si="3"/>
        <v>2075</v>
      </c>
      <c r="L13" s="62">
        <f t="shared" si="0"/>
        <v>1054.5</v>
      </c>
      <c r="M13" s="60">
        <f>_xlfn.STDEV.S(D13:F13)</f>
        <v>884.71789289015737</v>
      </c>
    </row>
    <row r="14" spans="2:13" x14ac:dyDescent="0.25">
      <c r="B14" s="10" t="s">
        <v>11</v>
      </c>
      <c r="C14" s="9" t="s">
        <v>7</v>
      </c>
      <c r="D14" s="5"/>
      <c r="E14" s="5">
        <v>13.9</v>
      </c>
      <c r="F14" s="5">
        <v>34.72</v>
      </c>
      <c r="G14" s="5">
        <v>48</v>
      </c>
      <c r="H14" s="3">
        <f t="shared" si="1"/>
        <v>32.206666666666671</v>
      </c>
      <c r="I14" s="2">
        <f t="shared" si="2"/>
        <v>17.188372038483838</v>
      </c>
      <c r="J14" s="83">
        <f t="shared" si="3"/>
        <v>48</v>
      </c>
      <c r="L14" s="62">
        <f t="shared" si="0"/>
        <v>24.31</v>
      </c>
      <c r="M14" s="60">
        <f>_xlfn.STDEV.S(D14:F14)</f>
        <v>14.721963184303922</v>
      </c>
    </row>
    <row r="15" spans="2:13" x14ac:dyDescent="0.25">
      <c r="B15" s="10" t="s">
        <v>10</v>
      </c>
      <c r="C15" s="9" t="s">
        <v>7</v>
      </c>
      <c r="D15" s="5">
        <v>50.4</v>
      </c>
      <c r="E15" s="5">
        <v>29.68</v>
      </c>
      <c r="F15" s="5">
        <v>73.92</v>
      </c>
      <c r="G15" s="5">
        <v>33</v>
      </c>
      <c r="H15" s="3">
        <f t="shared" si="1"/>
        <v>46.75</v>
      </c>
      <c r="I15" s="2">
        <f t="shared" si="2"/>
        <v>20.264737846811645</v>
      </c>
      <c r="J15" s="83">
        <f t="shared" si="3"/>
        <v>73.92</v>
      </c>
      <c r="L15" s="62">
        <f t="shared" si="0"/>
        <v>51.333333333333336</v>
      </c>
      <c r="M15" s="60">
        <f>_xlfn.STDEV.S(D15:F15)</f>
        <v>22.134763006034962</v>
      </c>
    </row>
    <row r="16" spans="2:13" x14ac:dyDescent="0.25">
      <c r="B16" s="7" t="s">
        <v>9</v>
      </c>
      <c r="C16" s="9" t="s">
        <v>7</v>
      </c>
      <c r="D16" s="8" t="s">
        <v>6</v>
      </c>
      <c r="E16" s="5" t="s">
        <v>6</v>
      </c>
      <c r="F16" s="5">
        <v>1E-3</v>
      </c>
      <c r="G16" s="5" t="s">
        <v>6</v>
      </c>
      <c r="H16" s="3">
        <f t="shared" si="1"/>
        <v>1E-3</v>
      </c>
      <c r="I16" s="2">
        <f t="shared" si="2"/>
        <v>5.0000000000000001E-4</v>
      </c>
      <c r="J16" s="83">
        <f t="shared" si="3"/>
        <v>1E-3</v>
      </c>
      <c r="L16" s="62">
        <f t="shared" si="0"/>
        <v>1E-3</v>
      </c>
      <c r="M16" s="60"/>
    </row>
    <row r="17" spans="2:13" x14ac:dyDescent="0.25">
      <c r="B17" s="7" t="s">
        <v>8</v>
      </c>
      <c r="C17" s="9" t="s">
        <v>7</v>
      </c>
      <c r="D17" s="8" t="s">
        <v>6</v>
      </c>
      <c r="E17" s="5" t="s">
        <v>6</v>
      </c>
      <c r="F17" s="5">
        <v>0.02</v>
      </c>
      <c r="G17" s="5" t="s">
        <v>6</v>
      </c>
      <c r="H17" s="3">
        <f t="shared" si="1"/>
        <v>0.02</v>
      </c>
      <c r="I17" s="2">
        <f t="shared" si="2"/>
        <v>0.01</v>
      </c>
      <c r="J17" s="83">
        <f t="shared" si="3"/>
        <v>0.02</v>
      </c>
      <c r="L17" s="62">
        <f t="shared" si="0"/>
        <v>0.02</v>
      </c>
      <c r="M17" s="60"/>
    </row>
    <row r="18" spans="2:13" x14ac:dyDescent="0.25">
      <c r="B18" s="10" t="s">
        <v>5</v>
      </c>
      <c r="C18" s="9" t="s">
        <v>4</v>
      </c>
      <c r="D18" s="5"/>
      <c r="E18" s="5">
        <v>4.5</v>
      </c>
      <c r="F18" s="5">
        <v>7.2</v>
      </c>
      <c r="G18" s="5">
        <v>10.6</v>
      </c>
      <c r="H18" s="3">
        <f t="shared" si="1"/>
        <v>7.4333333333333327</v>
      </c>
      <c r="I18" s="2">
        <f t="shared" si="2"/>
        <v>3.0566866593312025</v>
      </c>
      <c r="J18" s="83">
        <f t="shared" si="3"/>
        <v>10.6</v>
      </c>
      <c r="L18" s="62">
        <f t="shared" si="0"/>
        <v>5.85</v>
      </c>
      <c r="M18" s="60">
        <f>_xlfn.STDEV.S(D18:F18)</f>
        <v>1.909188309203681</v>
      </c>
    </row>
    <row r="19" spans="2:13" x14ac:dyDescent="0.25">
      <c r="B19" s="7" t="s">
        <v>3</v>
      </c>
      <c r="C19" s="9" t="s">
        <v>2</v>
      </c>
      <c r="D19" s="21">
        <v>670000</v>
      </c>
      <c r="E19" s="21">
        <v>4200000</v>
      </c>
      <c r="F19" s="20">
        <v>72000</v>
      </c>
      <c r="G19" s="19">
        <v>1200000</v>
      </c>
      <c r="H19" s="3">
        <f t="shared" si="1"/>
        <v>1535500</v>
      </c>
      <c r="I19" s="2">
        <f t="shared" si="2"/>
        <v>1835124.246474881</v>
      </c>
      <c r="J19" s="83">
        <f t="shared" si="3"/>
        <v>4200000</v>
      </c>
      <c r="L19" s="62">
        <f t="shared" si="0"/>
        <v>1647333.3333333333</v>
      </c>
      <c r="M19" s="60">
        <f>_xlfn.STDEV.S(D19:F19)</f>
        <v>2230802.8450164157</v>
      </c>
    </row>
    <row r="20" spans="2:13" x14ac:dyDescent="0.25">
      <c r="B20" s="7" t="s">
        <v>1</v>
      </c>
      <c r="C20" s="6"/>
      <c r="D20" s="5">
        <v>159.6</v>
      </c>
      <c r="E20" s="4"/>
      <c r="F20" s="4"/>
      <c r="G20" s="6"/>
      <c r="H20" s="3">
        <f t="shared" si="1"/>
        <v>159.6</v>
      </c>
      <c r="I20" s="2"/>
      <c r="J20" s="83">
        <f t="shared" si="3"/>
        <v>159.6</v>
      </c>
      <c r="L20" s="62">
        <f t="shared" si="0"/>
        <v>159.6</v>
      </c>
      <c r="M20" s="60"/>
    </row>
    <row r="21" spans="2:13" x14ac:dyDescent="0.25">
      <c r="B21" s="7" t="s">
        <v>0</v>
      </c>
      <c r="C21" s="6"/>
      <c r="D21" s="5">
        <v>4.5</v>
      </c>
      <c r="E21" s="4"/>
      <c r="F21" s="4"/>
      <c r="G21" s="6"/>
      <c r="H21" s="3">
        <f t="shared" si="1"/>
        <v>4.5</v>
      </c>
      <c r="I21" s="2"/>
      <c r="J21" s="83">
        <f t="shared" si="3"/>
        <v>4.5</v>
      </c>
      <c r="L21" s="62">
        <f t="shared" si="0"/>
        <v>4.5</v>
      </c>
      <c r="M21" s="60"/>
    </row>
    <row r="23" spans="2:13" x14ac:dyDescent="0.25">
      <c r="E23" t="s">
        <v>97</v>
      </c>
    </row>
    <row r="25" spans="2:13" x14ac:dyDescent="0.25">
      <c r="B25" t="s">
        <v>104</v>
      </c>
    </row>
    <row r="26" spans="2:13" x14ac:dyDescent="0.25">
      <c r="D26" s="18"/>
    </row>
    <row r="28" spans="2:13" ht="15.75" x14ac:dyDescent="0.3">
      <c r="B28" s="1" t="s">
        <v>98</v>
      </c>
    </row>
  </sheetData>
  <mergeCells count="1">
    <mergeCell ref="B6:C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5"/>
  <sheetViews>
    <sheetView workbookViewId="0">
      <selection activeCell="T7" sqref="T7"/>
    </sheetView>
  </sheetViews>
  <sheetFormatPr defaultColWidth="12.85546875" defaultRowHeight="12.75" x14ac:dyDescent="0.2"/>
  <cols>
    <col min="1" max="1" width="3.7109375" style="38" customWidth="1"/>
    <col min="2" max="2" width="13.28515625" style="38" customWidth="1"/>
    <col min="3" max="3" width="9.140625" style="38" customWidth="1"/>
    <col min="4" max="6" width="6" style="38" customWidth="1"/>
    <col min="7" max="7" width="13.7109375" style="38" customWidth="1"/>
    <col min="8" max="19" width="7.140625" style="38" customWidth="1"/>
    <col min="20" max="24" width="9" style="38" customWidth="1"/>
    <col min="25" max="16384" width="12.85546875" style="38"/>
  </cols>
  <sheetData>
    <row r="2" spans="1:24" ht="29.25" customHeight="1" x14ac:dyDescent="0.25">
      <c r="B2" s="299" t="s">
        <v>115</v>
      </c>
      <c r="C2" s="299"/>
      <c r="D2" s="299"/>
      <c r="E2" s="299"/>
      <c r="F2" s="299"/>
      <c r="G2" s="299"/>
      <c r="H2" s="299"/>
      <c r="I2" s="299"/>
      <c r="J2" s="299"/>
      <c r="K2" s="299"/>
      <c r="L2" s="299"/>
      <c r="M2" s="299"/>
      <c r="N2" s="299"/>
      <c r="O2" s="299"/>
      <c r="P2" s="299"/>
      <c r="Q2" s="299"/>
      <c r="R2" s="299"/>
      <c r="S2" s="299"/>
      <c r="T2" s="299"/>
      <c r="U2" s="299"/>
      <c r="V2" s="299"/>
      <c r="W2" s="299"/>
    </row>
    <row r="5" spans="1:24" ht="20.25" customHeight="1" x14ac:dyDescent="0.2">
      <c r="B5" s="285" t="s">
        <v>132</v>
      </c>
      <c r="C5" s="285"/>
      <c r="D5" s="314" t="s">
        <v>126</v>
      </c>
      <c r="E5" s="315"/>
      <c r="F5" s="316"/>
      <c r="G5" s="312" t="s">
        <v>127</v>
      </c>
      <c r="H5" s="291" t="s">
        <v>120</v>
      </c>
      <c r="I5" s="307"/>
      <c r="J5" s="307"/>
      <c r="K5" s="308"/>
      <c r="L5" s="306" t="s">
        <v>109</v>
      </c>
      <c r="M5" s="307"/>
      <c r="N5" s="307"/>
      <c r="O5" s="308"/>
      <c r="P5" s="306" t="s">
        <v>110</v>
      </c>
      <c r="Q5" s="307"/>
      <c r="R5" s="307"/>
      <c r="S5" s="307"/>
      <c r="T5" s="304" t="s">
        <v>55</v>
      </c>
      <c r="U5" s="302" t="s">
        <v>20</v>
      </c>
      <c r="V5" s="302" t="s">
        <v>93</v>
      </c>
      <c r="W5" s="300" t="s">
        <v>114</v>
      </c>
      <c r="X5" s="255"/>
    </row>
    <row r="6" spans="1:24" ht="21.75" customHeight="1" x14ac:dyDescent="0.2">
      <c r="A6" s="84"/>
      <c r="B6" s="113" t="s">
        <v>113</v>
      </c>
      <c r="C6" s="114" t="s">
        <v>28</v>
      </c>
      <c r="D6" s="317"/>
      <c r="E6" s="318"/>
      <c r="F6" s="319"/>
      <c r="G6" s="313"/>
      <c r="H6" s="309"/>
      <c r="I6" s="310"/>
      <c r="J6" s="310"/>
      <c r="K6" s="311"/>
      <c r="L6" s="309"/>
      <c r="M6" s="310"/>
      <c r="N6" s="310"/>
      <c r="O6" s="311"/>
      <c r="P6" s="309"/>
      <c r="Q6" s="310"/>
      <c r="R6" s="310"/>
      <c r="S6" s="310"/>
      <c r="T6" s="305"/>
      <c r="U6" s="303"/>
      <c r="V6" s="303"/>
      <c r="W6" s="301"/>
      <c r="X6" s="256"/>
    </row>
    <row r="7" spans="1:24" ht="15" x14ac:dyDescent="0.2">
      <c r="A7" s="85"/>
      <c r="B7" s="113" t="s">
        <v>40</v>
      </c>
      <c r="C7" s="114" t="s">
        <v>6</v>
      </c>
      <c r="D7" s="115">
        <v>7</v>
      </c>
      <c r="E7" s="115">
        <v>7.8</v>
      </c>
      <c r="F7" s="115">
        <v>7.8</v>
      </c>
      <c r="G7" s="115">
        <v>7.7</v>
      </c>
      <c r="H7" s="116">
        <v>7.7298657718120802</v>
      </c>
      <c r="I7" s="116">
        <v>8.2332214765100673</v>
      </c>
      <c r="J7" s="116">
        <v>8.1828859060402657</v>
      </c>
      <c r="K7" s="116">
        <v>7.7399328859060397</v>
      </c>
      <c r="L7" s="116">
        <v>8.1023489932885902</v>
      </c>
      <c r="M7" s="116">
        <v>8.0620805369127506</v>
      </c>
      <c r="N7" s="116">
        <v>7.921140939597314</v>
      </c>
      <c r="O7" s="116">
        <v>7.921140939597314</v>
      </c>
      <c r="P7" s="116">
        <v>7.7011469146456299</v>
      </c>
      <c r="Q7" s="116">
        <v>7.3866137192905805</v>
      </c>
      <c r="R7" s="116">
        <v>7.4161012063551164</v>
      </c>
      <c r="S7" s="116">
        <v>7.3472970698711997</v>
      </c>
      <c r="T7" s="241">
        <f>AVERAGE(D7:S7)</f>
        <v>7.7527360224891844</v>
      </c>
      <c r="U7" s="164">
        <f>STDEVA(D7:S7)</f>
        <v>0.3346139016963508</v>
      </c>
      <c r="V7" s="164">
        <f>MAX(D7:S7)</f>
        <v>8.2332214765100673</v>
      </c>
      <c r="W7" s="165">
        <f>COUNTA(D7:S7)</f>
        <v>16</v>
      </c>
      <c r="X7" s="117" t="s">
        <v>66</v>
      </c>
    </row>
    <row r="8" spans="1:24" ht="15" x14ac:dyDescent="0.2">
      <c r="A8" s="86"/>
      <c r="B8" s="117" t="s">
        <v>56</v>
      </c>
      <c r="C8" s="118" t="s">
        <v>12</v>
      </c>
      <c r="D8" s="119"/>
      <c r="E8" s="119"/>
      <c r="F8" s="119"/>
      <c r="G8" s="119"/>
      <c r="H8" s="119"/>
      <c r="I8" s="119"/>
      <c r="J8" s="119"/>
      <c r="K8" s="119"/>
      <c r="L8" s="120">
        <v>0.15</v>
      </c>
      <c r="M8" s="120">
        <v>0.13</v>
      </c>
      <c r="N8" s="120">
        <v>0.11</v>
      </c>
      <c r="O8" s="120">
        <v>0.15</v>
      </c>
      <c r="P8" s="120">
        <v>0.13</v>
      </c>
      <c r="Q8" s="120"/>
      <c r="R8" s="120">
        <v>0.14000000000000001</v>
      </c>
      <c r="S8" s="120">
        <v>0.18</v>
      </c>
      <c r="T8" s="252">
        <f t="shared" ref="T8:T20" si="0">AVERAGE(D8:S8)</f>
        <v>0.14142857142857143</v>
      </c>
      <c r="U8" s="166">
        <f t="shared" ref="U8:U20" si="1">STDEVA(D8:S8)</f>
        <v>2.193062655175149E-2</v>
      </c>
      <c r="V8" s="166">
        <f t="shared" ref="V8:V20" si="2">MAX(D8:S8)</f>
        <v>0.18</v>
      </c>
      <c r="W8" s="165">
        <f t="shared" ref="W8:W20" si="3">COUNTA(D8:S8)</f>
        <v>7</v>
      </c>
      <c r="X8" s="117" t="s">
        <v>56</v>
      </c>
    </row>
    <row r="9" spans="1:24" ht="15" x14ac:dyDescent="0.2">
      <c r="A9" s="86"/>
      <c r="B9" s="145" t="s">
        <v>106</v>
      </c>
      <c r="C9" s="160" t="s">
        <v>111</v>
      </c>
      <c r="D9" s="161"/>
      <c r="E9" s="161"/>
      <c r="F9" s="161"/>
      <c r="G9" s="161"/>
      <c r="H9" s="161"/>
      <c r="I9" s="161"/>
      <c r="J9" s="161"/>
      <c r="K9" s="161"/>
      <c r="L9" s="162">
        <v>8.6199999999999992</v>
      </c>
      <c r="M9" s="162">
        <v>7.55</v>
      </c>
      <c r="N9" s="162">
        <v>2.65</v>
      </c>
      <c r="O9" s="162">
        <v>5.82</v>
      </c>
      <c r="P9" s="162">
        <v>3.54</v>
      </c>
      <c r="Q9" s="162">
        <v>2.75</v>
      </c>
      <c r="R9" s="162">
        <v>2.66</v>
      </c>
      <c r="S9" s="162">
        <v>2.9</v>
      </c>
      <c r="T9" s="252">
        <f t="shared" si="0"/>
        <v>4.5612499999999994</v>
      </c>
      <c r="U9" s="166">
        <f t="shared" si="1"/>
        <v>2.4302112635971156</v>
      </c>
      <c r="V9" s="166">
        <f t="shared" si="2"/>
        <v>8.6199999999999992</v>
      </c>
      <c r="W9" s="165">
        <f t="shared" si="3"/>
        <v>8</v>
      </c>
      <c r="X9" s="117" t="s">
        <v>106</v>
      </c>
    </row>
    <row r="10" spans="1:24" s="89" customFormat="1" ht="15" x14ac:dyDescent="0.2">
      <c r="A10" s="92"/>
      <c r="B10" s="200" t="s">
        <v>70</v>
      </c>
      <c r="C10" s="208" t="s">
        <v>12</v>
      </c>
      <c r="D10" s="208"/>
      <c r="E10" s="208"/>
      <c r="F10" s="208"/>
      <c r="G10" s="208"/>
      <c r="H10" s="208" t="s">
        <v>107</v>
      </c>
      <c r="I10" s="208">
        <v>182</v>
      </c>
      <c r="J10" s="208">
        <v>172</v>
      </c>
      <c r="K10" s="208">
        <v>840</v>
      </c>
      <c r="L10" s="209" t="s">
        <v>107</v>
      </c>
      <c r="M10" s="208"/>
      <c r="N10" s="208">
        <v>656</v>
      </c>
      <c r="O10" s="208">
        <v>5800</v>
      </c>
      <c r="P10" s="209">
        <v>1000</v>
      </c>
      <c r="Q10" s="209"/>
      <c r="R10" s="209">
        <v>2300</v>
      </c>
      <c r="S10" s="209"/>
      <c r="T10" s="253">
        <f>AVERAGE(D10:S10,3600,3600)</f>
        <v>2016.6666666666667</v>
      </c>
      <c r="U10" s="165">
        <f>STDEVA(D10:S10)</f>
        <v>1864.3411704942848</v>
      </c>
      <c r="V10" s="165">
        <f>MAX(D10:S10)</f>
        <v>5800</v>
      </c>
      <c r="W10" s="165">
        <f>COUNTA(D10:S10)</f>
        <v>9</v>
      </c>
      <c r="X10" s="121" t="s">
        <v>70</v>
      </c>
    </row>
    <row r="11" spans="1:24" s="89" customFormat="1" ht="15" x14ac:dyDescent="0.2">
      <c r="A11" s="91"/>
      <c r="B11" s="128" t="s">
        <v>69</v>
      </c>
      <c r="C11" s="129" t="s">
        <v>12</v>
      </c>
      <c r="D11" s="129">
        <v>3195</v>
      </c>
      <c r="E11" s="129">
        <v>2275</v>
      </c>
      <c r="F11" s="129">
        <v>2250</v>
      </c>
      <c r="G11" s="129">
        <v>1205</v>
      </c>
      <c r="H11" s="129">
        <v>15225</v>
      </c>
      <c r="I11" s="129">
        <v>375.32158846180903</v>
      </c>
      <c r="J11" s="129">
        <v>429.96267890612967</v>
      </c>
      <c r="K11" s="129">
        <v>1520.0972210493792</v>
      </c>
      <c r="L11" s="129">
        <v>8312.6117921851728</v>
      </c>
      <c r="M11" s="129">
        <v>5531.2907130111471</v>
      </c>
      <c r="N11" s="129">
        <v>1330.1970378658386</v>
      </c>
      <c r="O11" s="129">
        <v>12294.245349972145</v>
      </c>
      <c r="P11" s="129">
        <v>1321.2394820552943</v>
      </c>
      <c r="Q11" s="129"/>
      <c r="R11" s="129">
        <v>10686</v>
      </c>
      <c r="S11" s="129"/>
      <c r="T11" s="253">
        <f t="shared" si="0"/>
        <v>4710.7832759647799</v>
      </c>
      <c r="U11" s="165">
        <f t="shared" si="1"/>
        <v>4916.2476087040441</v>
      </c>
      <c r="V11" s="165">
        <f t="shared" si="2"/>
        <v>15225</v>
      </c>
      <c r="W11" s="165">
        <f t="shared" si="3"/>
        <v>14</v>
      </c>
      <c r="X11" s="121" t="s">
        <v>69</v>
      </c>
    </row>
    <row r="12" spans="1:24" s="89" customFormat="1" ht="15" x14ac:dyDescent="0.2">
      <c r="A12" s="92"/>
      <c r="B12" s="121" t="s">
        <v>59</v>
      </c>
      <c r="C12" s="122" t="s">
        <v>12</v>
      </c>
      <c r="D12" s="122">
        <v>2972</v>
      </c>
      <c r="E12" s="122">
        <v>1186</v>
      </c>
      <c r="F12" s="122">
        <v>703</v>
      </c>
      <c r="G12" s="122">
        <v>465</v>
      </c>
      <c r="H12" s="122">
        <v>28400</v>
      </c>
      <c r="I12" s="122">
        <v>1400</v>
      </c>
      <c r="J12" s="122">
        <v>1108</v>
      </c>
      <c r="K12" s="122">
        <v>4020</v>
      </c>
      <c r="L12" s="122">
        <v>23200</v>
      </c>
      <c r="M12" s="122">
        <v>3400</v>
      </c>
      <c r="N12" s="122">
        <v>2100</v>
      </c>
      <c r="O12" s="122">
        <v>17200</v>
      </c>
      <c r="P12" s="123">
        <v>1410</v>
      </c>
      <c r="Q12" s="123">
        <v>1100</v>
      </c>
      <c r="R12" s="123">
        <v>2190</v>
      </c>
      <c r="S12" s="123">
        <v>1804</v>
      </c>
      <c r="T12" s="253">
        <f t="shared" si="0"/>
        <v>5791.125</v>
      </c>
      <c r="U12" s="165">
        <f t="shared" si="1"/>
        <v>8799.8577024479964</v>
      </c>
      <c r="V12" s="165">
        <f t="shared" si="2"/>
        <v>28400</v>
      </c>
      <c r="W12" s="165">
        <f t="shared" si="3"/>
        <v>16</v>
      </c>
      <c r="X12" s="121" t="s">
        <v>59</v>
      </c>
    </row>
    <row r="13" spans="1:24" s="89" customFormat="1" ht="15" x14ac:dyDescent="0.2">
      <c r="A13" s="92"/>
      <c r="B13" s="121" t="s">
        <v>71</v>
      </c>
      <c r="C13" s="122" t="s">
        <v>12</v>
      </c>
      <c r="D13" s="122">
        <v>2120</v>
      </c>
      <c r="E13" s="122">
        <v>590</v>
      </c>
      <c r="F13" s="122">
        <v>305</v>
      </c>
      <c r="G13" s="122">
        <v>300</v>
      </c>
      <c r="H13" s="122">
        <v>3900</v>
      </c>
      <c r="I13" s="122">
        <v>138</v>
      </c>
      <c r="J13" s="122">
        <v>127</v>
      </c>
      <c r="K13" s="122">
        <v>740</v>
      </c>
      <c r="L13" s="122">
        <v>2400</v>
      </c>
      <c r="M13" s="122">
        <v>720</v>
      </c>
      <c r="N13" s="122">
        <v>310</v>
      </c>
      <c r="O13" s="122">
        <v>3740</v>
      </c>
      <c r="P13" s="123">
        <v>708</v>
      </c>
      <c r="Q13" s="123">
        <v>640</v>
      </c>
      <c r="R13" s="123">
        <v>1020</v>
      </c>
      <c r="S13" s="123">
        <v>580</v>
      </c>
      <c r="T13" s="253">
        <f t="shared" si="0"/>
        <v>1146.125</v>
      </c>
      <c r="U13" s="165">
        <f t="shared" si="1"/>
        <v>1223.3947782025773</v>
      </c>
      <c r="V13" s="165">
        <f t="shared" si="2"/>
        <v>3900</v>
      </c>
      <c r="W13" s="165">
        <f t="shared" si="3"/>
        <v>16</v>
      </c>
      <c r="X13" s="121" t="s">
        <v>71</v>
      </c>
    </row>
    <row r="14" spans="1:24" ht="15" x14ac:dyDescent="0.2">
      <c r="A14" s="88"/>
      <c r="B14" s="145" t="s">
        <v>68</v>
      </c>
      <c r="C14" s="161" t="s">
        <v>12</v>
      </c>
      <c r="D14" s="161">
        <v>1470</v>
      </c>
      <c r="E14" s="161">
        <v>400</v>
      </c>
      <c r="F14" s="161">
        <v>265</v>
      </c>
      <c r="G14" s="161">
        <v>210</v>
      </c>
      <c r="H14" s="161"/>
      <c r="I14" s="161"/>
      <c r="J14" s="161"/>
      <c r="K14" s="161"/>
      <c r="L14" s="161"/>
      <c r="M14" s="161"/>
      <c r="N14" s="161"/>
      <c r="O14" s="161"/>
      <c r="P14" s="161"/>
      <c r="Q14" s="161"/>
      <c r="R14" s="161"/>
      <c r="S14" s="161"/>
      <c r="T14" s="253">
        <f t="shared" si="0"/>
        <v>586.25</v>
      </c>
      <c r="U14" s="165">
        <f t="shared" si="1"/>
        <v>594.54989978414199</v>
      </c>
      <c r="V14" s="165">
        <f t="shared" si="2"/>
        <v>1470</v>
      </c>
      <c r="W14" s="165">
        <f t="shared" si="3"/>
        <v>4</v>
      </c>
      <c r="X14" s="117" t="s">
        <v>68</v>
      </c>
    </row>
    <row r="15" spans="1:24" s="90" customFormat="1" ht="15" x14ac:dyDescent="0.2">
      <c r="A15" s="93"/>
      <c r="B15" s="124" t="s">
        <v>9</v>
      </c>
      <c r="C15" s="125" t="s">
        <v>12</v>
      </c>
      <c r="D15" s="120"/>
      <c r="E15" s="120"/>
      <c r="F15" s="120"/>
      <c r="G15" s="120"/>
      <c r="H15" s="120"/>
      <c r="I15" s="120"/>
      <c r="J15" s="120"/>
      <c r="K15" s="120"/>
      <c r="L15" s="120">
        <v>0.12792615304325133</v>
      </c>
      <c r="M15" s="120">
        <v>2.132102550720856E-2</v>
      </c>
      <c r="N15" s="120">
        <v>3.3504468654184875E-2</v>
      </c>
      <c r="O15" s="120">
        <v>7.6146519668601989E-2</v>
      </c>
      <c r="P15" s="120">
        <v>1.0813253117648504E-3</v>
      </c>
      <c r="Q15" s="120">
        <v>1.0813253117648506E-2</v>
      </c>
      <c r="R15" s="120">
        <v>1.0813253117648504E-3</v>
      </c>
      <c r="S15" s="120">
        <v>2.1626506235297009E-3</v>
      </c>
      <c r="T15" s="252">
        <f t="shared" si="0"/>
        <v>3.4254590154744337E-2</v>
      </c>
      <c r="U15" s="166">
        <f t="shared" si="1"/>
        <v>4.5477553481712119E-2</v>
      </c>
      <c r="V15" s="166">
        <f t="shared" si="2"/>
        <v>0.12792615304325133</v>
      </c>
      <c r="W15" s="165">
        <f t="shared" si="3"/>
        <v>8</v>
      </c>
      <c r="X15" s="124" t="s">
        <v>9</v>
      </c>
    </row>
    <row r="16" spans="1:24" s="90" customFormat="1" ht="15" x14ac:dyDescent="0.2">
      <c r="A16" s="93"/>
      <c r="B16" s="124" t="s">
        <v>8</v>
      </c>
      <c r="C16" s="125" t="s">
        <v>12</v>
      </c>
      <c r="D16" s="120"/>
      <c r="E16" s="120"/>
      <c r="F16" s="120"/>
      <c r="G16" s="120"/>
      <c r="H16" s="120"/>
      <c r="I16" s="120"/>
      <c r="J16" s="120"/>
      <c r="K16" s="120"/>
      <c r="L16" s="120">
        <v>1.8577462607096182</v>
      </c>
      <c r="M16" s="120">
        <v>0.29606418510092453</v>
      </c>
      <c r="N16" s="120">
        <v>0.59212837020184905</v>
      </c>
      <c r="O16" s="120">
        <v>0.81361150104070867</v>
      </c>
      <c r="P16" s="120">
        <v>1.5898989898989899</v>
      </c>
      <c r="Q16" s="120">
        <v>3.8753787878787875</v>
      </c>
      <c r="R16" s="120">
        <v>4.0741161616161614</v>
      </c>
      <c r="S16" s="120">
        <v>3.7760101010101006</v>
      </c>
      <c r="T16" s="252">
        <f t="shared" si="0"/>
        <v>2.1093692946821423</v>
      </c>
      <c r="U16" s="166">
        <f t="shared" si="1"/>
        <v>1.5747543395905985</v>
      </c>
      <c r="V16" s="166">
        <f t="shared" si="2"/>
        <v>4.0741161616161614</v>
      </c>
      <c r="W16" s="165">
        <f t="shared" si="3"/>
        <v>8</v>
      </c>
      <c r="X16" s="124" t="s">
        <v>8</v>
      </c>
    </row>
    <row r="17" spans="1:24" s="89" customFormat="1" ht="15" x14ac:dyDescent="0.2">
      <c r="A17" s="94"/>
      <c r="B17" s="121" t="s">
        <v>72</v>
      </c>
      <c r="C17" s="122" t="s">
        <v>12</v>
      </c>
      <c r="D17" s="122">
        <v>156.80000000000001</v>
      </c>
      <c r="E17" s="122">
        <v>347.6</v>
      </c>
      <c r="F17" s="122">
        <v>392</v>
      </c>
      <c r="G17" s="122">
        <v>213</v>
      </c>
      <c r="H17" s="122">
        <v>56.999999999999993</v>
      </c>
      <c r="I17" s="122">
        <v>63</v>
      </c>
      <c r="J17" s="122">
        <v>104</v>
      </c>
      <c r="K17" s="122">
        <v>90</v>
      </c>
      <c r="L17" s="122">
        <v>735</v>
      </c>
      <c r="M17" s="122">
        <v>451.5</v>
      </c>
      <c r="N17" s="122">
        <v>163</v>
      </c>
      <c r="O17" s="122">
        <v>565</v>
      </c>
      <c r="P17" s="122">
        <v>237.5</v>
      </c>
      <c r="Q17" s="122">
        <v>241.5</v>
      </c>
      <c r="R17" s="122">
        <v>232.5</v>
      </c>
      <c r="S17" s="122">
        <v>203.5</v>
      </c>
      <c r="T17" s="253">
        <f t="shared" si="0"/>
        <v>265.80624999999998</v>
      </c>
      <c r="U17" s="165">
        <f t="shared" si="1"/>
        <v>189.77176631856142</v>
      </c>
      <c r="V17" s="165">
        <f t="shared" si="2"/>
        <v>735</v>
      </c>
      <c r="W17" s="165">
        <f t="shared" si="3"/>
        <v>16</v>
      </c>
      <c r="X17" s="121" t="s">
        <v>72</v>
      </c>
    </row>
    <row r="18" spans="1:24" s="89" customFormat="1" ht="15" x14ac:dyDescent="0.2">
      <c r="A18" s="95"/>
      <c r="B18" s="128" t="s">
        <v>67</v>
      </c>
      <c r="C18" s="129" t="s">
        <v>12</v>
      </c>
      <c r="D18" s="129">
        <v>896</v>
      </c>
      <c r="E18" s="129">
        <v>700</v>
      </c>
      <c r="F18" s="129">
        <v>826</v>
      </c>
      <c r="G18" s="129">
        <v>406</v>
      </c>
      <c r="H18" s="129">
        <v>310</v>
      </c>
      <c r="I18" s="129">
        <v>107</v>
      </c>
      <c r="J18" s="129">
        <v>150</v>
      </c>
      <c r="K18" s="129">
        <v>168</v>
      </c>
      <c r="L18" s="129">
        <v>1290</v>
      </c>
      <c r="M18" s="129">
        <v>669</v>
      </c>
      <c r="N18" s="129">
        <v>257</v>
      </c>
      <c r="O18" s="129">
        <v>752</v>
      </c>
      <c r="P18" s="129">
        <v>300</v>
      </c>
      <c r="Q18" s="129">
        <v>260</v>
      </c>
      <c r="R18" s="129">
        <v>507</v>
      </c>
      <c r="S18" s="129">
        <v>215</v>
      </c>
      <c r="T18" s="253">
        <f t="shared" si="0"/>
        <v>488.3125</v>
      </c>
      <c r="U18" s="165">
        <f t="shared" si="1"/>
        <v>335.37078361121439</v>
      </c>
      <c r="V18" s="165">
        <f t="shared" si="2"/>
        <v>1290</v>
      </c>
      <c r="W18" s="165">
        <f t="shared" si="3"/>
        <v>16</v>
      </c>
      <c r="X18" s="121" t="s">
        <v>67</v>
      </c>
    </row>
    <row r="19" spans="1:24" s="97" customFormat="1" ht="15" x14ac:dyDescent="0.2">
      <c r="A19" s="96"/>
      <c r="B19" s="126" t="s">
        <v>105</v>
      </c>
      <c r="C19" s="125" t="s">
        <v>12</v>
      </c>
      <c r="D19" s="127"/>
      <c r="E19" s="127"/>
      <c r="F19" s="127"/>
      <c r="G19" s="127"/>
      <c r="H19" s="127"/>
      <c r="I19" s="127"/>
      <c r="J19" s="127"/>
      <c r="K19" s="127"/>
      <c r="L19" s="127">
        <v>4.8595619669369281</v>
      </c>
      <c r="M19" s="127">
        <v>3.8811266715804993</v>
      </c>
      <c r="N19" s="127">
        <v>5.2998578498473208</v>
      </c>
      <c r="O19" s="127">
        <v>5.2085372222807207</v>
      </c>
      <c r="P19" s="127">
        <v>20.89272577024515</v>
      </c>
      <c r="Q19" s="127">
        <v>19.626499965987868</v>
      </c>
      <c r="R19" s="127">
        <v>16.935770131941144</v>
      </c>
      <c r="S19" s="127">
        <v>16.460935455344664</v>
      </c>
      <c r="T19" s="241">
        <f t="shared" si="0"/>
        <v>11.645626879270537</v>
      </c>
      <c r="U19" s="164">
        <f t="shared" si="1"/>
        <v>7.4490558724759435</v>
      </c>
      <c r="V19" s="164">
        <f t="shared" si="2"/>
        <v>20.89272577024515</v>
      </c>
      <c r="W19" s="165">
        <f t="shared" si="3"/>
        <v>8</v>
      </c>
      <c r="X19" s="126" t="s">
        <v>105</v>
      </c>
    </row>
    <row r="20" spans="1:24" s="89" customFormat="1" ht="15" x14ac:dyDescent="0.2">
      <c r="A20" s="94"/>
      <c r="B20" s="128" t="s">
        <v>73</v>
      </c>
      <c r="C20" s="129" t="s">
        <v>12</v>
      </c>
      <c r="D20" s="151">
        <v>9</v>
      </c>
      <c r="E20" s="151">
        <v>7.6</v>
      </c>
      <c r="F20" s="151">
        <v>9.9</v>
      </c>
      <c r="G20" s="151">
        <v>11.1</v>
      </c>
      <c r="H20" s="151" t="s">
        <v>108</v>
      </c>
      <c r="I20" s="151">
        <v>6.26</v>
      </c>
      <c r="J20" s="151">
        <v>9.24</v>
      </c>
      <c r="K20" s="151">
        <v>12.6</v>
      </c>
      <c r="L20" s="151">
        <v>159</v>
      </c>
      <c r="M20" s="151">
        <v>55.7</v>
      </c>
      <c r="N20" s="151">
        <v>19.7</v>
      </c>
      <c r="O20" s="151">
        <v>69.3</v>
      </c>
      <c r="P20" s="151">
        <v>25.85</v>
      </c>
      <c r="Q20" s="151">
        <v>22.15</v>
      </c>
      <c r="R20" s="151">
        <v>50.1</v>
      </c>
      <c r="S20" s="151">
        <v>20.599999999999998</v>
      </c>
      <c r="T20" s="242">
        <f t="shared" si="0"/>
        <v>32.54</v>
      </c>
      <c r="U20" s="257">
        <f t="shared" si="1"/>
        <v>39.514123698579816</v>
      </c>
      <c r="V20" s="257">
        <f t="shared" si="2"/>
        <v>159</v>
      </c>
      <c r="W20" s="257">
        <f t="shared" si="3"/>
        <v>16</v>
      </c>
      <c r="X20" s="128" t="s">
        <v>73</v>
      </c>
    </row>
    <row r="21" spans="1:24" ht="16.5" customHeight="1" x14ac:dyDescent="0.2">
      <c r="A21" s="84"/>
    </row>
    <row r="22" spans="1:24" ht="15" x14ac:dyDescent="0.25">
      <c r="B22" s="26" t="s">
        <v>102</v>
      </c>
    </row>
    <row r="23" spans="1:24" ht="73.5" customHeight="1" x14ac:dyDescent="0.25">
      <c r="B23" s="287" t="s">
        <v>129</v>
      </c>
      <c r="C23" s="287"/>
      <c r="D23" s="287"/>
      <c r="E23" s="287"/>
      <c r="F23" s="287"/>
      <c r="G23" s="287"/>
      <c r="H23" s="287"/>
      <c r="I23" s="287"/>
      <c r="J23" s="287"/>
      <c r="K23" s="287"/>
      <c r="P23"/>
      <c r="Q23"/>
      <c r="R23"/>
    </row>
    <row r="24" spans="1:24" ht="15" x14ac:dyDescent="0.25">
      <c r="P24"/>
      <c r="Q24"/>
      <c r="R24"/>
      <c r="S24"/>
    </row>
    <row r="25" spans="1:24" ht="15.75" x14ac:dyDescent="0.25">
      <c r="B25" s="38" t="s">
        <v>128</v>
      </c>
      <c r="P25"/>
      <c r="Q25"/>
      <c r="R25"/>
      <c r="S25"/>
    </row>
  </sheetData>
  <mergeCells count="12">
    <mergeCell ref="B23:K23"/>
    <mergeCell ref="B2:W2"/>
    <mergeCell ref="W5:W6"/>
    <mergeCell ref="U5:U6"/>
    <mergeCell ref="V5:V6"/>
    <mergeCell ref="T5:T6"/>
    <mergeCell ref="L5:O6"/>
    <mergeCell ref="P5:S6"/>
    <mergeCell ref="B5:C5"/>
    <mergeCell ref="G5:G6"/>
    <mergeCell ref="H5:K6"/>
    <mergeCell ref="D5:F6"/>
  </mergeCells>
  <pageMargins left="0.7" right="0.7" top="0.78740157499999996" bottom="0.78740157499999996" header="0.3" footer="0.3"/>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workbookViewId="0">
      <selection activeCell="T7" sqref="T7"/>
    </sheetView>
  </sheetViews>
  <sheetFormatPr defaultColWidth="12.85546875" defaultRowHeight="12.75" x14ac:dyDescent="0.2"/>
  <cols>
    <col min="1" max="1" width="3.5703125" style="38" customWidth="1"/>
    <col min="2" max="2" width="13.28515625" style="38" customWidth="1"/>
    <col min="3" max="3" width="9.140625" style="38" customWidth="1"/>
    <col min="4" max="6" width="7" style="38" customWidth="1"/>
    <col min="7" max="7" width="10.28515625" style="38" customWidth="1"/>
    <col min="8" max="19" width="7" style="38" customWidth="1"/>
    <col min="20" max="22" width="7.85546875" style="38" customWidth="1"/>
    <col min="23" max="23" width="9.7109375" style="38" customWidth="1"/>
    <col min="24" max="25" width="12.85546875" style="38"/>
    <col min="26" max="26" width="12.85546875" style="38" customWidth="1"/>
    <col min="27" max="16384" width="12.85546875" style="38"/>
  </cols>
  <sheetData>
    <row r="1" spans="1:24" ht="15" customHeight="1" x14ac:dyDescent="0.2">
      <c r="B1" s="299" t="s">
        <v>116</v>
      </c>
      <c r="C1" s="299"/>
      <c r="D1" s="299"/>
      <c r="E1" s="299"/>
      <c r="F1" s="299"/>
      <c r="G1" s="299"/>
      <c r="H1" s="299"/>
      <c r="I1" s="299"/>
      <c r="J1" s="299"/>
      <c r="K1" s="299"/>
      <c r="L1" s="299"/>
      <c r="M1" s="299"/>
      <c r="N1" s="299"/>
      <c r="O1" s="299"/>
      <c r="P1" s="299"/>
      <c r="Q1" s="299"/>
      <c r="R1" s="299"/>
      <c r="S1" s="299"/>
      <c r="T1" s="299"/>
      <c r="U1" s="299"/>
      <c r="V1" s="299"/>
      <c r="W1" s="299"/>
      <c r="X1" s="299"/>
    </row>
    <row r="2" spans="1:24" ht="36" customHeight="1" x14ac:dyDescent="0.2">
      <c r="B2" s="299"/>
      <c r="C2" s="299"/>
      <c r="D2" s="299"/>
      <c r="E2" s="299"/>
      <c r="F2" s="299"/>
      <c r="G2" s="299"/>
      <c r="H2" s="299"/>
      <c r="I2" s="299"/>
      <c r="J2" s="299"/>
      <c r="K2" s="299"/>
      <c r="L2" s="299"/>
      <c r="M2" s="299"/>
      <c r="N2" s="299"/>
      <c r="O2" s="299"/>
      <c r="P2" s="299"/>
      <c r="Q2" s="299"/>
      <c r="R2" s="299"/>
      <c r="S2" s="299"/>
      <c r="T2" s="299"/>
      <c r="U2" s="299"/>
      <c r="V2" s="299"/>
      <c r="W2" s="299"/>
      <c r="X2" s="299"/>
    </row>
    <row r="5" spans="1:24" ht="20.25" customHeight="1" x14ac:dyDescent="0.2">
      <c r="B5" s="285" t="s">
        <v>131</v>
      </c>
      <c r="C5" s="285"/>
      <c r="D5" s="327" t="s">
        <v>167</v>
      </c>
      <c r="E5" s="328"/>
      <c r="F5" s="328"/>
      <c r="G5" s="327" t="s">
        <v>168</v>
      </c>
      <c r="H5" s="325" t="s">
        <v>117</v>
      </c>
      <c r="I5" s="325"/>
      <c r="J5" s="325"/>
      <c r="K5" s="325"/>
      <c r="L5" s="326" t="s">
        <v>118</v>
      </c>
      <c r="M5" s="326"/>
      <c r="N5" s="326"/>
      <c r="O5" s="326"/>
      <c r="P5" s="326" t="s">
        <v>119</v>
      </c>
      <c r="Q5" s="326"/>
      <c r="R5" s="326"/>
      <c r="S5" s="326"/>
      <c r="T5" s="321" t="s">
        <v>55</v>
      </c>
      <c r="U5" s="321" t="s">
        <v>20</v>
      </c>
      <c r="V5" s="321" t="s">
        <v>93</v>
      </c>
      <c r="W5" s="323" t="s">
        <v>114</v>
      </c>
      <c r="X5" s="84"/>
    </row>
    <row r="6" spans="1:24" ht="21.75" customHeight="1" x14ac:dyDescent="0.2">
      <c r="A6" s="87"/>
      <c r="B6" s="113" t="s">
        <v>53</v>
      </c>
      <c r="C6" s="114" t="s">
        <v>99</v>
      </c>
      <c r="D6" s="328"/>
      <c r="E6" s="328"/>
      <c r="F6" s="328"/>
      <c r="G6" s="329"/>
      <c r="H6" s="325"/>
      <c r="I6" s="325"/>
      <c r="J6" s="325"/>
      <c r="K6" s="325"/>
      <c r="L6" s="326"/>
      <c r="M6" s="326"/>
      <c r="N6" s="326"/>
      <c r="O6" s="326"/>
      <c r="P6" s="326"/>
      <c r="Q6" s="326"/>
      <c r="R6" s="326"/>
      <c r="S6" s="326"/>
      <c r="T6" s="322"/>
      <c r="U6" s="322"/>
      <c r="V6" s="322"/>
      <c r="W6" s="324"/>
      <c r="X6" s="86"/>
    </row>
    <row r="7" spans="1:24" ht="15" x14ac:dyDescent="0.25">
      <c r="A7" s="87"/>
      <c r="B7" s="113" t="s">
        <v>40</v>
      </c>
      <c r="C7" s="114" t="s">
        <v>6</v>
      </c>
      <c r="D7" s="152">
        <v>8.6999999999999993</v>
      </c>
      <c r="E7" s="152">
        <v>8.6</v>
      </c>
      <c r="F7" s="152">
        <v>8.8000000000000007</v>
      </c>
      <c r="G7" s="152">
        <v>8.6</v>
      </c>
      <c r="H7" s="130"/>
      <c r="I7" s="130"/>
      <c r="J7" s="130"/>
      <c r="K7" s="130"/>
      <c r="L7" s="130">
        <v>9.0912052117263844</v>
      </c>
      <c r="M7" s="130">
        <v>8.798045602605864</v>
      </c>
      <c r="N7" s="130">
        <v>9.0130293159609121</v>
      </c>
      <c r="O7" s="130">
        <v>9.120521172638437</v>
      </c>
      <c r="P7" s="130">
        <v>8.7843137254901968</v>
      </c>
      <c r="Q7" s="130">
        <v>8.8431372549019613</v>
      </c>
      <c r="R7" s="130">
        <v>8.8137254901960791</v>
      </c>
      <c r="S7" s="130">
        <v>8.6372549019607838</v>
      </c>
      <c r="T7" s="101">
        <f>AVERAGE(D7:S7)</f>
        <v>8.816769389623385</v>
      </c>
      <c r="U7" s="164">
        <f>STDEVA(D7:S7)</f>
        <v>0.17794950647952604</v>
      </c>
      <c r="V7" s="164">
        <f>MAX(D7:S7)</f>
        <v>9.120521172638437</v>
      </c>
      <c r="W7" s="165">
        <f>COUNTA(D7:S7)</f>
        <v>12</v>
      </c>
      <c r="X7" s="104" t="s">
        <v>66</v>
      </c>
    </row>
    <row r="8" spans="1:24" ht="15" x14ac:dyDescent="0.25">
      <c r="A8" s="87"/>
      <c r="B8" s="117" t="s">
        <v>56</v>
      </c>
      <c r="C8" s="118" t="s">
        <v>12</v>
      </c>
      <c r="D8" s="153"/>
      <c r="E8" s="153"/>
      <c r="F8" s="153"/>
      <c r="G8" s="153"/>
      <c r="H8" s="133"/>
      <c r="I8" s="133"/>
      <c r="J8" s="133"/>
      <c r="K8" s="133"/>
      <c r="L8" s="133">
        <v>0.11</v>
      </c>
      <c r="M8" s="133">
        <v>0.12</v>
      </c>
      <c r="N8" s="133">
        <v>0.1</v>
      </c>
      <c r="O8" s="133">
        <v>7.0000000000000007E-2</v>
      </c>
      <c r="P8" s="133">
        <v>0.12</v>
      </c>
      <c r="Q8" s="133">
        <v>0.2</v>
      </c>
      <c r="R8" s="133">
        <v>0.72</v>
      </c>
      <c r="S8" s="133">
        <v>0.36</v>
      </c>
      <c r="T8" s="103">
        <f>AVERAGE(D8:S8)</f>
        <v>0.22499999999999998</v>
      </c>
      <c r="U8" s="166">
        <f t="shared" ref="U8:U13" si="0">STDEVA(D8:S8)</f>
        <v>0.22000000000000003</v>
      </c>
      <c r="V8" s="166">
        <f t="shared" ref="V8:V13" si="1">MAX(D8:S8)</f>
        <v>0.72</v>
      </c>
      <c r="W8" s="165">
        <f t="shared" ref="W8:W13" si="2">COUNTA(D8:S8)</f>
        <v>8</v>
      </c>
      <c r="X8" s="104" t="s">
        <v>56</v>
      </c>
    </row>
    <row r="9" spans="1:24" ht="15" x14ac:dyDescent="0.25">
      <c r="A9" s="87"/>
      <c r="B9" s="117" t="s">
        <v>106</v>
      </c>
      <c r="C9" s="118" t="s">
        <v>111</v>
      </c>
      <c r="D9" s="153"/>
      <c r="E9" s="153"/>
      <c r="F9" s="153"/>
      <c r="G9" s="153"/>
      <c r="H9" s="133"/>
      <c r="I9" s="133"/>
      <c r="J9" s="133"/>
      <c r="K9" s="133"/>
      <c r="L9" s="133">
        <v>37.1</v>
      </c>
      <c r="M9" s="133">
        <v>44</v>
      </c>
      <c r="N9" s="133">
        <v>45.5</v>
      </c>
      <c r="O9" s="133">
        <v>34.6</v>
      </c>
      <c r="P9" s="133">
        <v>37.4</v>
      </c>
      <c r="Q9" s="133">
        <v>41.7</v>
      </c>
      <c r="R9" s="133">
        <v>43.2</v>
      </c>
      <c r="S9" s="133">
        <v>37</v>
      </c>
      <c r="T9" s="103">
        <f t="shared" ref="T9:T13" si="3">AVERAGE(D9:S9)</f>
        <v>40.0625</v>
      </c>
      <c r="U9" s="166">
        <f t="shared" si="0"/>
        <v>4.0121022277247977</v>
      </c>
      <c r="V9" s="166">
        <f t="shared" si="1"/>
        <v>45.5</v>
      </c>
      <c r="W9" s="165">
        <f t="shared" si="2"/>
        <v>8</v>
      </c>
      <c r="X9" s="104" t="s">
        <v>106</v>
      </c>
    </row>
    <row r="10" spans="1:24" ht="15" x14ac:dyDescent="0.25">
      <c r="A10" s="91"/>
      <c r="B10" s="121" t="s">
        <v>70</v>
      </c>
      <c r="C10" s="122" t="s">
        <v>12</v>
      </c>
      <c r="D10" s="153">
        <v>5150</v>
      </c>
      <c r="E10" s="153">
        <v>8640</v>
      </c>
      <c r="F10" s="153">
        <v>8400</v>
      </c>
      <c r="G10" s="153">
        <v>7395.5</v>
      </c>
      <c r="H10" s="136">
        <v>7400</v>
      </c>
      <c r="I10" s="136">
        <v>7300</v>
      </c>
      <c r="J10" s="136">
        <v>7200</v>
      </c>
      <c r="K10" s="136" t="s">
        <v>112</v>
      </c>
      <c r="L10" s="136">
        <v>9600</v>
      </c>
      <c r="M10" s="136">
        <v>13800</v>
      </c>
      <c r="N10" s="136">
        <v>11600</v>
      </c>
      <c r="O10" s="136">
        <v>6700</v>
      </c>
      <c r="P10" s="136">
        <v>8100</v>
      </c>
      <c r="Q10" s="136">
        <v>8600</v>
      </c>
      <c r="R10" s="136">
        <v>12700</v>
      </c>
      <c r="S10" s="136">
        <v>7900</v>
      </c>
      <c r="T10" s="102">
        <f>AVERAGE(D10:S10)</f>
        <v>8699.0333333333328</v>
      </c>
      <c r="U10" s="165">
        <f>STDEVA(D10:S10)</f>
        <v>3135.6170403858846</v>
      </c>
      <c r="V10" s="165">
        <f>MAX(D10:S10)</f>
        <v>13800</v>
      </c>
      <c r="W10" s="165">
        <f>COUNTA(D10:S10)</f>
        <v>16</v>
      </c>
      <c r="X10" s="105" t="s">
        <v>70</v>
      </c>
    </row>
    <row r="11" spans="1:24" ht="15" x14ac:dyDescent="0.25">
      <c r="A11" s="91"/>
      <c r="B11" s="121" t="s">
        <v>69</v>
      </c>
      <c r="C11" s="122" t="s">
        <v>12</v>
      </c>
      <c r="D11" s="153">
        <v>8625</v>
      </c>
      <c r="E11" s="153">
        <v>15000</v>
      </c>
      <c r="F11" s="153">
        <v>14225</v>
      </c>
      <c r="G11" s="153">
        <v>12501</v>
      </c>
      <c r="H11" s="135">
        <v>16732.714254096878</v>
      </c>
      <c r="I11" s="135">
        <v>15389.080882515223</v>
      </c>
      <c r="J11" s="135">
        <v>16213.176017085305</v>
      </c>
      <c r="K11" s="135">
        <v>22320</v>
      </c>
      <c r="L11" s="135">
        <v>19276.660104291477</v>
      </c>
      <c r="M11" s="135">
        <v>17556.809388666959</v>
      </c>
      <c r="N11" s="135">
        <v>16499.817803022725</v>
      </c>
      <c r="O11" s="135">
        <v>8921.7255873021895</v>
      </c>
      <c r="P11" s="135">
        <v>12863.050143941711</v>
      </c>
      <c r="Q11" s="135">
        <v>13024.28614853151</v>
      </c>
      <c r="R11" s="135">
        <v>20405.312136420071</v>
      </c>
      <c r="S11" s="135">
        <v>13293.012822847841</v>
      </c>
      <c r="T11" s="102">
        <f t="shared" si="3"/>
        <v>15177.915330545118</v>
      </c>
      <c r="U11" s="165">
        <f t="shared" si="0"/>
        <v>3739.971848660995</v>
      </c>
      <c r="V11" s="165">
        <f t="shared" si="1"/>
        <v>22320</v>
      </c>
      <c r="W11" s="165">
        <f t="shared" si="2"/>
        <v>16</v>
      </c>
      <c r="X11" s="105" t="s">
        <v>69</v>
      </c>
    </row>
    <row r="12" spans="1:24" ht="15" x14ac:dyDescent="0.25">
      <c r="A12" s="91"/>
      <c r="B12" s="121" t="s">
        <v>59</v>
      </c>
      <c r="C12" s="122" t="s">
        <v>12</v>
      </c>
      <c r="D12" s="153">
        <v>7480</v>
      </c>
      <c r="E12" s="153">
        <v>10056</v>
      </c>
      <c r="F12" s="153">
        <v>13445</v>
      </c>
      <c r="G12" s="153">
        <v>9337</v>
      </c>
      <c r="H12" s="136">
        <v>38600</v>
      </c>
      <c r="I12" s="136">
        <v>43160</v>
      </c>
      <c r="J12" s="136">
        <v>35330</v>
      </c>
      <c r="K12" s="136">
        <v>39810</v>
      </c>
      <c r="L12" s="136">
        <v>29400</v>
      </c>
      <c r="M12" s="136">
        <v>41500</v>
      </c>
      <c r="N12" s="136">
        <v>37200</v>
      </c>
      <c r="O12" s="136">
        <v>28100</v>
      </c>
      <c r="P12" s="136">
        <v>28500</v>
      </c>
      <c r="Q12" s="136">
        <v>31500</v>
      </c>
      <c r="R12" s="136">
        <v>36400</v>
      </c>
      <c r="S12" s="136">
        <v>26200</v>
      </c>
      <c r="T12" s="102">
        <f t="shared" si="3"/>
        <v>28501.125</v>
      </c>
      <c r="U12" s="165">
        <f t="shared" si="0"/>
        <v>12082.344446201932</v>
      </c>
      <c r="V12" s="165">
        <f t="shared" si="1"/>
        <v>43160</v>
      </c>
      <c r="W12" s="165">
        <f t="shared" si="2"/>
        <v>16</v>
      </c>
      <c r="X12" s="105" t="s">
        <v>59</v>
      </c>
    </row>
    <row r="13" spans="1:24" ht="15" x14ac:dyDescent="0.25">
      <c r="A13" s="91"/>
      <c r="B13" s="121" t="s">
        <v>71</v>
      </c>
      <c r="C13" s="122" t="s">
        <v>12</v>
      </c>
      <c r="D13" s="153">
        <v>4560</v>
      </c>
      <c r="E13" s="153">
        <v>6620</v>
      </c>
      <c r="F13" s="153">
        <v>8600</v>
      </c>
      <c r="G13" s="153">
        <v>2070</v>
      </c>
      <c r="H13" s="136">
        <v>5300</v>
      </c>
      <c r="I13" s="136">
        <v>5650</v>
      </c>
      <c r="J13" s="136">
        <v>7560</v>
      </c>
      <c r="K13" s="136">
        <v>9640</v>
      </c>
      <c r="L13" s="136">
        <v>4100</v>
      </c>
      <c r="M13" s="136">
        <v>6200</v>
      </c>
      <c r="N13" s="136">
        <v>5000</v>
      </c>
      <c r="O13" s="136">
        <v>3800</v>
      </c>
      <c r="P13" s="136">
        <v>3900</v>
      </c>
      <c r="Q13" s="136">
        <v>4600</v>
      </c>
      <c r="R13" s="136">
        <v>11200</v>
      </c>
      <c r="S13" s="136">
        <v>4000</v>
      </c>
      <c r="T13" s="102">
        <f t="shared" si="3"/>
        <v>5800</v>
      </c>
      <c r="U13" s="165">
        <f t="shared" si="0"/>
        <v>2411.3426412132585</v>
      </c>
      <c r="V13" s="165">
        <f t="shared" si="1"/>
        <v>11200</v>
      </c>
      <c r="W13" s="165">
        <f t="shared" si="2"/>
        <v>16</v>
      </c>
      <c r="X13" s="105" t="s">
        <v>71</v>
      </c>
    </row>
    <row r="14" spans="1:24" ht="15" x14ac:dyDescent="0.25">
      <c r="A14" s="98"/>
      <c r="B14" s="117" t="s">
        <v>9</v>
      </c>
      <c r="C14" s="119" t="s">
        <v>12</v>
      </c>
      <c r="D14" s="153"/>
      <c r="E14" s="153"/>
      <c r="F14" s="153"/>
      <c r="G14" s="153"/>
      <c r="H14" s="140"/>
      <c r="I14" s="140"/>
      <c r="J14" s="140"/>
      <c r="K14" s="132"/>
      <c r="L14" s="154">
        <v>4.5687911801161191E-2</v>
      </c>
      <c r="M14" s="154">
        <v>3.0458607867440798E-2</v>
      </c>
      <c r="N14" s="154">
        <v>6.0917215734881597E-2</v>
      </c>
      <c r="O14" s="154">
        <v>4.5687911801161191E-2</v>
      </c>
      <c r="P14" s="155">
        <v>0.30458607867440796</v>
      </c>
      <c r="Q14" s="155">
        <v>0.77669450061974021</v>
      </c>
      <c r="R14" s="155">
        <v>0.93507926153043242</v>
      </c>
      <c r="S14" s="155">
        <v>0.52541098571335376</v>
      </c>
      <c r="T14" s="103">
        <f>AVERAGE(D14:S14)</f>
        <v>0.34056530921782235</v>
      </c>
      <c r="U14" s="166">
        <f>STDEVA(D14:S14)</f>
        <v>0.36398440344575667</v>
      </c>
      <c r="V14" s="166">
        <f>MAX(D14:S14)</f>
        <v>0.93507926153043242</v>
      </c>
      <c r="W14" s="165">
        <f>COUNTA(D14:S14)</f>
        <v>8</v>
      </c>
      <c r="X14" s="104" t="s">
        <v>9</v>
      </c>
    </row>
    <row r="15" spans="1:24" ht="15" x14ac:dyDescent="0.25">
      <c r="A15" s="98"/>
      <c r="B15" s="124" t="s">
        <v>8</v>
      </c>
      <c r="C15" s="125" t="s">
        <v>12</v>
      </c>
      <c r="D15" s="153"/>
      <c r="E15" s="153"/>
      <c r="F15" s="153"/>
      <c r="G15" s="153"/>
      <c r="H15" s="132"/>
      <c r="I15" s="132"/>
      <c r="J15" s="132"/>
      <c r="K15" s="132"/>
      <c r="L15" s="133"/>
      <c r="M15" s="133"/>
      <c r="N15" s="133"/>
      <c r="O15" s="133"/>
      <c r="P15" s="154">
        <v>3.1979452054794519</v>
      </c>
      <c r="Q15" s="154">
        <v>4.4183624570405149</v>
      </c>
      <c r="R15" s="154">
        <v>9.3113316230214433</v>
      </c>
      <c r="S15" s="154">
        <v>4.8025678880875162</v>
      </c>
      <c r="T15" s="103">
        <f t="shared" ref="T15:T19" si="4">AVERAGE(D15:S15)</f>
        <v>5.4325517934072316</v>
      </c>
      <c r="U15" s="166">
        <f t="shared" ref="U15:U19" si="5">STDEVA(D15:S15)</f>
        <v>2.6748120993441846</v>
      </c>
      <c r="V15" s="166">
        <f t="shared" ref="V15:V19" si="6">MAX(D15:S15)</f>
        <v>9.3113316230214433</v>
      </c>
      <c r="W15" s="165">
        <f t="shared" ref="W15:W19" si="7">COUNTA(D15:S15)</f>
        <v>4</v>
      </c>
      <c r="X15" s="106" t="s">
        <v>8</v>
      </c>
    </row>
    <row r="16" spans="1:24" ht="15" x14ac:dyDescent="0.25">
      <c r="A16" s="91"/>
      <c r="B16" s="124" t="s">
        <v>72</v>
      </c>
      <c r="C16" s="125" t="s">
        <v>12</v>
      </c>
      <c r="D16" s="153">
        <v>1680</v>
      </c>
      <c r="E16" s="153">
        <v>1680</v>
      </c>
      <c r="F16" s="153">
        <v>2072</v>
      </c>
      <c r="G16" s="153">
        <v>2380</v>
      </c>
      <c r="H16" s="135">
        <v>2895</v>
      </c>
      <c r="I16" s="135"/>
      <c r="J16" s="135">
        <v>3425.0000000000005</v>
      </c>
      <c r="K16" s="135">
        <v>3095</v>
      </c>
      <c r="L16" s="135">
        <v>1635</v>
      </c>
      <c r="M16" s="135">
        <v>372.5</v>
      </c>
      <c r="N16" s="135">
        <v>1645</v>
      </c>
      <c r="O16" s="135">
        <v>1147.5</v>
      </c>
      <c r="P16" s="135"/>
      <c r="Q16" s="135"/>
      <c r="R16" s="135">
        <v>407.5</v>
      </c>
      <c r="S16" s="135">
        <v>292.5</v>
      </c>
      <c r="T16" s="102">
        <f>AVERAGE(D16:S16)</f>
        <v>1748.2307692307693</v>
      </c>
      <c r="U16" s="165">
        <f t="shared" si="5"/>
        <v>1026.6203983496978</v>
      </c>
      <c r="V16" s="165">
        <f t="shared" si="6"/>
        <v>3425.0000000000005</v>
      </c>
      <c r="W16" s="165">
        <f>COUNTA(D16:S16)</f>
        <v>13</v>
      </c>
      <c r="X16" s="106" t="s">
        <v>72</v>
      </c>
    </row>
    <row r="17" spans="1:25" ht="15" x14ac:dyDescent="0.25">
      <c r="A17" s="91"/>
      <c r="B17" s="121" t="s">
        <v>67</v>
      </c>
      <c r="C17" s="122" t="s">
        <v>12</v>
      </c>
      <c r="D17" s="153">
        <v>2386</v>
      </c>
      <c r="E17" s="153">
        <v>2520</v>
      </c>
      <c r="F17" s="153">
        <v>4340</v>
      </c>
      <c r="G17" s="153">
        <v>3500</v>
      </c>
      <c r="H17" s="156">
        <v>3910</v>
      </c>
      <c r="I17" s="156">
        <v>2355</v>
      </c>
      <c r="J17" s="156">
        <v>3930</v>
      </c>
      <c r="K17" s="156">
        <v>3560</v>
      </c>
      <c r="L17" s="156">
        <v>4385</v>
      </c>
      <c r="M17" s="156">
        <v>4265</v>
      </c>
      <c r="N17" s="156">
        <v>2730</v>
      </c>
      <c r="O17" s="156">
        <v>2775</v>
      </c>
      <c r="P17" s="156"/>
      <c r="Q17" s="156"/>
      <c r="R17" s="156">
        <v>1085</v>
      </c>
      <c r="S17" s="156">
        <v>885</v>
      </c>
      <c r="T17" s="102">
        <f t="shared" si="4"/>
        <v>3044.7142857142858</v>
      </c>
      <c r="U17" s="165">
        <f t="shared" si="5"/>
        <v>1137.8135191654228</v>
      </c>
      <c r="V17" s="165">
        <f t="shared" si="6"/>
        <v>4385</v>
      </c>
      <c r="W17" s="165">
        <f t="shared" si="7"/>
        <v>14</v>
      </c>
      <c r="X17" s="105" t="s">
        <v>67</v>
      </c>
    </row>
    <row r="18" spans="1:25" ht="15" x14ac:dyDescent="0.25">
      <c r="A18" s="99"/>
      <c r="B18" s="121" t="s">
        <v>105</v>
      </c>
      <c r="C18" s="122" t="s">
        <v>12</v>
      </c>
      <c r="D18" s="153"/>
      <c r="E18" s="153"/>
      <c r="F18" s="153"/>
      <c r="G18" s="153"/>
      <c r="H18" s="142"/>
      <c r="I18" s="142"/>
      <c r="J18" s="142"/>
      <c r="K18" s="142"/>
      <c r="L18" s="142">
        <v>3.9569556383040063</v>
      </c>
      <c r="M18" s="142">
        <v>1.424504029789442</v>
      </c>
      <c r="N18" s="142"/>
      <c r="O18" s="142">
        <v>3.0072862851110447</v>
      </c>
      <c r="P18" s="142">
        <v>4.1152338638361661</v>
      </c>
      <c r="Q18" s="142">
        <v>1.7410604808537626</v>
      </c>
      <c r="R18" s="142">
        <v>4.2735120893683263</v>
      </c>
      <c r="S18" s="142">
        <v>0.79139112766080111</v>
      </c>
      <c r="T18" s="101">
        <f t="shared" si="4"/>
        <v>2.7585633592747927</v>
      </c>
      <c r="U18" s="164">
        <f t="shared" si="5"/>
        <v>1.432854066310044</v>
      </c>
      <c r="V18" s="164">
        <f t="shared" si="6"/>
        <v>4.2735120893683263</v>
      </c>
      <c r="W18" s="165">
        <f t="shared" si="7"/>
        <v>7</v>
      </c>
      <c r="X18" s="105" t="s">
        <v>105</v>
      </c>
    </row>
    <row r="19" spans="1:25" ht="15" x14ac:dyDescent="0.25">
      <c r="A19" s="91"/>
      <c r="B19" s="158" t="s">
        <v>73</v>
      </c>
      <c r="C19" s="159" t="s">
        <v>12</v>
      </c>
      <c r="D19" s="157">
        <v>70</v>
      </c>
      <c r="E19" s="157">
        <v>11.6</v>
      </c>
      <c r="F19" s="157">
        <v>10.5</v>
      </c>
      <c r="G19" s="157">
        <v>34.200000000000003</v>
      </c>
      <c r="H19" s="144">
        <v>23.799999999999997</v>
      </c>
      <c r="I19" s="144">
        <v>11.600000000000001</v>
      </c>
      <c r="J19" s="144">
        <v>48.05</v>
      </c>
      <c r="K19" s="144">
        <v>37</v>
      </c>
      <c r="L19" s="144">
        <v>33.1</v>
      </c>
      <c r="M19" s="144">
        <v>18.850000000000001</v>
      </c>
      <c r="N19" s="144">
        <v>11.15</v>
      </c>
      <c r="O19" s="144">
        <v>20.8</v>
      </c>
      <c r="P19" s="144">
        <v>13.100000000000001</v>
      </c>
      <c r="Q19" s="144">
        <v>31.5</v>
      </c>
      <c r="R19" s="144">
        <v>50.5</v>
      </c>
      <c r="S19" s="144">
        <v>23.849999999999998</v>
      </c>
      <c r="T19" s="102">
        <f t="shared" si="4"/>
        <v>28.100000000000005</v>
      </c>
      <c r="U19" s="165">
        <f t="shared" si="5"/>
        <v>17.030012722641548</v>
      </c>
      <c r="V19" s="165">
        <f t="shared" si="6"/>
        <v>70</v>
      </c>
      <c r="W19" s="165">
        <f t="shared" si="7"/>
        <v>16</v>
      </c>
      <c r="X19" s="107" t="s">
        <v>73</v>
      </c>
    </row>
    <row r="20" spans="1:25" ht="15" x14ac:dyDescent="0.25">
      <c r="A20" s="100"/>
      <c r="B20"/>
      <c r="C20"/>
      <c r="T20" s="91"/>
      <c r="U20" s="91"/>
      <c r="V20" s="91"/>
      <c r="W20" s="91"/>
      <c r="X20" s="91"/>
      <c r="Y20" s="108"/>
    </row>
    <row r="21" spans="1:25" ht="15" x14ac:dyDescent="0.25">
      <c r="B21" s="26" t="s">
        <v>102</v>
      </c>
    </row>
    <row r="22" spans="1:25" ht="70.5" customHeight="1" x14ac:dyDescent="0.2">
      <c r="B22" s="320" t="s">
        <v>103</v>
      </c>
      <c r="C22" s="320"/>
      <c r="D22" s="320"/>
      <c r="E22" s="320"/>
      <c r="F22" s="320"/>
      <c r="G22" s="320"/>
      <c r="H22" s="320"/>
      <c r="I22" s="320"/>
      <c r="J22" s="320"/>
    </row>
    <row r="23" spans="1:25" ht="12.75" customHeight="1" x14ac:dyDescent="0.2"/>
    <row r="24" spans="1:25" ht="15" x14ac:dyDescent="0.2">
      <c r="B24" s="261" t="s">
        <v>128</v>
      </c>
    </row>
  </sheetData>
  <mergeCells count="12">
    <mergeCell ref="B22:J22"/>
    <mergeCell ref="T5:T6"/>
    <mergeCell ref="B1:X2"/>
    <mergeCell ref="U5:U6"/>
    <mergeCell ref="V5:V6"/>
    <mergeCell ref="W5:W6"/>
    <mergeCell ref="H5:K6"/>
    <mergeCell ref="L5:O6"/>
    <mergeCell ref="P5:S6"/>
    <mergeCell ref="B5:C5"/>
    <mergeCell ref="D5:F6"/>
    <mergeCell ref="G5:G6"/>
  </mergeCells>
  <pageMargins left="0.7" right="0.7" top="0.78740157499999996" bottom="0.78740157499999996"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41"/>
  <sheetViews>
    <sheetView tabSelected="1" workbookViewId="0">
      <selection activeCell="K31" sqref="K31"/>
    </sheetView>
  </sheetViews>
  <sheetFormatPr defaultColWidth="9.140625" defaultRowHeight="15" x14ac:dyDescent="0.25"/>
  <cols>
    <col min="3" max="3" width="24.42578125" customWidth="1"/>
    <col min="5" max="5" width="12.140625" customWidth="1"/>
    <col min="6" max="6" width="12.28515625" customWidth="1"/>
    <col min="7" max="7" width="11.5703125" customWidth="1"/>
    <col min="8" max="8" width="11" customWidth="1"/>
    <col min="9" max="9" width="11.42578125" customWidth="1"/>
    <col min="10" max="10" width="11.5703125" customWidth="1"/>
    <col min="11" max="11" width="11.42578125" customWidth="1"/>
    <col min="12" max="12" width="11" customWidth="1"/>
    <col min="13" max="13" width="10.85546875" customWidth="1"/>
    <col min="14" max="14" width="12.28515625" customWidth="1"/>
    <col min="15" max="15" width="10.42578125" customWidth="1"/>
    <col min="16" max="16" width="12.28515625" customWidth="1"/>
    <col min="17" max="17" width="11.28515625" customWidth="1"/>
    <col min="18" max="18" width="13" customWidth="1"/>
    <col min="19" max="19" width="10.28515625" customWidth="1"/>
    <col min="20" max="20" width="11" customWidth="1"/>
    <col min="21" max="21" width="10.42578125" customWidth="1"/>
  </cols>
  <sheetData>
    <row r="2" spans="2:21" ht="18.75" x14ac:dyDescent="0.3">
      <c r="B2" s="27" t="s">
        <v>86</v>
      </c>
    </row>
    <row r="4" spans="2:21" ht="18.75" customHeight="1" x14ac:dyDescent="0.3">
      <c r="B4" s="27" t="s">
        <v>90</v>
      </c>
    </row>
    <row r="6" spans="2:21" ht="15.75" thickBot="1" x14ac:dyDescent="0.3"/>
    <row r="7" spans="2:21" x14ac:dyDescent="0.25">
      <c r="C7" s="334" t="s">
        <v>53</v>
      </c>
      <c r="D7" s="334" t="s">
        <v>28</v>
      </c>
      <c r="E7" s="52">
        <v>40671</v>
      </c>
      <c r="F7" s="52">
        <v>40671</v>
      </c>
      <c r="G7" s="52">
        <v>40671</v>
      </c>
      <c r="H7" s="52">
        <v>39847</v>
      </c>
      <c r="I7" s="52">
        <v>39847</v>
      </c>
      <c r="J7" s="52">
        <v>39847</v>
      </c>
      <c r="K7" s="52">
        <v>39847</v>
      </c>
      <c r="L7" s="52">
        <v>39196</v>
      </c>
      <c r="M7" s="52">
        <v>39196</v>
      </c>
      <c r="N7" s="52">
        <v>39196</v>
      </c>
      <c r="O7" s="52">
        <v>39196</v>
      </c>
      <c r="P7" s="52">
        <v>39196</v>
      </c>
      <c r="Q7" s="36">
        <v>39196</v>
      </c>
      <c r="R7" s="36">
        <v>39196</v>
      </c>
      <c r="S7" s="36">
        <v>39196</v>
      </c>
      <c r="T7" s="36">
        <v>39196</v>
      </c>
      <c r="U7" s="36">
        <v>39196</v>
      </c>
    </row>
    <row r="8" spans="2:21" ht="24.75" customHeight="1" thickBot="1" x14ac:dyDescent="0.3">
      <c r="C8" s="296"/>
      <c r="D8" s="296"/>
      <c r="E8" s="63" t="s">
        <v>75</v>
      </c>
      <c r="F8" s="63" t="s">
        <v>76</v>
      </c>
      <c r="G8" s="63" t="s">
        <v>77</v>
      </c>
      <c r="H8" s="63" t="s">
        <v>78</v>
      </c>
      <c r="I8" s="63" t="s">
        <v>79</v>
      </c>
      <c r="J8" s="63" t="s">
        <v>80</v>
      </c>
      <c r="K8" s="63" t="s">
        <v>81</v>
      </c>
      <c r="L8" s="63" t="s">
        <v>82</v>
      </c>
      <c r="M8" s="63" t="s">
        <v>82</v>
      </c>
      <c r="N8" s="63" t="s">
        <v>82</v>
      </c>
      <c r="O8" s="63" t="s">
        <v>83</v>
      </c>
      <c r="P8" s="63" t="s">
        <v>83</v>
      </c>
      <c r="Q8" s="63" t="s">
        <v>83</v>
      </c>
      <c r="R8" s="63" t="s">
        <v>83</v>
      </c>
      <c r="S8" s="63" t="s">
        <v>82</v>
      </c>
      <c r="T8" s="63" t="s">
        <v>82</v>
      </c>
      <c r="U8" s="63" t="s">
        <v>82</v>
      </c>
    </row>
    <row r="9" spans="2:21" ht="15.75" thickBot="1" x14ac:dyDescent="0.3">
      <c r="C9" s="23" t="s">
        <v>37</v>
      </c>
      <c r="D9" s="22" t="s">
        <v>38</v>
      </c>
      <c r="E9" s="23">
        <v>24.6</v>
      </c>
      <c r="F9" s="22">
        <v>23.2</v>
      </c>
      <c r="G9" s="22">
        <v>24</v>
      </c>
      <c r="H9" s="23">
        <v>18.5</v>
      </c>
      <c r="I9" s="22">
        <v>17.5</v>
      </c>
      <c r="J9" s="22">
        <v>17</v>
      </c>
      <c r="K9" s="22">
        <v>17.8</v>
      </c>
      <c r="L9" s="22"/>
      <c r="M9" s="22"/>
      <c r="N9" s="22"/>
      <c r="O9" s="23"/>
      <c r="P9" s="22"/>
      <c r="Q9" s="22"/>
      <c r="R9" s="22"/>
      <c r="S9" s="22"/>
      <c r="T9" s="22"/>
      <c r="U9" s="22"/>
    </row>
    <row r="10" spans="2:21" ht="15.75" thickBot="1" x14ac:dyDescent="0.3">
      <c r="C10" s="23" t="s">
        <v>40</v>
      </c>
      <c r="D10" s="22"/>
      <c r="E10" s="23">
        <v>7.04</v>
      </c>
      <c r="F10" s="22">
        <v>7.06</v>
      </c>
      <c r="G10" s="22">
        <v>6.73</v>
      </c>
      <c r="H10" s="23">
        <v>7.14</v>
      </c>
      <c r="I10" s="22">
        <v>7.35</v>
      </c>
      <c r="J10" s="22">
        <v>7.7</v>
      </c>
      <c r="K10" s="22">
        <v>7.07</v>
      </c>
      <c r="L10" s="22"/>
      <c r="M10" s="22"/>
      <c r="N10" s="22"/>
      <c r="O10" s="23"/>
      <c r="P10" s="22"/>
      <c r="Q10" s="22"/>
      <c r="R10" s="22"/>
      <c r="S10" s="22"/>
      <c r="T10" s="22"/>
      <c r="U10" s="22"/>
    </row>
    <row r="11" spans="2:21" ht="15.75" thickBot="1" x14ac:dyDescent="0.3">
      <c r="C11" s="23" t="s">
        <v>42</v>
      </c>
      <c r="D11" s="22" t="s">
        <v>43</v>
      </c>
      <c r="E11" s="23">
        <v>2117</v>
      </c>
      <c r="F11" s="22">
        <v>3560</v>
      </c>
      <c r="G11" s="22">
        <v>1817</v>
      </c>
      <c r="H11" s="23">
        <v>3770</v>
      </c>
      <c r="I11" s="22">
        <v>3400</v>
      </c>
      <c r="J11" s="22">
        <v>4660</v>
      </c>
      <c r="K11" s="22">
        <v>2070</v>
      </c>
      <c r="L11" s="22"/>
      <c r="M11" s="22"/>
      <c r="N11" s="22"/>
      <c r="O11" s="23"/>
      <c r="P11" s="22"/>
      <c r="Q11" s="22"/>
      <c r="R11" s="22"/>
      <c r="S11" s="22"/>
      <c r="T11" s="22"/>
      <c r="U11" s="22"/>
    </row>
    <row r="12" spans="2:21" ht="15.75" thickBot="1" x14ac:dyDescent="0.3">
      <c r="C12" s="23" t="s">
        <v>44</v>
      </c>
      <c r="D12" s="22" t="s">
        <v>45</v>
      </c>
      <c r="E12" s="23">
        <v>1358</v>
      </c>
      <c r="F12" s="22">
        <v>5126</v>
      </c>
      <c r="G12" s="22">
        <v>1561</v>
      </c>
      <c r="H12" s="23"/>
      <c r="I12" s="22"/>
      <c r="J12" s="22"/>
      <c r="K12" s="22"/>
      <c r="L12" s="22"/>
      <c r="M12" s="22"/>
      <c r="N12" s="22"/>
      <c r="O12" s="23"/>
      <c r="P12" s="22"/>
      <c r="Q12" s="22"/>
      <c r="R12" s="22"/>
      <c r="S12" s="22"/>
      <c r="T12" s="22"/>
      <c r="U12" s="22"/>
    </row>
    <row r="13" spans="2:21" ht="15.75" thickBot="1" x14ac:dyDescent="0.3">
      <c r="C13" s="23" t="s">
        <v>46</v>
      </c>
      <c r="D13" s="22" t="s">
        <v>45</v>
      </c>
      <c r="E13" s="23">
        <v>1164</v>
      </c>
      <c r="F13" s="22">
        <v>1658</v>
      </c>
      <c r="G13" s="22">
        <v>999</v>
      </c>
      <c r="H13" s="23">
        <v>2359</v>
      </c>
      <c r="I13" s="22">
        <v>2380</v>
      </c>
      <c r="J13" s="22">
        <v>3262</v>
      </c>
      <c r="K13" s="22">
        <v>1328</v>
      </c>
      <c r="L13" s="22"/>
      <c r="M13" s="22"/>
      <c r="N13" s="22"/>
      <c r="O13" s="23"/>
      <c r="P13" s="22"/>
      <c r="Q13" s="22"/>
      <c r="R13" s="22"/>
      <c r="S13" s="22"/>
      <c r="T13" s="22"/>
      <c r="U13" s="22"/>
    </row>
    <row r="14" spans="2:21" ht="24.75" thickBot="1" x14ac:dyDescent="0.3">
      <c r="C14" s="23" t="s">
        <v>47</v>
      </c>
      <c r="D14" s="22" t="s">
        <v>45</v>
      </c>
      <c r="E14" s="64">
        <v>194</v>
      </c>
      <c r="F14" s="65">
        <v>3168</v>
      </c>
      <c r="G14" s="65">
        <v>652</v>
      </c>
      <c r="H14" s="64"/>
      <c r="I14" s="65"/>
      <c r="J14" s="65"/>
      <c r="K14" s="65"/>
      <c r="L14" s="65">
        <v>508</v>
      </c>
      <c r="M14" s="65">
        <v>964</v>
      </c>
      <c r="N14" s="65">
        <v>2590</v>
      </c>
      <c r="O14" s="64">
        <v>9940</v>
      </c>
      <c r="P14" s="65">
        <v>446</v>
      </c>
      <c r="Q14" s="65">
        <v>248</v>
      </c>
      <c r="R14" s="65">
        <v>3230</v>
      </c>
      <c r="S14" s="65">
        <v>1860</v>
      </c>
      <c r="T14" s="65">
        <v>2220</v>
      </c>
      <c r="U14" s="65">
        <v>7180</v>
      </c>
    </row>
    <row r="15" spans="2:21" ht="15.75" thickBot="1" x14ac:dyDescent="0.3">
      <c r="C15" s="23" t="s">
        <v>17</v>
      </c>
      <c r="D15" s="22" t="s">
        <v>45</v>
      </c>
      <c r="E15" s="64">
        <v>160</v>
      </c>
      <c r="F15" s="65">
        <v>400</v>
      </c>
      <c r="G15" s="65">
        <v>200</v>
      </c>
      <c r="H15" s="64">
        <v>1470</v>
      </c>
      <c r="I15" s="65">
        <v>1610</v>
      </c>
      <c r="J15" s="65">
        <v>1680</v>
      </c>
      <c r="K15" s="65">
        <v>800</v>
      </c>
      <c r="L15" s="65">
        <v>1875</v>
      </c>
      <c r="M15" s="65">
        <v>4275</v>
      </c>
      <c r="N15" s="65">
        <v>1650</v>
      </c>
      <c r="O15" s="64">
        <v>5700</v>
      </c>
      <c r="P15" s="65">
        <v>600</v>
      </c>
      <c r="Q15" s="65">
        <v>240</v>
      </c>
      <c r="R15" s="65">
        <v>2757</v>
      </c>
      <c r="S15" s="65">
        <v>4880</v>
      </c>
      <c r="T15" s="65">
        <v>1050</v>
      </c>
      <c r="U15" s="65">
        <v>4500</v>
      </c>
    </row>
    <row r="16" spans="2:21" ht="15.75" thickBot="1" x14ac:dyDescent="0.3">
      <c r="C16" s="23" t="s">
        <v>18</v>
      </c>
      <c r="D16" s="22" t="s">
        <v>45</v>
      </c>
      <c r="E16" s="64">
        <v>541</v>
      </c>
      <c r="F16" s="65">
        <v>871</v>
      </c>
      <c r="G16" s="65">
        <v>504</v>
      </c>
      <c r="H16" s="64">
        <v>2100</v>
      </c>
      <c r="I16" s="65">
        <v>2300</v>
      </c>
      <c r="J16" s="65">
        <v>2400</v>
      </c>
      <c r="K16" s="65">
        <v>1143</v>
      </c>
      <c r="L16" s="65">
        <v>4065</v>
      </c>
      <c r="M16" s="65">
        <v>7725</v>
      </c>
      <c r="N16" s="65">
        <v>4175</v>
      </c>
      <c r="O16" s="64">
        <v>11950</v>
      </c>
      <c r="P16" s="65">
        <v>1450</v>
      </c>
      <c r="Q16" s="65">
        <v>525</v>
      </c>
      <c r="R16" s="65">
        <v>6013</v>
      </c>
      <c r="S16" s="65">
        <v>11200</v>
      </c>
      <c r="T16" s="65">
        <v>2750</v>
      </c>
      <c r="U16" s="65">
        <v>10825</v>
      </c>
    </row>
    <row r="17" spans="3:21" ht="15.75" thickBot="1" x14ac:dyDescent="0.3">
      <c r="C17" s="23" t="s">
        <v>48</v>
      </c>
      <c r="D17" s="22" t="s">
        <v>45</v>
      </c>
      <c r="E17" s="23">
        <v>0</v>
      </c>
      <c r="F17" s="22">
        <v>0</v>
      </c>
      <c r="G17" s="22">
        <v>0</v>
      </c>
      <c r="H17" s="23"/>
      <c r="I17" s="22"/>
      <c r="J17" s="22"/>
      <c r="K17" s="22"/>
      <c r="L17" s="22"/>
      <c r="M17" s="22"/>
      <c r="N17" s="22"/>
      <c r="O17" s="23"/>
      <c r="P17" s="22"/>
      <c r="Q17" s="22"/>
      <c r="R17" s="22"/>
      <c r="S17" s="22"/>
      <c r="T17" s="22"/>
      <c r="U17" s="22"/>
    </row>
    <row r="18" spans="3:21" ht="15.75" thickBot="1" x14ac:dyDescent="0.3">
      <c r="C18" s="23" t="s">
        <v>49</v>
      </c>
      <c r="D18" s="22" t="s">
        <v>45</v>
      </c>
      <c r="E18" s="23">
        <v>4</v>
      </c>
      <c r="F18" s="22">
        <v>5</v>
      </c>
      <c r="G18" s="22">
        <v>4</v>
      </c>
      <c r="H18" s="23"/>
      <c r="I18" s="22"/>
      <c r="J18" s="22"/>
      <c r="K18" s="22"/>
      <c r="L18" s="22"/>
      <c r="M18" s="22"/>
      <c r="N18" s="22"/>
      <c r="O18" s="23"/>
      <c r="P18" s="22"/>
      <c r="Q18" s="22"/>
      <c r="R18" s="22"/>
      <c r="S18" s="22"/>
      <c r="T18" s="22"/>
      <c r="U18" s="22"/>
    </row>
    <row r="19" spans="3:21" ht="15.75" thickBot="1" x14ac:dyDescent="0.3">
      <c r="C19" s="23" t="s">
        <v>50</v>
      </c>
      <c r="D19" s="22" t="s">
        <v>45</v>
      </c>
      <c r="E19" s="23">
        <v>12</v>
      </c>
      <c r="F19" s="22">
        <v>12</v>
      </c>
      <c r="G19" s="22">
        <v>11</v>
      </c>
      <c r="H19" s="23"/>
      <c r="I19" s="22"/>
      <c r="J19" s="22"/>
      <c r="K19" s="22"/>
      <c r="L19" s="22"/>
      <c r="M19" s="22"/>
      <c r="N19" s="22"/>
      <c r="O19" s="23"/>
      <c r="P19" s="22"/>
      <c r="Q19" s="22"/>
      <c r="R19" s="22"/>
      <c r="S19" s="22"/>
      <c r="T19" s="22"/>
      <c r="U19" s="22"/>
    </row>
    <row r="20" spans="3:21" ht="15.75" thickBot="1" x14ac:dyDescent="0.3">
      <c r="C20" s="23" t="s">
        <v>51</v>
      </c>
      <c r="D20" s="22" t="s">
        <v>45</v>
      </c>
      <c r="E20" s="23">
        <v>0</v>
      </c>
      <c r="F20" s="22">
        <v>0</v>
      </c>
      <c r="G20" s="22">
        <v>0</v>
      </c>
      <c r="H20" s="23"/>
      <c r="I20" s="22"/>
      <c r="J20" s="22"/>
      <c r="K20" s="22"/>
      <c r="L20" s="22"/>
      <c r="M20" s="22"/>
      <c r="N20" s="22"/>
      <c r="O20" s="23"/>
      <c r="P20" s="22"/>
      <c r="Q20" s="22"/>
      <c r="R20" s="22"/>
      <c r="S20" s="22"/>
      <c r="T20" s="22"/>
      <c r="U20" s="22"/>
    </row>
    <row r="21" spans="3:21" ht="15.75" thickBot="1" x14ac:dyDescent="0.3">
      <c r="C21" s="23" t="s">
        <v>52</v>
      </c>
      <c r="D21" s="22" t="s">
        <v>45</v>
      </c>
      <c r="E21" s="23">
        <v>0</v>
      </c>
      <c r="F21" s="22">
        <v>0</v>
      </c>
      <c r="G21" s="22">
        <v>0</v>
      </c>
      <c r="H21" s="23"/>
      <c r="I21" s="22"/>
      <c r="J21" s="22"/>
      <c r="K21" s="22"/>
      <c r="L21" s="22"/>
      <c r="M21" s="22"/>
      <c r="N21" s="22"/>
      <c r="O21" s="23"/>
      <c r="P21" s="22"/>
      <c r="Q21" s="22"/>
      <c r="R21" s="22"/>
      <c r="S21" s="22"/>
      <c r="T21" s="22"/>
      <c r="U21" s="22"/>
    </row>
    <row r="25" spans="3:21" ht="30" customHeight="1" x14ac:dyDescent="0.3">
      <c r="C25" s="27" t="s">
        <v>65</v>
      </c>
      <c r="G25" s="331" t="s">
        <v>96</v>
      </c>
      <c r="H25" s="332"/>
      <c r="I25" s="333"/>
      <c r="M25" s="330" t="s">
        <v>92</v>
      </c>
      <c r="N25" s="330"/>
      <c r="O25" s="330" t="s">
        <v>91</v>
      </c>
      <c r="P25" s="330"/>
    </row>
    <row r="26" spans="3:21" x14ac:dyDescent="0.25">
      <c r="E26" s="39" t="s">
        <v>53</v>
      </c>
      <c r="F26" s="66" t="s">
        <v>22</v>
      </c>
      <c r="G26" s="28" t="s">
        <v>55</v>
      </c>
      <c r="H26" s="28" t="s">
        <v>20</v>
      </c>
      <c r="I26" s="28" t="s">
        <v>93</v>
      </c>
      <c r="K26" s="39" t="s">
        <v>53</v>
      </c>
      <c r="L26" s="66" t="s">
        <v>22</v>
      </c>
      <c r="M26" s="28" t="s">
        <v>55</v>
      </c>
      <c r="N26" s="28" t="s">
        <v>20</v>
      </c>
      <c r="O26" s="28" t="s">
        <v>55</v>
      </c>
      <c r="P26" s="28" t="s">
        <v>20</v>
      </c>
    </row>
    <row r="27" spans="3:21" x14ac:dyDescent="0.25">
      <c r="E27" s="40" t="s">
        <v>37</v>
      </c>
      <c r="F27" s="69" t="s">
        <v>38</v>
      </c>
      <c r="G27" s="57">
        <f>AVERAGE(E9:U9)</f>
        <v>20.37142857142857</v>
      </c>
      <c r="H27" s="58">
        <f>_xlfn.STDEV.S(E9:U9)</f>
        <v>3.3856138220980005</v>
      </c>
      <c r="I27" s="82">
        <f>MAX(E9:U9)</f>
        <v>24.6</v>
      </c>
      <c r="K27" s="40" t="s">
        <v>17</v>
      </c>
      <c r="L27" s="69" t="s">
        <v>12</v>
      </c>
      <c r="M27" s="57">
        <f>AVERAGE(E15:K15,P15:Q15,T15)</f>
        <v>821</v>
      </c>
      <c r="N27" s="58">
        <f>_xlfn.STDEV.S(E15:K15,P15:Q15,T15)</f>
        <v>598.20936505912744</v>
      </c>
      <c r="O27" s="57">
        <f>AVERAGE(L15:O15,R15:S15,U15)</f>
        <v>3662.4285714285716</v>
      </c>
      <c r="P27" s="58">
        <f>_xlfn.STDEV.S(L15:O15,R15:S15,U15)</f>
        <v>1569.2629753213087</v>
      </c>
    </row>
    <row r="28" spans="3:21" x14ac:dyDescent="0.25">
      <c r="E28" s="40" t="s">
        <v>40</v>
      </c>
      <c r="F28" s="69" t="s">
        <v>6</v>
      </c>
      <c r="G28" s="57">
        <f>AVERAGE(E10:U10)</f>
        <v>7.1557142857142866</v>
      </c>
      <c r="H28" s="58">
        <f>_xlfn.STDEV.S(E10:U10)</f>
        <v>0.30148837140964169</v>
      </c>
      <c r="I28" s="82">
        <f t="shared" ref="I28:I29" si="0">MAX(E10:U10)</f>
        <v>7.7</v>
      </c>
      <c r="K28" s="40" t="s">
        <v>18</v>
      </c>
      <c r="L28" s="69" t="s">
        <v>12</v>
      </c>
      <c r="M28" s="57">
        <f>AVERAGE(E16:K16,P16:Q16,T16)</f>
        <v>1458.4</v>
      </c>
      <c r="N28" s="58">
        <f>_xlfn.STDEV.S(E16:K16,P16:Q16,T16)</f>
        <v>865.58306617241783</v>
      </c>
      <c r="O28" s="57">
        <f>AVERAGE(L16:O16,R16:S16,U16)</f>
        <v>7993.2857142857147</v>
      </c>
      <c r="P28" s="58">
        <f>_xlfn.STDEV.S(L16:O16,R16:S16,U16)</f>
        <v>3365.547341037101</v>
      </c>
    </row>
    <row r="29" spans="3:21" x14ac:dyDescent="0.25">
      <c r="E29" s="40" t="s">
        <v>42</v>
      </c>
      <c r="F29" s="69" t="s">
        <v>12</v>
      </c>
      <c r="G29" s="57">
        <f>AVERAGE(E11:U11)</f>
        <v>3056.2857142857142</v>
      </c>
      <c r="H29" s="58">
        <f>_xlfn.STDEV.S(E11:U11)</f>
        <v>1068.0200863101331</v>
      </c>
      <c r="I29" s="82">
        <f t="shared" si="0"/>
        <v>4660</v>
      </c>
      <c r="K29" s="40" t="s">
        <v>15</v>
      </c>
      <c r="L29" s="69" t="s">
        <v>12</v>
      </c>
      <c r="M29" s="57">
        <f>AVERAGE(E14:K14,P14:Q14,T14)</f>
        <v>1154.6666666666667</v>
      </c>
      <c r="N29" s="58">
        <f>_xlfn.STDEV.S(E14:K14,P14:Q14,T14)</f>
        <v>1240.0204299392274</v>
      </c>
      <c r="O29" s="57">
        <f>AVERAGE(L14:O14,R14:S14,U14)</f>
        <v>3753.1428571428573</v>
      </c>
      <c r="P29" s="58">
        <f>_xlfn.STDEV.S(L14:O14,R14:S14,U14)</f>
        <v>3500.985357894328</v>
      </c>
    </row>
    <row r="30" spans="3:21" x14ac:dyDescent="0.25">
      <c r="E30" s="40" t="s">
        <v>17</v>
      </c>
      <c r="F30" s="69" t="s">
        <v>12</v>
      </c>
      <c r="G30" s="57">
        <f>AVERAGE(E15:U15)</f>
        <v>1991</v>
      </c>
      <c r="H30" s="58">
        <f>_xlfn.STDEV.S(E15:U15)</f>
        <v>1789.5691171340659</v>
      </c>
      <c r="I30" s="82">
        <f>MAX(E15:U15)</f>
        <v>5700</v>
      </c>
    </row>
    <row r="31" spans="3:21" x14ac:dyDescent="0.25">
      <c r="E31" s="40" t="s">
        <v>18</v>
      </c>
      <c r="F31" s="69" t="s">
        <v>12</v>
      </c>
      <c r="G31" s="57">
        <f>AVERAGE(E16:U16)</f>
        <v>4149.2352941176468</v>
      </c>
      <c r="H31" s="58">
        <f>_xlfn.STDEV.S(E16:U16)</f>
        <v>3957.1736367231183</v>
      </c>
      <c r="I31" s="82">
        <f>MAX(E16:U16)</f>
        <v>11950</v>
      </c>
    </row>
    <row r="32" spans="3:21" x14ac:dyDescent="0.25">
      <c r="E32" s="40" t="s">
        <v>59</v>
      </c>
      <c r="F32" s="69" t="s">
        <v>12</v>
      </c>
      <c r="G32" s="57">
        <f>AVERAGE(E12:U12)</f>
        <v>2681.6666666666665</v>
      </c>
      <c r="H32" s="58">
        <f>_xlfn.STDEV.S(E12:U12)</f>
        <v>2119.2867510871042</v>
      </c>
      <c r="I32" s="82">
        <f>MAX(E12:U12)</f>
        <v>5126</v>
      </c>
    </row>
    <row r="33" spans="3:9" x14ac:dyDescent="0.25">
      <c r="E33" s="40" t="s">
        <v>13</v>
      </c>
      <c r="F33" s="69" t="s">
        <v>12</v>
      </c>
      <c r="G33" s="57">
        <f>AVERAGE(E13:U13)</f>
        <v>1878.5714285714287</v>
      </c>
      <c r="H33" s="58">
        <f>_xlfn.STDEV.S(E13:U13)</f>
        <v>819.77189045548039</v>
      </c>
      <c r="I33" s="82">
        <f>MAX(E13:U13)</f>
        <v>3262</v>
      </c>
    </row>
    <row r="34" spans="3:9" x14ac:dyDescent="0.25">
      <c r="E34" s="40" t="s">
        <v>15</v>
      </c>
      <c r="F34" s="69" t="s">
        <v>12</v>
      </c>
      <c r="G34" s="57">
        <f>AVERAGE(E14:U14)</f>
        <v>2553.8461538461538</v>
      </c>
      <c r="H34" s="58">
        <f>_xlfn.STDEV.S(E14:U14)</f>
        <v>2930.3590748733009</v>
      </c>
      <c r="I34" s="82">
        <f>MAX(E14:U14)</f>
        <v>9940</v>
      </c>
    </row>
    <row r="35" spans="3:9" x14ac:dyDescent="0.25">
      <c r="E35" s="40" t="s">
        <v>49</v>
      </c>
      <c r="F35" s="69" t="s">
        <v>12</v>
      </c>
      <c r="G35" s="57">
        <f>AVERAGE(E18:U18)</f>
        <v>4.333333333333333</v>
      </c>
      <c r="H35" s="58">
        <f>_xlfn.STDEV.S(E18:U18)</f>
        <v>0.57735026918962473</v>
      </c>
      <c r="I35" s="82">
        <f>MAX(E18:U18)</f>
        <v>5</v>
      </c>
    </row>
    <row r="36" spans="3:9" x14ac:dyDescent="0.25">
      <c r="E36" s="40" t="s">
        <v>50</v>
      </c>
      <c r="F36" s="69" t="s">
        <v>12</v>
      </c>
      <c r="G36" s="57">
        <f>AVERAGE(E19:U19)</f>
        <v>11.666666666666666</v>
      </c>
      <c r="H36" s="58">
        <f>_xlfn.STDEV.S(E19:U19)</f>
        <v>0.57735026918962573</v>
      </c>
      <c r="I36" s="82">
        <f>MAX(E19:U19)</f>
        <v>12</v>
      </c>
    </row>
    <row r="37" spans="3:9" x14ac:dyDescent="0.25">
      <c r="C37" s="26"/>
      <c r="D37" s="26"/>
      <c r="E37" s="40" t="s">
        <v>57</v>
      </c>
      <c r="F37" s="69" t="s">
        <v>12</v>
      </c>
      <c r="G37" s="57">
        <f>AVERAGE(E20:U20)</f>
        <v>0</v>
      </c>
      <c r="H37" s="58">
        <f>_xlfn.STDEV.S(E20:U20)</f>
        <v>0</v>
      </c>
      <c r="I37" s="82">
        <f>MAX(E20:U20)</f>
        <v>0</v>
      </c>
    </row>
    <row r="38" spans="3:9" x14ac:dyDescent="0.25">
      <c r="E38" s="40" t="s">
        <v>58</v>
      </c>
      <c r="F38" s="69" t="s">
        <v>12</v>
      </c>
      <c r="G38" s="57">
        <f>AVERAGE(E21:U21)</f>
        <v>0</v>
      </c>
      <c r="H38" s="58">
        <f>_xlfn.STDEV.S(E21:U21)</f>
        <v>0</v>
      </c>
      <c r="I38" s="82">
        <f>MAX(E21:U21)</f>
        <v>0</v>
      </c>
    </row>
    <row r="39" spans="3:9" x14ac:dyDescent="0.25">
      <c r="E39" s="40" t="s">
        <v>56</v>
      </c>
      <c r="F39" s="69" t="s">
        <v>12</v>
      </c>
      <c r="G39" s="57">
        <f>AVERAGE(E17:U17)</f>
        <v>0</v>
      </c>
      <c r="H39" s="58">
        <f>_xlfn.STDEV.S(E17:U17)</f>
        <v>0</v>
      </c>
      <c r="I39" s="82">
        <f>MAX(E17:U17)</f>
        <v>0</v>
      </c>
    </row>
    <row r="41" spans="3:9" x14ac:dyDescent="0.25">
      <c r="I41" t="s">
        <v>95</v>
      </c>
    </row>
  </sheetData>
  <mergeCells count="5">
    <mergeCell ref="M25:N25"/>
    <mergeCell ref="O25:P25"/>
    <mergeCell ref="G25:I25"/>
    <mergeCell ref="C7:C8"/>
    <mergeCell ref="D7: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Sewage - ESRISS Composit</vt:lpstr>
      <vt:lpstr>Sewage - ESRISS 24h</vt:lpstr>
      <vt:lpstr>Sewage - KES Rodeco</vt:lpstr>
      <vt:lpstr>Sewage - ESRISS Snapshot</vt:lpstr>
      <vt:lpstr>Septage - ESRISS</vt:lpstr>
      <vt:lpstr>Liquid Manure - ESRISS</vt:lpstr>
      <vt:lpstr>Household - KES Rodeco</vt:lpstr>
      <vt:lpstr>'Liquid Manure - ESRISS'!Print_Area</vt:lpstr>
      <vt:lpstr>'Septage - ESRISS'!Print_Area</vt:lpstr>
    </vt:vector>
  </TitlesOfParts>
  <Company>Eawag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Reymond, Philippe</dc:creator>
  <cp:lastModifiedBy>Dalla Torre, Caterina</cp:lastModifiedBy>
  <cp:lastPrinted>2013-12-17T09:08:38Z</cp:lastPrinted>
  <dcterms:created xsi:type="dcterms:W3CDTF">2012-04-25T09:01:49Z</dcterms:created>
  <dcterms:modified xsi:type="dcterms:W3CDTF">2013-12-17T09:47:34Z</dcterms:modified>
</cp:coreProperties>
</file>