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-24" windowWidth="19416" windowHeight="11016" tabRatio="670"/>
  </bookViews>
  <sheets>
    <sheet name="ReadMe" sheetId="1" r:id="rId1"/>
    <sheet name="Dropdown Lists" sheetId="8" r:id="rId2"/>
    <sheet name="Item Prices &amp; Rates" sheetId="6" r:id="rId3"/>
    <sheet name="Model 1" sheetId="18" r:id="rId4"/>
    <sheet name="Model 2" sheetId="21" r:id="rId5"/>
    <sheet name="Comparison" sheetId="17" r:id="rId6"/>
    <sheet name="Calculations" sheetId="11" state="hidden" r:id="rId7"/>
  </sheets>
  <definedNames>
    <definedName name="CategoriesListIndex">'Dropdown Lists'!$H$14:INDEX('Dropdown Lists'!$H$14:$H$113,SUMPRODUCT(--('Dropdown Lists'!$H$14:$H$113&lt;&gt;"")))</definedName>
    <definedName name="ComponentsListIndex">'Dropdown Lists'!$L$14:INDEX('Dropdown Lists'!$L$14:$L$113,SUMPRODUCT(--('Dropdown Lists'!$L$14:$L$113&lt;&gt;"")))</definedName>
    <definedName name="CountriesListIndex">'Dropdown Lists'!$D$14:INDEX('Dropdown Lists'!$D$14:$D$113,SUMPRODUCT(--('Dropdown Lists'!$D$14:$D$113&lt;&gt;"")))</definedName>
    <definedName name="CurrenciesListIndex">'Dropdown Lists'!$F$14:INDEX('Dropdown Lists'!$F$14:$F$113,SUMPRODUCT(--('Dropdown Lists'!$F$14:$F$113&lt;&gt;"")))</definedName>
    <definedName name="ItemListIndex">Calculations!$B$8:INDEX(Calculations!$B$8:$B$107,SUMPRODUCT(--(Calculations!$B$8:$B$107&lt;&gt;"")))</definedName>
    <definedName name="Model1Category">Calculations!$R$8:INDEX(Calculations!$R$8:$R$107,SUMPRODUCT(--(Calculations!$R$8:$R$107&lt;&gt;"")))</definedName>
    <definedName name="Model1Category2">Calculations!$R$7:INDEX(Calculations!$R$7:$R$107,SUMPRODUCT(--(Calculations!$R$7:$R$107&lt;&gt;"")))</definedName>
    <definedName name="Model1CategorySubtotal">Calculations!$X$8:INDEX(Calculations!$X$8:$X$107,SUMPRODUCT(--(Calculations!$R$8:$R$107&lt;&gt;"")))</definedName>
    <definedName name="Model1CategorySubtotal2">Calculations!$X$7:INDEX(Calculations!$X$7:$X$107,SUMPRODUCT(--(Calculations!$R$7:$R$107&lt;&gt;"")))</definedName>
    <definedName name="Model1Component">Calculations!$U$8:INDEX(Calculations!$U$8:$U$107,SUMPRODUCT(--(Calculations!$U$8:$U$107&lt;&gt;"")))</definedName>
    <definedName name="Model1Component2">Calculations!$U$7:INDEX(Calculations!$U$7:$U$107,SUMPRODUCT(--(Calculations!$U$7:$U$107&lt;&gt;"")))</definedName>
    <definedName name="Model1ComponentSubtotal">Calculations!$Y$8:INDEX(Calculations!$Y$8:$Y$107,SUMPRODUCT(--(Calculations!$U$8:$U$107&lt;&gt;"")))</definedName>
    <definedName name="Model1ComponentSubtotal2">Calculations!$Y$7:INDEX(Calculations!$Y$7:$Y$107,SUMPRODUCT(--(Calculations!$U$7:$U$107&lt;&gt;"")))</definedName>
    <definedName name="Model2CategorySubtotal">Calculations!$AA$8:INDEX(Calculations!$AA$8:$AA$107,SUMPRODUCT(--(Calculations!$R$8:$R$107&lt;&gt;"")))</definedName>
    <definedName name="Model2CategorySubtotal2">Calculations!$AA$7:INDEX(Calculations!$AA$7:$AA$107,SUMPRODUCT(--(Calculations!$R$7:$R$107&lt;&gt;"")))</definedName>
    <definedName name="Model2ComponentSubtotal">Calculations!$AB$8:INDEX(Calculations!$AB$8:$AB$107,SUMPRODUCT(--(Calculations!$U$8:$U$107&lt;&gt;"")))</definedName>
    <definedName name="Model2ComponentSubtotal2">Calculations!$AB$7:INDEX(Calculations!$AB$7:$AB$107,SUMPRODUCT(--(Calculations!$U$7:$U$107&lt;&gt;"")))</definedName>
    <definedName name="TotalPriceModel1">'Model 1'!$J$68</definedName>
    <definedName name="UnitsListIndex">'Dropdown Lists'!$J$14:INDEX('Dropdown Lists'!$J$14:$J$113,SUMPRODUCT(--('Dropdown Lists'!$J$14:$J$113&lt;&gt;"")))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9" i="11" l="1"/>
  <c r="D2" i="6" s="1"/>
  <c r="P28" i="11"/>
  <c r="P30" i="11"/>
  <c r="D2" i="18" s="1"/>
  <c r="P31" i="11"/>
  <c r="D2" i="21" s="1"/>
  <c r="P32" i="11"/>
  <c r="D2" i="17" s="1"/>
  <c r="E9" i="1"/>
  <c r="D16" i="18"/>
  <c r="F16" i="18"/>
  <c r="E11" i="1"/>
  <c r="P18" i="11"/>
  <c r="P19" i="11"/>
  <c r="P38" i="11" s="1"/>
  <c r="P15" i="11"/>
  <c r="D8" i="1" s="1"/>
  <c r="P16" i="11"/>
  <c r="D9" i="1" s="1"/>
  <c r="P17" i="11"/>
  <c r="D10" i="1" s="1"/>
  <c r="D76" i="6"/>
  <c r="G30" i="18"/>
  <c r="G29" i="18"/>
  <c r="G28" i="18"/>
  <c r="G27" i="18"/>
  <c r="G26" i="18"/>
  <c r="G25" i="18"/>
  <c r="G24" i="18"/>
  <c r="G22" i="18"/>
  <c r="G21" i="18"/>
  <c r="G20" i="18"/>
  <c r="G19" i="18"/>
  <c r="D67" i="6"/>
  <c r="D68" i="6"/>
  <c r="D69" i="6"/>
  <c r="D70" i="6"/>
  <c r="D71" i="6"/>
  <c r="D72" i="6"/>
  <c r="D73" i="6"/>
  <c r="D74" i="6"/>
  <c r="D75" i="6"/>
  <c r="U6" i="11"/>
  <c r="Y6" i="11" s="1"/>
  <c r="AB6" i="11" s="1"/>
  <c r="R6" i="11"/>
  <c r="S6" i="11" s="1"/>
  <c r="X6" i="11"/>
  <c r="AA6" i="11" s="1"/>
  <c r="H16" i="21"/>
  <c r="D16" i="21"/>
  <c r="H16" i="18"/>
  <c r="G18" i="6"/>
  <c r="P20" i="11"/>
  <c r="D12" i="1" s="1"/>
  <c r="P21" i="11"/>
  <c r="D13" i="1" s="1"/>
  <c r="F30" i="21"/>
  <c r="M30" i="21" s="1"/>
  <c r="H30" i="21"/>
  <c r="I30" i="21"/>
  <c r="J30" i="21" s="1"/>
  <c r="K30" i="21"/>
  <c r="L30" i="21"/>
  <c r="U8" i="11"/>
  <c r="U9" i="11"/>
  <c r="V9" i="11"/>
  <c r="K32" i="21"/>
  <c r="K40" i="21"/>
  <c r="F45" i="21"/>
  <c r="M45" i="21" s="1"/>
  <c r="H45" i="21"/>
  <c r="I45" i="21"/>
  <c r="J45" i="21" s="1"/>
  <c r="K45" i="21"/>
  <c r="L45" i="21"/>
  <c r="U10" i="11"/>
  <c r="V10" i="11"/>
  <c r="F48" i="21"/>
  <c r="M48" i="21" s="1"/>
  <c r="H48" i="21"/>
  <c r="I48" i="21"/>
  <c r="J48" i="21"/>
  <c r="K48" i="21"/>
  <c r="L48" i="21"/>
  <c r="F49" i="21"/>
  <c r="M49" i="21"/>
  <c r="H49" i="21"/>
  <c r="I49" i="21"/>
  <c r="J49" i="21"/>
  <c r="K49" i="21"/>
  <c r="L49" i="21"/>
  <c r="F50" i="21"/>
  <c r="M50" i="21"/>
  <c r="H50" i="21"/>
  <c r="I50" i="21"/>
  <c r="J50" i="21" s="1"/>
  <c r="K50" i="21"/>
  <c r="L50" i="21"/>
  <c r="F51" i="21"/>
  <c r="M51" i="21" s="1"/>
  <c r="H51" i="21"/>
  <c r="I51" i="21"/>
  <c r="J51" i="21" s="1"/>
  <c r="K51" i="21"/>
  <c r="L51" i="21"/>
  <c r="F52" i="21"/>
  <c r="M52" i="21" s="1"/>
  <c r="H52" i="21"/>
  <c r="I52" i="21"/>
  <c r="J52" i="21"/>
  <c r="K52" i="21"/>
  <c r="L52" i="21"/>
  <c r="F53" i="21"/>
  <c r="M53" i="21"/>
  <c r="H53" i="21"/>
  <c r="I53" i="21"/>
  <c r="J53" i="21"/>
  <c r="K53" i="21"/>
  <c r="L53" i="21"/>
  <c r="F54" i="21"/>
  <c r="M54" i="21"/>
  <c r="H54" i="21"/>
  <c r="I54" i="21"/>
  <c r="J54" i="21" s="1"/>
  <c r="K54" i="21"/>
  <c r="L54" i="21"/>
  <c r="F55" i="21"/>
  <c r="M55" i="21" s="1"/>
  <c r="H55" i="21"/>
  <c r="I55" i="21"/>
  <c r="J55" i="21" s="1"/>
  <c r="K55" i="21"/>
  <c r="L55" i="21"/>
  <c r="F56" i="21"/>
  <c r="M56" i="21" s="1"/>
  <c r="H56" i="21"/>
  <c r="I56" i="21"/>
  <c r="J56" i="21"/>
  <c r="K56" i="21"/>
  <c r="L56" i="21"/>
  <c r="F57" i="21"/>
  <c r="M57" i="21"/>
  <c r="H57" i="21"/>
  <c r="I57" i="21"/>
  <c r="J57" i="21"/>
  <c r="K57" i="21"/>
  <c r="L57" i="21"/>
  <c r="F58" i="21"/>
  <c r="M58" i="21"/>
  <c r="H58" i="21"/>
  <c r="I58" i="21"/>
  <c r="J58" i="21" s="1"/>
  <c r="K58" i="21"/>
  <c r="L58" i="21"/>
  <c r="F59" i="21"/>
  <c r="M59" i="21" s="1"/>
  <c r="H59" i="21"/>
  <c r="I59" i="21"/>
  <c r="J59" i="21" s="1"/>
  <c r="K59" i="21"/>
  <c r="L59" i="21"/>
  <c r="F60" i="21"/>
  <c r="M60" i="21" s="1"/>
  <c r="H60" i="21"/>
  <c r="I60" i="21"/>
  <c r="J60" i="21"/>
  <c r="K60" i="21"/>
  <c r="L60" i="21"/>
  <c r="F61" i="21"/>
  <c r="M61" i="21"/>
  <c r="H61" i="21"/>
  <c r="I61" i="21"/>
  <c r="J61" i="21"/>
  <c r="K61" i="21"/>
  <c r="L61" i="21"/>
  <c r="F62" i="21"/>
  <c r="M62" i="21"/>
  <c r="H62" i="21"/>
  <c r="I62" i="21"/>
  <c r="J62" i="21" s="1"/>
  <c r="K62" i="21"/>
  <c r="L62" i="21"/>
  <c r="F63" i="21"/>
  <c r="M63" i="21" s="1"/>
  <c r="H63" i="21"/>
  <c r="I63" i="21"/>
  <c r="J63" i="21" s="1"/>
  <c r="K63" i="21"/>
  <c r="L63" i="21"/>
  <c r="F64" i="21"/>
  <c r="M64" i="21" s="1"/>
  <c r="H64" i="21"/>
  <c r="I64" i="21"/>
  <c r="J64" i="21"/>
  <c r="K64" i="21"/>
  <c r="L64" i="21"/>
  <c r="F65" i="21"/>
  <c r="M65" i="21"/>
  <c r="H65" i="21"/>
  <c r="I65" i="21"/>
  <c r="J65" i="21"/>
  <c r="K65" i="21"/>
  <c r="L65" i="21"/>
  <c r="F66" i="21"/>
  <c r="M66" i="21"/>
  <c r="H66" i="21"/>
  <c r="I66" i="21"/>
  <c r="J66" i="21" s="1"/>
  <c r="K66" i="21"/>
  <c r="L66" i="21"/>
  <c r="F16" i="21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77" i="6"/>
  <c r="K31" i="18"/>
  <c r="V8" i="11"/>
  <c r="K38" i="18"/>
  <c r="K46" i="18"/>
  <c r="F50" i="18"/>
  <c r="M50" i="18" s="1"/>
  <c r="H50" i="18"/>
  <c r="I50" i="18"/>
  <c r="J50" i="18" s="1"/>
  <c r="K50" i="18"/>
  <c r="L50" i="18"/>
  <c r="F51" i="18"/>
  <c r="M51" i="18" s="1"/>
  <c r="H51" i="18"/>
  <c r="I51" i="18"/>
  <c r="J51" i="18"/>
  <c r="K51" i="18"/>
  <c r="L51" i="18"/>
  <c r="F52" i="18"/>
  <c r="M52" i="18"/>
  <c r="H52" i="18"/>
  <c r="I52" i="18"/>
  <c r="J52" i="18" s="1"/>
  <c r="K52" i="18"/>
  <c r="L52" i="18"/>
  <c r="F53" i="18"/>
  <c r="M53" i="18" s="1"/>
  <c r="H53" i="18"/>
  <c r="I53" i="18"/>
  <c r="J53" i="18" s="1"/>
  <c r="K53" i="18"/>
  <c r="L53" i="18"/>
  <c r="F54" i="18"/>
  <c r="M54" i="18" s="1"/>
  <c r="H54" i="18"/>
  <c r="I54" i="18"/>
  <c r="J54" i="18" s="1"/>
  <c r="K54" i="18"/>
  <c r="L54" i="18"/>
  <c r="F55" i="18"/>
  <c r="M55" i="18" s="1"/>
  <c r="H55" i="18"/>
  <c r="I55" i="18"/>
  <c r="J55" i="18"/>
  <c r="K55" i="18"/>
  <c r="L55" i="18"/>
  <c r="F56" i="18"/>
  <c r="M56" i="18"/>
  <c r="H56" i="18"/>
  <c r="I56" i="18"/>
  <c r="J56" i="18" s="1"/>
  <c r="K56" i="18"/>
  <c r="L56" i="18"/>
  <c r="F57" i="18"/>
  <c r="M57" i="18" s="1"/>
  <c r="H57" i="18"/>
  <c r="I57" i="18"/>
  <c r="J57" i="18" s="1"/>
  <c r="K57" i="18"/>
  <c r="L57" i="18"/>
  <c r="F58" i="18"/>
  <c r="M58" i="18" s="1"/>
  <c r="H58" i="18"/>
  <c r="I58" i="18"/>
  <c r="J58" i="18" s="1"/>
  <c r="K58" i="18"/>
  <c r="L58" i="18"/>
  <c r="F59" i="18"/>
  <c r="M59" i="18" s="1"/>
  <c r="H59" i="18"/>
  <c r="I59" i="18"/>
  <c r="J59" i="18"/>
  <c r="K59" i="18"/>
  <c r="L59" i="18"/>
  <c r="F60" i="18"/>
  <c r="M60" i="18"/>
  <c r="H60" i="18"/>
  <c r="I60" i="18"/>
  <c r="J60" i="18" s="1"/>
  <c r="K60" i="18"/>
  <c r="L60" i="18"/>
  <c r="F61" i="18"/>
  <c r="M61" i="18" s="1"/>
  <c r="H61" i="18"/>
  <c r="I61" i="18"/>
  <c r="J61" i="18" s="1"/>
  <c r="K61" i="18"/>
  <c r="L61" i="18"/>
  <c r="F62" i="18"/>
  <c r="M62" i="18" s="1"/>
  <c r="H62" i="18"/>
  <c r="I62" i="18"/>
  <c r="J62" i="18" s="1"/>
  <c r="K62" i="18"/>
  <c r="L62" i="18"/>
  <c r="F63" i="18"/>
  <c r="M63" i="18" s="1"/>
  <c r="H63" i="18"/>
  <c r="I63" i="18"/>
  <c r="J63" i="18"/>
  <c r="K63" i="18"/>
  <c r="L63" i="18"/>
  <c r="F64" i="18"/>
  <c r="M64" i="18"/>
  <c r="H64" i="18"/>
  <c r="I64" i="18"/>
  <c r="J64" i="18" s="1"/>
  <c r="K64" i="18"/>
  <c r="L64" i="18"/>
  <c r="F65" i="18"/>
  <c r="M65" i="18" s="1"/>
  <c r="H65" i="18"/>
  <c r="I65" i="18"/>
  <c r="J65" i="18" s="1"/>
  <c r="K65" i="18"/>
  <c r="L65" i="18"/>
  <c r="F66" i="18"/>
  <c r="M66" i="18" s="1"/>
  <c r="H66" i="18"/>
  <c r="I66" i="18"/>
  <c r="J66" i="18" s="1"/>
  <c r="K66" i="18"/>
  <c r="L66" i="18"/>
  <c r="P33" i="11"/>
  <c r="P27" i="11"/>
  <c r="E18" i="6"/>
  <c r="AA4" i="11"/>
  <c r="P40" i="11"/>
  <c r="D46" i="17"/>
  <c r="D8" i="17"/>
  <c r="X4" i="11"/>
  <c r="K18" i="6"/>
  <c r="L67" i="21"/>
  <c r="K67" i="21"/>
  <c r="I67" i="21"/>
  <c r="J67" i="21" s="1"/>
  <c r="H67" i="21"/>
  <c r="F67" i="21"/>
  <c r="M67" i="21"/>
  <c r="I67" i="18"/>
  <c r="H67" i="18"/>
  <c r="F67" i="18"/>
  <c r="R107" i="11"/>
  <c r="K8" i="11" a="1"/>
  <c r="K8" i="11"/>
  <c r="E8" i="11"/>
  <c r="K7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8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50" i="11"/>
  <c r="V50" i="11"/>
  <c r="U51" i="11"/>
  <c r="V51" i="11"/>
  <c r="U52" i="11"/>
  <c r="V52" i="11"/>
  <c r="U53" i="11"/>
  <c r="V53" i="11"/>
  <c r="U54" i="11"/>
  <c r="V54" i="11"/>
  <c r="U55" i="11"/>
  <c r="V55" i="11"/>
  <c r="U56" i="11"/>
  <c r="V56" i="11"/>
  <c r="U57" i="11"/>
  <c r="V57" i="11"/>
  <c r="U58" i="11"/>
  <c r="V58" i="11"/>
  <c r="U59" i="11"/>
  <c r="V59" i="11"/>
  <c r="U60" i="11"/>
  <c r="V60" i="11"/>
  <c r="U61" i="11"/>
  <c r="V61" i="11"/>
  <c r="U62" i="11"/>
  <c r="V62" i="11"/>
  <c r="U63" i="11"/>
  <c r="V63" i="11"/>
  <c r="U64" i="11"/>
  <c r="V64" i="11"/>
  <c r="U65" i="11"/>
  <c r="V65" i="11"/>
  <c r="U66" i="11"/>
  <c r="V66" i="11"/>
  <c r="U67" i="11"/>
  <c r="V67" i="11"/>
  <c r="U68" i="11"/>
  <c r="V68" i="11"/>
  <c r="U69" i="11"/>
  <c r="V69" i="11"/>
  <c r="U70" i="11"/>
  <c r="V70" i="11"/>
  <c r="U71" i="11"/>
  <c r="V71" i="11"/>
  <c r="U72" i="11"/>
  <c r="V72" i="11"/>
  <c r="U73" i="11"/>
  <c r="V73" i="11"/>
  <c r="U74" i="11"/>
  <c r="V74" i="11"/>
  <c r="U75" i="11"/>
  <c r="V75" i="11"/>
  <c r="U76" i="11"/>
  <c r="V76" i="11"/>
  <c r="U77" i="11"/>
  <c r="V77" i="11"/>
  <c r="U78" i="11"/>
  <c r="V78" i="11"/>
  <c r="U79" i="11"/>
  <c r="V79" i="11"/>
  <c r="U80" i="11"/>
  <c r="V80" i="11"/>
  <c r="U81" i="11"/>
  <c r="V81" i="11"/>
  <c r="U82" i="11"/>
  <c r="V82" i="11"/>
  <c r="U83" i="11"/>
  <c r="V83" i="11"/>
  <c r="U84" i="11"/>
  <c r="V84" i="11"/>
  <c r="U85" i="11"/>
  <c r="V85" i="11"/>
  <c r="U86" i="11"/>
  <c r="V86" i="11"/>
  <c r="U87" i="11"/>
  <c r="V87" i="11"/>
  <c r="U88" i="11"/>
  <c r="V88" i="11"/>
  <c r="U89" i="11"/>
  <c r="V89" i="11"/>
  <c r="U90" i="11"/>
  <c r="V90" i="11"/>
  <c r="U91" i="11"/>
  <c r="V91" i="11"/>
  <c r="U92" i="11"/>
  <c r="V92" i="11"/>
  <c r="U93" i="11"/>
  <c r="V93" i="11"/>
  <c r="U94" i="11"/>
  <c r="V94" i="11"/>
  <c r="U95" i="11"/>
  <c r="V95" i="11"/>
  <c r="U96" i="11"/>
  <c r="V96" i="11"/>
  <c r="U97" i="11"/>
  <c r="V97" i="11"/>
  <c r="U98" i="11"/>
  <c r="V98" i="11"/>
  <c r="U99" i="11"/>
  <c r="V99" i="11"/>
  <c r="U100" i="11"/>
  <c r="V100" i="11"/>
  <c r="U101" i="11"/>
  <c r="V101" i="11"/>
  <c r="U102" i="11"/>
  <c r="V102" i="11"/>
  <c r="U103" i="11"/>
  <c r="V103" i="11"/>
  <c r="U104" i="11"/>
  <c r="V104" i="11"/>
  <c r="U105" i="11"/>
  <c r="V105" i="11"/>
  <c r="U106" i="11"/>
  <c r="V106" i="11"/>
  <c r="U107" i="11"/>
  <c r="V107" i="11"/>
  <c r="K71" i="11"/>
  <c r="E71" i="11" s="1"/>
  <c r="K11" i="11"/>
  <c r="E11" i="11" s="1"/>
  <c r="K95" i="11"/>
  <c r="E95" i="11" s="1"/>
  <c r="K99" i="11"/>
  <c r="E99" i="11"/>
  <c r="K79" i="11"/>
  <c r="E79" i="11" s="1"/>
  <c r="K55" i="11"/>
  <c r="E55" i="11"/>
  <c r="K87" i="11"/>
  <c r="E87" i="11" s="1"/>
  <c r="K67" i="11"/>
  <c r="E67" i="11" s="1"/>
  <c r="K103" i="11"/>
  <c r="E103" i="11" s="1"/>
  <c r="K83" i="11"/>
  <c r="E83" i="11" s="1"/>
  <c r="K63" i="11"/>
  <c r="E63" i="11" s="1"/>
  <c r="K107" i="11"/>
  <c r="E107" i="11"/>
  <c r="K91" i="11"/>
  <c r="E91" i="11" s="1"/>
  <c r="K75" i="11"/>
  <c r="E75" i="11"/>
  <c r="K59" i="11"/>
  <c r="E59" i="11" s="1"/>
  <c r="K51" i="11"/>
  <c r="E51" i="11" s="1"/>
  <c r="K47" i="11"/>
  <c r="E47" i="11" s="1"/>
  <c r="K43" i="11"/>
  <c r="E43" i="11" s="1"/>
  <c r="K39" i="11"/>
  <c r="E39" i="11" s="1"/>
  <c r="K35" i="11"/>
  <c r="E35" i="11"/>
  <c r="K31" i="11"/>
  <c r="E31" i="11" s="1"/>
  <c r="K27" i="11"/>
  <c r="E27" i="11"/>
  <c r="K23" i="11"/>
  <c r="E23" i="11" s="1"/>
  <c r="K19" i="11"/>
  <c r="E19" i="11" s="1"/>
  <c r="K15" i="11"/>
  <c r="E15" i="11" s="1"/>
  <c r="K106" i="11"/>
  <c r="E106" i="11" s="1"/>
  <c r="K102" i="11"/>
  <c r="E102" i="11" s="1"/>
  <c r="K98" i="11"/>
  <c r="E98" i="11"/>
  <c r="K94" i="11"/>
  <c r="E94" i="11" s="1"/>
  <c r="K90" i="11"/>
  <c r="E90" i="11"/>
  <c r="K86" i="11"/>
  <c r="E86" i="11" s="1"/>
  <c r="K82" i="11"/>
  <c r="E82" i="11" s="1"/>
  <c r="K78" i="11"/>
  <c r="E78" i="11" s="1"/>
  <c r="K74" i="11"/>
  <c r="E74" i="11" s="1"/>
  <c r="K70" i="11"/>
  <c r="E70" i="11" s="1"/>
  <c r="K66" i="11"/>
  <c r="E66" i="11"/>
  <c r="K62" i="11"/>
  <c r="E62" i="11" s="1"/>
  <c r="K58" i="11"/>
  <c r="E58" i="11"/>
  <c r="K54" i="11"/>
  <c r="E54" i="11" s="1"/>
  <c r="K50" i="11"/>
  <c r="E50" i="11" s="1"/>
  <c r="K46" i="11"/>
  <c r="E46" i="11" s="1"/>
  <c r="K42" i="11"/>
  <c r="E42" i="11" s="1"/>
  <c r="K38" i="11"/>
  <c r="E38" i="11" s="1"/>
  <c r="K34" i="11"/>
  <c r="E34" i="11"/>
  <c r="K30" i="11"/>
  <c r="E30" i="11" s="1"/>
  <c r="K26" i="11"/>
  <c r="E26" i="11"/>
  <c r="K22" i="11"/>
  <c r="E22" i="11" s="1"/>
  <c r="K18" i="11"/>
  <c r="E18" i="11"/>
  <c r="K14" i="11"/>
  <c r="E14" i="11" s="1"/>
  <c r="K10" i="11"/>
  <c r="E10" i="11" s="1"/>
  <c r="K105" i="11"/>
  <c r="E105" i="11" s="1"/>
  <c r="K101" i="11"/>
  <c r="E101" i="11" s="1"/>
  <c r="K97" i="11"/>
  <c r="E97" i="11" s="1"/>
  <c r="K93" i="11"/>
  <c r="E93" i="11"/>
  <c r="K89" i="11"/>
  <c r="E89" i="11" s="1"/>
  <c r="K85" i="11"/>
  <c r="E85" i="11"/>
  <c r="K81" i="11"/>
  <c r="E81" i="11" s="1"/>
  <c r="K77" i="11"/>
  <c r="E77" i="11" s="1"/>
  <c r="K73" i="11"/>
  <c r="E73" i="11" s="1"/>
  <c r="K69" i="11"/>
  <c r="E69" i="11"/>
  <c r="K65" i="11"/>
  <c r="E65" i="11" s="1"/>
  <c r="K61" i="11"/>
  <c r="E61" i="11"/>
  <c r="K57" i="11"/>
  <c r="E57" i="11" s="1"/>
  <c r="K53" i="11"/>
  <c r="E53" i="11"/>
  <c r="K49" i="11"/>
  <c r="E49" i="11" s="1"/>
  <c r="K45" i="11"/>
  <c r="E45" i="11" s="1"/>
  <c r="K41" i="11"/>
  <c r="E41" i="11" s="1"/>
  <c r="K37" i="11"/>
  <c r="E37" i="11" s="1"/>
  <c r="K33" i="11"/>
  <c r="E33" i="11" s="1"/>
  <c r="K29" i="11"/>
  <c r="E29" i="11"/>
  <c r="K25" i="11"/>
  <c r="E25" i="11" s="1"/>
  <c r="K21" i="11"/>
  <c r="E21" i="11"/>
  <c r="K17" i="11"/>
  <c r="E17" i="11" s="1"/>
  <c r="K13" i="11"/>
  <c r="E13" i="11" s="1"/>
  <c r="K9" i="11"/>
  <c r="E9" i="11" s="1"/>
  <c r="K104" i="11"/>
  <c r="E104" i="11"/>
  <c r="K100" i="11"/>
  <c r="E100" i="11" s="1"/>
  <c r="K96" i="11"/>
  <c r="E96" i="11"/>
  <c r="K92" i="11"/>
  <c r="E92" i="11" s="1"/>
  <c r="K88" i="11"/>
  <c r="E88" i="11"/>
  <c r="K84" i="11"/>
  <c r="E84" i="11" s="1"/>
  <c r="K80" i="11"/>
  <c r="E80" i="11" s="1"/>
  <c r="K76" i="11"/>
  <c r="E76" i="11" s="1"/>
  <c r="K72" i="11"/>
  <c r="E72" i="11" s="1"/>
  <c r="K68" i="11"/>
  <c r="E68" i="11" s="1"/>
  <c r="K64" i="11"/>
  <c r="E64" i="11"/>
  <c r="K60" i="11"/>
  <c r="E60" i="11" s="1"/>
  <c r="K56" i="11"/>
  <c r="E56" i="11"/>
  <c r="K52" i="11"/>
  <c r="E52" i="11" s="1"/>
  <c r="K48" i="11"/>
  <c r="E48" i="11" s="1"/>
  <c r="K44" i="11"/>
  <c r="E44" i="11" s="1"/>
  <c r="K40" i="11"/>
  <c r="E40" i="11"/>
  <c r="K36" i="11"/>
  <c r="E36" i="11" s="1"/>
  <c r="K32" i="11"/>
  <c r="E32" i="11"/>
  <c r="K28" i="11"/>
  <c r="E28" i="11" s="1"/>
  <c r="K24" i="11"/>
  <c r="E24" i="11"/>
  <c r="K20" i="11"/>
  <c r="E20" i="11" s="1"/>
  <c r="K16" i="11"/>
  <c r="E16" i="11" s="1"/>
  <c r="K12" i="11"/>
  <c r="E12" i="11" s="1"/>
  <c r="V6" i="11"/>
  <c r="K30" i="18"/>
  <c r="K67" i="18"/>
  <c r="K28" i="18"/>
  <c r="K24" i="18"/>
  <c r="K19" i="21"/>
  <c r="K24" i="21"/>
  <c r="K26" i="21"/>
  <c r="K22" i="21"/>
  <c r="K21" i="21"/>
  <c r="K27" i="18"/>
  <c r="K20" i="18"/>
  <c r="K21" i="18"/>
  <c r="P8" i="11"/>
  <c r="I76" i="6"/>
  <c r="P9" i="11"/>
  <c r="L67" i="18"/>
  <c r="I69" i="6"/>
  <c r="I68" i="6"/>
  <c r="I74" i="6"/>
  <c r="I67" i="6"/>
  <c r="I75" i="6"/>
  <c r="I31" i="6"/>
  <c r="I44" i="6"/>
  <c r="I48" i="6"/>
  <c r="I33" i="6"/>
  <c r="I42" i="6"/>
  <c r="I34" i="6"/>
  <c r="I43" i="6"/>
  <c r="I32" i="6"/>
  <c r="I37" i="6"/>
  <c r="I49" i="6"/>
  <c r="I53" i="6"/>
  <c r="I46" i="6"/>
  <c r="I54" i="6"/>
  <c r="I55" i="6"/>
  <c r="I66" i="6"/>
  <c r="J17" i="21"/>
  <c r="I17" i="21"/>
  <c r="I24" i="6"/>
  <c r="I25" i="6"/>
  <c r="I29" i="6"/>
  <c r="I60" i="6"/>
  <c r="I63" i="6"/>
  <c r="I64" i="6"/>
  <c r="I77" i="6"/>
  <c r="M8" i="11" a="1"/>
  <c r="M102" i="11" s="1"/>
  <c r="G102" i="11" s="1"/>
  <c r="M8" i="11"/>
  <c r="L8" i="11" a="1"/>
  <c r="N68" i="21"/>
  <c r="J8" i="11" a="1"/>
  <c r="L79" i="11"/>
  <c r="F79" i="11" s="1"/>
  <c r="M106" i="11"/>
  <c r="G106" i="11" s="1"/>
  <c r="M98" i="11"/>
  <c r="M94" i="11"/>
  <c r="M90" i="11"/>
  <c r="M82" i="11"/>
  <c r="M78" i="11"/>
  <c r="G78" i="11" s="1"/>
  <c r="M74" i="11"/>
  <c r="M66" i="11"/>
  <c r="G66" i="11" s="1"/>
  <c r="M62" i="11"/>
  <c r="M58" i="11"/>
  <c r="M50" i="11"/>
  <c r="M46" i="11"/>
  <c r="G46" i="11" s="1"/>
  <c r="M42" i="11"/>
  <c r="M34" i="11"/>
  <c r="M30" i="11"/>
  <c r="M26" i="11"/>
  <c r="M18" i="11"/>
  <c r="M14" i="11"/>
  <c r="M10" i="11"/>
  <c r="M103" i="11"/>
  <c r="M99" i="11"/>
  <c r="G99" i="11" s="1"/>
  <c r="M91" i="11"/>
  <c r="M87" i="11"/>
  <c r="M83" i="11"/>
  <c r="G83" i="11" s="1"/>
  <c r="M75" i="11"/>
  <c r="G75" i="11" s="1"/>
  <c r="M71" i="11"/>
  <c r="M67" i="11"/>
  <c r="G67" i="11" s="1"/>
  <c r="M59" i="11"/>
  <c r="M55" i="11"/>
  <c r="G55" i="11" s="1"/>
  <c r="M51" i="11"/>
  <c r="M43" i="11"/>
  <c r="G43" i="11" s="1"/>
  <c r="M39" i="11"/>
  <c r="M35" i="11"/>
  <c r="G35" i="11" s="1"/>
  <c r="M27" i="11"/>
  <c r="M23" i="11"/>
  <c r="G23" i="11" s="1"/>
  <c r="M19" i="11"/>
  <c r="M11" i="11"/>
  <c r="G11" i="11" s="1"/>
  <c r="M105" i="11"/>
  <c r="G105" i="11"/>
  <c r="M97" i="11"/>
  <c r="M93" i="11"/>
  <c r="G93" i="11" s="1"/>
  <c r="M89" i="11"/>
  <c r="M81" i="11"/>
  <c r="M77" i="11"/>
  <c r="M73" i="11"/>
  <c r="G73" i="11" s="1"/>
  <c r="M65" i="11"/>
  <c r="M61" i="11"/>
  <c r="G61" i="11" s="1"/>
  <c r="M57" i="11"/>
  <c r="M49" i="11"/>
  <c r="G49" i="11" s="1"/>
  <c r="M45" i="11"/>
  <c r="M41" i="11"/>
  <c r="M33" i="11"/>
  <c r="M29" i="11"/>
  <c r="G29" i="11" s="1"/>
  <c r="M25" i="11"/>
  <c r="M17" i="11"/>
  <c r="M13" i="11"/>
  <c r="M9" i="11"/>
  <c r="G9" i="11" s="1"/>
  <c r="M100" i="11"/>
  <c r="G100" i="11" s="1"/>
  <c r="M96" i="11"/>
  <c r="G96" i="11" s="1"/>
  <c r="M92" i="11"/>
  <c r="M84" i="11"/>
  <c r="G84" i="11" s="1"/>
  <c r="M80" i="11"/>
  <c r="M76" i="11"/>
  <c r="G76" i="11" s="1"/>
  <c r="M68" i="11"/>
  <c r="G68" i="11" s="1"/>
  <c r="M64" i="11"/>
  <c r="G64" i="11" s="1"/>
  <c r="M60" i="11"/>
  <c r="M52" i="11"/>
  <c r="M48" i="11"/>
  <c r="M44" i="11"/>
  <c r="G44" i="11" s="1"/>
  <c r="M36" i="11"/>
  <c r="G36" i="11" s="1"/>
  <c r="M32" i="11"/>
  <c r="G32" i="11" s="1"/>
  <c r="M28" i="11"/>
  <c r="M20" i="11"/>
  <c r="G20" i="11" s="1"/>
  <c r="M16" i="11"/>
  <c r="M12" i="11"/>
  <c r="G12" i="11" s="1"/>
  <c r="L90" i="11"/>
  <c r="F90" i="11" s="1"/>
  <c r="L50" i="11"/>
  <c r="F50" i="11" s="1"/>
  <c r="L38" i="11"/>
  <c r="F38" i="11" s="1"/>
  <c r="L26" i="11"/>
  <c r="L99" i="11"/>
  <c r="F99" i="11" s="1"/>
  <c r="L91" i="11"/>
  <c r="F91" i="11" s="1"/>
  <c r="L77" i="11"/>
  <c r="F77" i="11" s="1"/>
  <c r="L57" i="11"/>
  <c r="F57" i="11" s="1"/>
  <c r="B57" i="11" s="1"/>
  <c r="L13" i="11"/>
  <c r="F13" i="11" s="1"/>
  <c r="L96" i="11"/>
  <c r="F96" i="11" s="1"/>
  <c r="L56" i="11"/>
  <c r="F56" i="11" s="1"/>
  <c r="L44" i="11"/>
  <c r="F44" i="11" s="1"/>
  <c r="L24" i="11"/>
  <c r="F24" i="11" s="1"/>
  <c r="F7" i="11"/>
  <c r="G7" i="11"/>
  <c r="H7" i="11"/>
  <c r="D7" i="11"/>
  <c r="J7" i="11"/>
  <c r="L7" i="11"/>
  <c r="J57" i="11"/>
  <c r="D57" i="11" s="1"/>
  <c r="J79" i="11"/>
  <c r="D79" i="11" s="1"/>
  <c r="B79" i="11" s="1"/>
  <c r="J68" i="11"/>
  <c r="D68" i="11" s="1"/>
  <c r="B68" i="11" s="1"/>
  <c r="J50" i="11"/>
  <c r="D50" i="11" s="1"/>
  <c r="J82" i="11"/>
  <c r="D82" i="11" s="1"/>
  <c r="B82" i="11" s="1"/>
  <c r="J76" i="11"/>
  <c r="D76" i="11" s="1"/>
  <c r="B76" i="11" s="1"/>
  <c r="J105" i="11"/>
  <c r="D105" i="11" s="1"/>
  <c r="B105" i="11"/>
  <c r="J95" i="11"/>
  <c r="D95" i="11" s="1"/>
  <c r="B95" i="11" s="1"/>
  <c r="J90" i="11"/>
  <c r="D90" i="11" s="1"/>
  <c r="B90" i="11" s="1"/>
  <c r="J40" i="11"/>
  <c r="D40" i="11" s="1"/>
  <c r="J53" i="11"/>
  <c r="D53" i="11" s="1"/>
  <c r="J101" i="11"/>
  <c r="D101" i="11" s="1"/>
  <c r="B101" i="11" s="1"/>
  <c r="J51" i="11"/>
  <c r="D51" i="11" s="1"/>
  <c r="J83" i="11"/>
  <c r="D83" i="11" s="1"/>
  <c r="B83" i="11" s="1"/>
  <c r="J99" i="11"/>
  <c r="D99" i="11" s="1"/>
  <c r="B99" i="11" s="1"/>
  <c r="J46" i="11"/>
  <c r="D46" i="11" s="1"/>
  <c r="J48" i="11"/>
  <c r="D48" i="11" s="1"/>
  <c r="J59" i="11"/>
  <c r="D59" i="11" s="1"/>
  <c r="J91" i="11"/>
  <c r="D91" i="11" s="1"/>
  <c r="B91" i="11" s="1"/>
  <c r="J107" i="11"/>
  <c r="D107" i="11" s="1"/>
  <c r="B107" i="11"/>
  <c r="J86" i="11"/>
  <c r="D86" i="11" s="1"/>
  <c r="B86" i="11" s="1"/>
  <c r="J102" i="11"/>
  <c r="D102" i="11" s="1"/>
  <c r="B102" i="11" s="1"/>
  <c r="G28" i="11"/>
  <c r="G52" i="11"/>
  <c r="G60" i="11"/>
  <c r="G92" i="11"/>
  <c r="G87" i="11"/>
  <c r="G51" i="11"/>
  <c r="G19" i="11"/>
  <c r="G8" i="11"/>
  <c r="G103" i="11"/>
  <c r="G91" i="11"/>
  <c r="G80" i="11"/>
  <c r="G71" i="11"/>
  <c r="G59" i="11"/>
  <c r="G48" i="11"/>
  <c r="G39" i="11"/>
  <c r="G27" i="11"/>
  <c r="G16" i="11"/>
  <c r="F26" i="11"/>
  <c r="G98" i="11"/>
  <c r="G94" i="11"/>
  <c r="G90" i="11"/>
  <c r="G82" i="11"/>
  <c r="G74" i="11"/>
  <c r="G62" i="11"/>
  <c r="G58" i="11"/>
  <c r="G50" i="11"/>
  <c r="G42" i="11"/>
  <c r="G34" i="11"/>
  <c r="G30" i="11"/>
  <c r="G26" i="11"/>
  <c r="G18" i="11"/>
  <c r="G14" i="11"/>
  <c r="G10" i="11"/>
  <c r="G97" i="11"/>
  <c r="G89" i="11"/>
  <c r="G81" i="11"/>
  <c r="G77" i="11"/>
  <c r="G65" i="11"/>
  <c r="G57" i="11"/>
  <c r="G45" i="11"/>
  <c r="G41" i="11"/>
  <c r="G33" i="11"/>
  <c r="G25" i="11"/>
  <c r="G17" i="11"/>
  <c r="G13" i="11"/>
  <c r="H19" i="6"/>
  <c r="H13" i="6"/>
  <c r="N7" i="11"/>
  <c r="M7" i="11"/>
  <c r="B50" i="11"/>
  <c r="I26" i="6"/>
  <c r="I30" i="6"/>
  <c r="I23" i="6"/>
  <c r="I20" i="6"/>
  <c r="I19" i="6"/>
  <c r="D6" i="17"/>
  <c r="B7" i="11"/>
  <c r="J18" i="6"/>
  <c r="P37" i="11"/>
  <c r="J17" i="18"/>
  <c r="N68" i="18" s="1"/>
  <c r="I17" i="18"/>
  <c r="J26" i="11"/>
  <c r="D26" i="11"/>
  <c r="B26" i="11"/>
  <c r="J37" i="11"/>
  <c r="D37" i="11" s="1"/>
  <c r="J33" i="11"/>
  <c r="D33" i="11" s="1"/>
  <c r="J28" i="11"/>
  <c r="D28" i="11"/>
  <c r="J17" i="11"/>
  <c r="D17" i="11"/>
  <c r="J25" i="11"/>
  <c r="D25" i="11" s="1"/>
  <c r="J35" i="11"/>
  <c r="D35" i="11" s="1"/>
  <c r="J29" i="11"/>
  <c r="D29" i="11"/>
  <c r="J36" i="11"/>
  <c r="D36" i="11"/>
  <c r="J13" i="11"/>
  <c r="D13" i="11" s="1"/>
  <c r="B13" i="11" s="1"/>
  <c r="J23" i="11"/>
  <c r="D23" i="11" s="1"/>
  <c r="J31" i="11"/>
  <c r="D31" i="11"/>
  <c r="J12" i="11"/>
  <c r="D12" i="11"/>
  <c r="J20" i="11"/>
  <c r="D20" i="11" s="1"/>
  <c r="J15" i="11"/>
  <c r="D15" i="11" s="1"/>
  <c r="J11" i="11"/>
  <c r="D11" i="11"/>
  <c r="J32" i="11"/>
  <c r="D32" i="11"/>
  <c r="J27" i="11"/>
  <c r="D27" i="11" s="1"/>
  <c r="J21" i="11"/>
  <c r="D21" i="11" s="1"/>
  <c r="J16" i="11"/>
  <c r="D16" i="11"/>
  <c r="J24" i="11"/>
  <c r="D24" i="11"/>
  <c r="B24" i="11"/>
  <c r="J34" i="11"/>
  <c r="D34" i="11" s="1"/>
  <c r="J14" i="11"/>
  <c r="D14" i="11" s="1"/>
  <c r="J8" i="11"/>
  <c r="D8" i="11"/>
  <c r="J19" i="11"/>
  <c r="D19" i="11"/>
  <c r="J10" i="11"/>
  <c r="D10" i="11" s="1"/>
  <c r="J9" i="11"/>
  <c r="D9" i="11" s="1"/>
  <c r="J18" i="11"/>
  <c r="D18" i="11"/>
  <c r="J30" i="11"/>
  <c r="D30" i="11"/>
  <c r="J22" i="11"/>
  <c r="D22" i="11" s="1"/>
  <c r="M67" i="18"/>
  <c r="J67" i="18"/>
  <c r="D11" i="1" l="1"/>
  <c r="P39" i="11"/>
  <c r="B11" i="11"/>
  <c r="B34" i="11"/>
  <c r="B28" i="11"/>
  <c r="B8" i="11"/>
  <c r="B33" i="11"/>
  <c r="L8" i="11"/>
  <c r="F8" i="11" s="1"/>
  <c r="L31" i="11"/>
  <c r="F31" i="11" s="1"/>
  <c r="B31" i="11" s="1"/>
  <c r="L27" i="11"/>
  <c r="F27" i="11" s="1"/>
  <c r="B27" i="11" s="1"/>
  <c r="L23" i="11"/>
  <c r="F23" i="11" s="1"/>
  <c r="B23" i="11" s="1"/>
  <c r="L55" i="11"/>
  <c r="F55" i="11" s="1"/>
  <c r="L63" i="11"/>
  <c r="F63" i="11" s="1"/>
  <c r="L106" i="11"/>
  <c r="F106" i="11" s="1"/>
  <c r="L94" i="11"/>
  <c r="F94" i="11" s="1"/>
  <c r="L78" i="11"/>
  <c r="F78" i="11" s="1"/>
  <c r="L62" i="11"/>
  <c r="F62" i="11" s="1"/>
  <c r="L46" i="11"/>
  <c r="F46" i="11" s="1"/>
  <c r="B46" i="11" s="1"/>
  <c r="L30" i="11"/>
  <c r="F30" i="11" s="1"/>
  <c r="B30" i="11" s="1"/>
  <c r="L14" i="11"/>
  <c r="F14" i="11" s="1"/>
  <c r="B14" i="11" s="1"/>
  <c r="L103" i="11"/>
  <c r="F103" i="11" s="1"/>
  <c r="L87" i="11"/>
  <c r="F87" i="11" s="1"/>
  <c r="L101" i="11"/>
  <c r="F101" i="11" s="1"/>
  <c r="L85" i="11"/>
  <c r="F85" i="11" s="1"/>
  <c r="L69" i="11"/>
  <c r="F69" i="11" s="1"/>
  <c r="L53" i="11"/>
  <c r="F53" i="11" s="1"/>
  <c r="B53" i="11" s="1"/>
  <c r="L37" i="11"/>
  <c r="F37" i="11" s="1"/>
  <c r="B37" i="11" s="1"/>
  <c r="L21" i="11"/>
  <c r="F21" i="11" s="1"/>
  <c r="B21" i="11" s="1"/>
  <c r="L100" i="11"/>
  <c r="F100" i="11" s="1"/>
  <c r="L84" i="11"/>
  <c r="F84" i="11" s="1"/>
  <c r="L68" i="11"/>
  <c r="F68" i="11" s="1"/>
  <c r="L52" i="11"/>
  <c r="F52" i="11" s="1"/>
  <c r="L36" i="11"/>
  <c r="F36" i="11" s="1"/>
  <c r="B36" i="11" s="1"/>
  <c r="L20" i="11"/>
  <c r="F20" i="11" s="1"/>
  <c r="B20" i="11" s="1"/>
  <c r="L51" i="11"/>
  <c r="F51" i="11" s="1"/>
  <c r="B51" i="11" s="1"/>
  <c r="L11" i="11"/>
  <c r="F11" i="11" s="1"/>
  <c r="L59" i="11"/>
  <c r="F59" i="11" s="1"/>
  <c r="B59" i="11" s="1"/>
  <c r="L75" i="11"/>
  <c r="F75" i="11" s="1"/>
  <c r="L47" i="11"/>
  <c r="F47" i="11" s="1"/>
  <c r="L98" i="11"/>
  <c r="F98" i="11" s="1"/>
  <c r="L74" i="11"/>
  <c r="F74" i="11" s="1"/>
  <c r="L54" i="11"/>
  <c r="F54" i="11" s="1"/>
  <c r="L34" i="11"/>
  <c r="F34" i="11" s="1"/>
  <c r="L10" i="11"/>
  <c r="F10" i="11" s="1"/>
  <c r="B10" i="11" s="1"/>
  <c r="L95" i="11"/>
  <c r="F95" i="11" s="1"/>
  <c r="L81" i="11"/>
  <c r="F81" i="11" s="1"/>
  <c r="L61" i="11"/>
  <c r="F61" i="11" s="1"/>
  <c r="L41" i="11"/>
  <c r="F41" i="11" s="1"/>
  <c r="L17" i="11"/>
  <c r="F17" i="11" s="1"/>
  <c r="B17" i="11" s="1"/>
  <c r="L92" i="11"/>
  <c r="F92" i="11" s="1"/>
  <c r="L72" i="11"/>
  <c r="F72" i="11" s="1"/>
  <c r="L48" i="11"/>
  <c r="F48" i="11" s="1"/>
  <c r="B48" i="11" s="1"/>
  <c r="L28" i="11"/>
  <c r="F28" i="11" s="1"/>
  <c r="L67" i="11"/>
  <c r="F67" i="11" s="1"/>
  <c r="L19" i="11"/>
  <c r="F19" i="11" s="1"/>
  <c r="B19" i="11" s="1"/>
  <c r="L86" i="11"/>
  <c r="F86" i="11" s="1"/>
  <c r="L66" i="11"/>
  <c r="F66" i="11" s="1"/>
  <c r="L42" i="11"/>
  <c r="F42" i="11" s="1"/>
  <c r="L22" i="11"/>
  <c r="F22" i="11" s="1"/>
  <c r="B22" i="11" s="1"/>
  <c r="L83" i="11"/>
  <c r="F83" i="11" s="1"/>
  <c r="L93" i="11"/>
  <c r="F93" i="11" s="1"/>
  <c r="L73" i="11"/>
  <c r="F73" i="11" s="1"/>
  <c r="L49" i="11"/>
  <c r="F49" i="11" s="1"/>
  <c r="L29" i="11"/>
  <c r="F29" i="11" s="1"/>
  <c r="B29" i="11" s="1"/>
  <c r="L104" i="11"/>
  <c r="F104" i="11" s="1"/>
  <c r="L80" i="11"/>
  <c r="F80" i="11" s="1"/>
  <c r="L60" i="11"/>
  <c r="F60" i="11" s="1"/>
  <c r="L40" i="11"/>
  <c r="F40" i="11" s="1"/>
  <c r="L16" i="11"/>
  <c r="F16" i="11" s="1"/>
  <c r="B16" i="11" s="1"/>
  <c r="L15" i="11"/>
  <c r="F15" i="11" s="1"/>
  <c r="B15" i="11" s="1"/>
  <c r="L39" i="11"/>
  <c r="F39" i="11" s="1"/>
  <c r="L102" i="11"/>
  <c r="F102" i="11" s="1"/>
  <c r="L58" i="11"/>
  <c r="F58" i="11" s="1"/>
  <c r="L18" i="11"/>
  <c r="F18" i="11" s="1"/>
  <c r="B18" i="11" s="1"/>
  <c r="L105" i="11"/>
  <c r="F105" i="11" s="1"/>
  <c r="L65" i="11"/>
  <c r="F65" i="11" s="1"/>
  <c r="L25" i="11"/>
  <c r="F25" i="11" s="1"/>
  <c r="B25" i="11" s="1"/>
  <c r="L76" i="11"/>
  <c r="F76" i="11" s="1"/>
  <c r="L32" i="11"/>
  <c r="F32" i="11" s="1"/>
  <c r="B32" i="11" s="1"/>
  <c r="B40" i="11"/>
  <c r="L12" i="11"/>
  <c r="F12" i="11" s="1"/>
  <c r="B12" i="11" s="1"/>
  <c r="L64" i="11"/>
  <c r="F64" i="11" s="1"/>
  <c r="L33" i="11"/>
  <c r="F33" i="11" s="1"/>
  <c r="L89" i="11"/>
  <c r="F89" i="11" s="1"/>
  <c r="L107" i="11"/>
  <c r="F107" i="11" s="1"/>
  <c r="L70" i="11"/>
  <c r="F70" i="11" s="1"/>
  <c r="L35" i="11"/>
  <c r="F35" i="11" s="1"/>
  <c r="B35" i="11" s="1"/>
  <c r="L43" i="11"/>
  <c r="F43" i="11" s="1"/>
  <c r="L88" i="11"/>
  <c r="F88" i="11" s="1"/>
  <c r="L45" i="11"/>
  <c r="F45" i="11" s="1"/>
  <c r="L97" i="11"/>
  <c r="F97" i="11" s="1"/>
  <c r="L82" i="11"/>
  <c r="F82" i="11" s="1"/>
  <c r="L9" i="11"/>
  <c r="F9" i="11" s="1"/>
  <c r="B9" i="11" s="1"/>
  <c r="L71" i="11"/>
  <c r="F71" i="11" s="1"/>
  <c r="J87" i="11"/>
  <c r="D87" i="11" s="1"/>
  <c r="B87" i="11" s="1"/>
  <c r="J106" i="11"/>
  <c r="D106" i="11" s="1"/>
  <c r="B106" i="11" s="1"/>
  <c r="J47" i="11"/>
  <c r="D47" i="11" s="1"/>
  <c r="B47" i="11" s="1"/>
  <c r="J71" i="11"/>
  <c r="D71" i="11" s="1"/>
  <c r="B71" i="11" s="1"/>
  <c r="J97" i="11"/>
  <c r="D97" i="11" s="1"/>
  <c r="B97" i="11" s="1"/>
  <c r="J41" i="11"/>
  <c r="D41" i="11" s="1"/>
  <c r="B41" i="11" s="1"/>
  <c r="J63" i="11"/>
  <c r="D63" i="11" s="1"/>
  <c r="B63" i="11" s="1"/>
  <c r="J56" i="11"/>
  <c r="D56" i="11" s="1"/>
  <c r="B56" i="11" s="1"/>
  <c r="J104" i="11"/>
  <c r="D104" i="11" s="1"/>
  <c r="B104" i="11" s="1"/>
  <c r="J85" i="11"/>
  <c r="D85" i="11" s="1"/>
  <c r="B85" i="11" s="1"/>
  <c r="J67" i="11"/>
  <c r="D67" i="11" s="1"/>
  <c r="B67" i="11" s="1"/>
  <c r="J94" i="11"/>
  <c r="D94" i="11" s="1"/>
  <c r="B94" i="11" s="1"/>
  <c r="J93" i="11"/>
  <c r="D93" i="11" s="1"/>
  <c r="B93" i="11" s="1"/>
  <c r="J38" i="11"/>
  <c r="D38" i="11" s="1"/>
  <c r="B38" i="11" s="1"/>
  <c r="J70" i="11"/>
  <c r="D70" i="11" s="1"/>
  <c r="B70" i="11" s="1"/>
  <c r="J98" i="11"/>
  <c r="D98" i="11" s="1"/>
  <c r="B98" i="11" s="1"/>
  <c r="J84" i="11"/>
  <c r="D84" i="11" s="1"/>
  <c r="B84" i="11" s="1"/>
  <c r="J66" i="11"/>
  <c r="D66" i="11" s="1"/>
  <c r="B66" i="11" s="1"/>
  <c r="J92" i="11"/>
  <c r="D92" i="11" s="1"/>
  <c r="B92" i="11" s="1"/>
  <c r="J55" i="11"/>
  <c r="D55" i="11" s="1"/>
  <c r="B55" i="11" s="1"/>
  <c r="J74" i="11"/>
  <c r="D74" i="11" s="1"/>
  <c r="B74" i="11" s="1"/>
  <c r="J49" i="11"/>
  <c r="D49" i="11" s="1"/>
  <c r="B49" i="11" s="1"/>
  <c r="J44" i="11"/>
  <c r="D44" i="11" s="1"/>
  <c r="B44" i="11" s="1"/>
  <c r="J72" i="11"/>
  <c r="D72" i="11" s="1"/>
  <c r="B72" i="11" s="1"/>
  <c r="J69" i="11"/>
  <c r="D69" i="11" s="1"/>
  <c r="B69" i="11" s="1"/>
  <c r="J64" i="11"/>
  <c r="D64" i="11" s="1"/>
  <c r="B64" i="11" s="1"/>
  <c r="J96" i="11"/>
  <c r="D96" i="11" s="1"/>
  <c r="B96" i="11" s="1"/>
  <c r="J61" i="11"/>
  <c r="D61" i="11" s="1"/>
  <c r="B61" i="11" s="1"/>
  <c r="J100" i="11"/>
  <c r="D100" i="11" s="1"/>
  <c r="B100" i="11" s="1"/>
  <c r="J65" i="11"/>
  <c r="D65" i="11" s="1"/>
  <c r="B65" i="11" s="1"/>
  <c r="J52" i="11"/>
  <c r="D52" i="11" s="1"/>
  <c r="B52" i="11" s="1"/>
  <c r="J81" i="11"/>
  <c r="D81" i="11" s="1"/>
  <c r="B81" i="11" s="1"/>
  <c r="J103" i="11"/>
  <c r="D103" i="11" s="1"/>
  <c r="B103" i="11" s="1"/>
  <c r="J60" i="11"/>
  <c r="D60" i="11" s="1"/>
  <c r="B60" i="11" s="1"/>
  <c r="J42" i="11"/>
  <c r="D42" i="11" s="1"/>
  <c r="B42" i="11" s="1"/>
  <c r="J88" i="11"/>
  <c r="D88" i="11" s="1"/>
  <c r="B88" i="11" s="1"/>
  <c r="J78" i="11"/>
  <c r="D78" i="11" s="1"/>
  <c r="B78" i="11" s="1"/>
  <c r="J80" i="11"/>
  <c r="D80" i="11" s="1"/>
  <c r="B80" i="11" s="1"/>
  <c r="J45" i="11"/>
  <c r="D45" i="11" s="1"/>
  <c r="B45" i="11" s="1"/>
  <c r="J43" i="11"/>
  <c r="D43" i="11" s="1"/>
  <c r="B43" i="11" s="1"/>
  <c r="J54" i="11"/>
  <c r="D54" i="11" s="1"/>
  <c r="J75" i="11"/>
  <c r="D75" i="11" s="1"/>
  <c r="B75" i="11" s="1"/>
  <c r="J77" i="11"/>
  <c r="D77" i="11" s="1"/>
  <c r="B77" i="11" s="1"/>
  <c r="J62" i="11"/>
  <c r="D62" i="11" s="1"/>
  <c r="B62" i="11" s="1"/>
  <c r="J58" i="11"/>
  <c r="D58" i="11" s="1"/>
  <c r="B58" i="11" s="1"/>
  <c r="J73" i="11"/>
  <c r="D73" i="11" s="1"/>
  <c r="B73" i="11" s="1"/>
  <c r="J89" i="11"/>
  <c r="D89" i="11" s="1"/>
  <c r="B89" i="11" s="1"/>
  <c r="J39" i="11"/>
  <c r="D39" i="11" s="1"/>
  <c r="B39" i="11" s="1"/>
  <c r="I70" i="6"/>
  <c r="I71" i="6"/>
  <c r="I35" i="6"/>
  <c r="I52" i="6"/>
  <c r="I50" i="6"/>
  <c r="I47" i="6"/>
  <c r="I41" i="6"/>
  <c r="I57" i="6"/>
  <c r="I39" i="6"/>
  <c r="I65" i="6"/>
  <c r="I21" i="6"/>
  <c r="I27" i="6"/>
  <c r="I61" i="6"/>
  <c r="I72" i="6"/>
  <c r="I73" i="6"/>
  <c r="I40" i="6"/>
  <c r="I56" i="6"/>
  <c r="I58" i="6"/>
  <c r="I59" i="6"/>
  <c r="I45" i="6"/>
  <c r="I38" i="6"/>
  <c r="I51" i="6"/>
  <c r="I36" i="6"/>
  <c r="I22" i="6"/>
  <c r="I28" i="6"/>
  <c r="I62" i="6"/>
  <c r="K33" i="21"/>
  <c r="K37" i="21"/>
  <c r="K41" i="21"/>
  <c r="K32" i="18"/>
  <c r="K35" i="18"/>
  <c r="K39" i="18"/>
  <c r="K43" i="18"/>
  <c r="K47" i="18"/>
  <c r="K28" i="21"/>
  <c r="K19" i="18"/>
  <c r="K34" i="21"/>
  <c r="K38" i="21"/>
  <c r="K42" i="21"/>
  <c r="K46" i="21"/>
  <c r="K33" i="18"/>
  <c r="K36" i="18"/>
  <c r="K40" i="18"/>
  <c r="K44" i="18"/>
  <c r="K48" i="18"/>
  <c r="K31" i="21"/>
  <c r="K39" i="21"/>
  <c r="K37" i="18"/>
  <c r="K45" i="18"/>
  <c r="K35" i="21"/>
  <c r="K43" i="21"/>
  <c r="K41" i="18"/>
  <c r="K49" i="18"/>
  <c r="K29" i="21"/>
  <c r="K27" i="21"/>
  <c r="K20" i="21"/>
  <c r="K18" i="21"/>
  <c r="K22" i="18"/>
  <c r="K25" i="18"/>
  <c r="K36" i="21"/>
  <c r="K44" i="21"/>
  <c r="K47" i="21"/>
  <c r="K34" i="18"/>
  <c r="K42" i="18"/>
  <c r="K23" i="18"/>
  <c r="K23" i="21"/>
  <c r="K18" i="18"/>
  <c r="K25" i="21"/>
  <c r="K26" i="18"/>
  <c r="K29" i="18"/>
  <c r="E12" i="1"/>
  <c r="E33" i="1"/>
  <c r="M24" i="11"/>
  <c r="G24" i="11" s="1"/>
  <c r="M40" i="11"/>
  <c r="G40" i="11" s="1"/>
  <c r="M56" i="11"/>
  <c r="G56" i="11" s="1"/>
  <c r="M72" i="11"/>
  <c r="G72" i="11" s="1"/>
  <c r="M88" i="11"/>
  <c r="G88" i="11" s="1"/>
  <c r="M104" i="11"/>
  <c r="G104" i="11" s="1"/>
  <c r="M21" i="11"/>
  <c r="G21" i="11" s="1"/>
  <c r="M37" i="11"/>
  <c r="G37" i="11" s="1"/>
  <c r="M53" i="11"/>
  <c r="G53" i="11" s="1"/>
  <c r="M69" i="11"/>
  <c r="G69" i="11" s="1"/>
  <c r="M85" i="11"/>
  <c r="G85" i="11" s="1"/>
  <c r="M101" i="11"/>
  <c r="G101" i="11" s="1"/>
  <c r="M15" i="11"/>
  <c r="G15" i="11" s="1"/>
  <c r="M31" i="11"/>
  <c r="G31" i="11" s="1"/>
  <c r="M47" i="11"/>
  <c r="G47" i="11" s="1"/>
  <c r="M63" i="11"/>
  <c r="G63" i="11" s="1"/>
  <c r="M79" i="11"/>
  <c r="G79" i="11" s="1"/>
  <c r="M95" i="11"/>
  <c r="G95" i="11" s="1"/>
  <c r="M107" i="11"/>
  <c r="G107" i="11" s="1"/>
  <c r="M22" i="11"/>
  <c r="G22" i="11" s="1"/>
  <c r="M38" i="11"/>
  <c r="G38" i="11" s="1"/>
  <c r="M54" i="11"/>
  <c r="G54" i="11" s="1"/>
  <c r="M70" i="11"/>
  <c r="G70" i="11" s="1"/>
  <c r="M86" i="11"/>
  <c r="G86" i="11" s="1"/>
  <c r="N8" i="11" l="1" a="1"/>
  <c r="H34" i="21"/>
  <c r="H31" i="21"/>
  <c r="F33" i="21"/>
  <c r="M33" i="21" s="1"/>
  <c r="F32" i="18"/>
  <c r="M32" i="18" s="1"/>
  <c r="F33" i="18"/>
  <c r="M33" i="18" s="1"/>
  <c r="H38" i="18"/>
  <c r="H46" i="18"/>
  <c r="L36" i="18"/>
  <c r="F40" i="18"/>
  <c r="M40" i="18" s="1"/>
  <c r="L44" i="18"/>
  <c r="F48" i="18"/>
  <c r="M48" i="18" s="1"/>
  <c r="F37" i="18"/>
  <c r="M37" i="18" s="1"/>
  <c r="L41" i="18"/>
  <c r="F45" i="18"/>
  <c r="M45" i="18" s="1"/>
  <c r="L49" i="18"/>
  <c r="F38" i="18"/>
  <c r="M38" i="18" s="1"/>
  <c r="L42" i="18"/>
  <c r="F46" i="18"/>
  <c r="M46" i="18" s="1"/>
  <c r="H28" i="21"/>
  <c r="L31" i="21"/>
  <c r="F35" i="21"/>
  <c r="M35" i="21" s="1"/>
  <c r="F32" i="21"/>
  <c r="M32" i="21" s="1"/>
  <c r="L34" i="21"/>
  <c r="F34" i="18"/>
  <c r="M34" i="18" s="1"/>
  <c r="F35" i="18"/>
  <c r="M35" i="18" s="1"/>
  <c r="F39" i="18"/>
  <c r="M39" i="18" s="1"/>
  <c r="L43" i="18"/>
  <c r="F47" i="18"/>
  <c r="M47" i="18" s="1"/>
  <c r="H43" i="18"/>
  <c r="H40" i="18"/>
  <c r="H48" i="18"/>
  <c r="H41" i="18"/>
  <c r="H49" i="18"/>
  <c r="L29" i="21"/>
  <c r="L28" i="21"/>
  <c r="H34" i="18"/>
  <c r="H32" i="18"/>
  <c r="H31" i="18"/>
  <c r="H35" i="18"/>
  <c r="L30" i="18"/>
  <c r="H22" i="21"/>
  <c r="L25" i="21"/>
  <c r="H24" i="21"/>
  <c r="L27" i="21"/>
  <c r="L19" i="21"/>
  <c r="H22" i="18"/>
  <c r="H26" i="18"/>
  <c r="L22" i="18"/>
  <c r="H35" i="21"/>
  <c r="L33" i="21"/>
  <c r="H33" i="21"/>
  <c r="F29" i="18"/>
  <c r="M29" i="18" s="1"/>
  <c r="H42" i="18"/>
  <c r="F36" i="18"/>
  <c r="M36" i="18" s="1"/>
  <c r="L40" i="18"/>
  <c r="F44" i="18"/>
  <c r="M44" i="18" s="1"/>
  <c r="L48" i="18"/>
  <c r="L37" i="18"/>
  <c r="F41" i="18"/>
  <c r="M41" i="18" s="1"/>
  <c r="L45" i="18"/>
  <c r="F49" i="18"/>
  <c r="M49" i="18" s="1"/>
  <c r="L38" i="18"/>
  <c r="F42" i="18"/>
  <c r="M42" i="18" s="1"/>
  <c r="L46" i="18"/>
  <c r="H29" i="21"/>
  <c r="L32" i="21"/>
  <c r="F34" i="21"/>
  <c r="M34" i="21" s="1"/>
  <c r="H45" i="18"/>
  <c r="L31" i="18"/>
  <c r="L32" i="18"/>
  <c r="L28" i="18"/>
  <c r="L20" i="21"/>
  <c r="L21" i="21"/>
  <c r="L18" i="21"/>
  <c r="L26" i="21"/>
  <c r="H23" i="18"/>
  <c r="F26" i="21"/>
  <c r="M26" i="21" s="1"/>
  <c r="F24" i="18"/>
  <c r="M24" i="18" s="1"/>
  <c r="F23" i="21"/>
  <c r="M23" i="21" s="1"/>
  <c r="F20" i="18"/>
  <c r="M20" i="18" s="1"/>
  <c r="L26" i="18"/>
  <c r="F18" i="18"/>
  <c r="M18" i="18" s="1"/>
  <c r="L19" i="18"/>
  <c r="F31" i="21"/>
  <c r="M31" i="21" s="1"/>
  <c r="F30" i="18"/>
  <c r="M30" i="18" s="1"/>
  <c r="L47" i="18"/>
  <c r="H37" i="18"/>
  <c r="F28" i="21"/>
  <c r="M28" i="21" s="1"/>
  <c r="H30" i="18"/>
  <c r="H18" i="21"/>
  <c r="H19" i="21"/>
  <c r="H25" i="21"/>
  <c r="H19" i="18"/>
  <c r="H24" i="18"/>
  <c r="F22" i="18"/>
  <c r="M22" i="18" s="1"/>
  <c r="F19" i="21"/>
  <c r="M19" i="21" s="1"/>
  <c r="F21" i="21"/>
  <c r="M21" i="21" s="1"/>
  <c r="F24" i="21"/>
  <c r="M24" i="21" s="1"/>
  <c r="L27" i="18"/>
  <c r="H18" i="18"/>
  <c r="H21" i="18"/>
  <c r="L25" i="18"/>
  <c r="L20" i="18"/>
  <c r="F29" i="21"/>
  <c r="M29" i="21" s="1"/>
  <c r="L24" i="21"/>
  <c r="H21" i="21"/>
  <c r="F25" i="21"/>
  <c r="M25" i="21" s="1"/>
  <c r="F22" i="21"/>
  <c r="M22" i="21" s="1"/>
  <c r="F21" i="18"/>
  <c r="M21" i="18" s="1"/>
  <c r="L18" i="18"/>
  <c r="H32" i="21"/>
  <c r="F31" i="18"/>
  <c r="M31" i="18" s="1"/>
  <c r="L39" i="18"/>
  <c r="H47" i="18"/>
  <c r="H44" i="18"/>
  <c r="L33" i="18"/>
  <c r="H33" i="18"/>
  <c r="H28" i="18"/>
  <c r="H26" i="21"/>
  <c r="H27" i="21"/>
  <c r="L22" i="21"/>
  <c r="L23" i="21"/>
  <c r="H20" i="18"/>
  <c r="F18" i="21"/>
  <c r="M18" i="21" s="1"/>
  <c r="F27" i="18"/>
  <c r="M27" i="18" s="1"/>
  <c r="F20" i="21"/>
  <c r="M20" i="21" s="1"/>
  <c r="F23" i="18"/>
  <c r="M23" i="18" s="1"/>
  <c r="F27" i="21"/>
  <c r="M27" i="21" s="1"/>
  <c r="L23" i="18"/>
  <c r="F25" i="18"/>
  <c r="M25" i="18" s="1"/>
  <c r="H29" i="18"/>
  <c r="L21" i="18"/>
  <c r="L29" i="18"/>
  <c r="L35" i="21"/>
  <c r="F28" i="18"/>
  <c r="M28" i="18" s="1"/>
  <c r="F43" i="18"/>
  <c r="M43" i="18" s="1"/>
  <c r="H39" i="18"/>
  <c r="H36" i="18"/>
  <c r="L35" i="18"/>
  <c r="L34" i="18"/>
  <c r="H23" i="21"/>
  <c r="H20" i="21"/>
  <c r="H27" i="18"/>
  <c r="F26" i="18"/>
  <c r="M26" i="18" s="1"/>
  <c r="F19" i="18"/>
  <c r="M19" i="18" s="1"/>
  <c r="L24" i="18"/>
  <c r="H25" i="18"/>
  <c r="B54" i="11"/>
  <c r="H46" i="21" s="1"/>
  <c r="L43" i="21" l="1"/>
  <c r="L46" i="21"/>
  <c r="H44" i="21"/>
  <c r="L44" i="21"/>
  <c r="F47" i="21"/>
  <c r="M47" i="21" s="1"/>
  <c r="L37" i="21"/>
  <c r="H39" i="21"/>
  <c r="H42" i="21"/>
  <c r="F42" i="21"/>
  <c r="M42" i="21" s="1"/>
  <c r="L38" i="21"/>
  <c r="J67" i="6"/>
  <c r="J71" i="6"/>
  <c r="J75" i="6"/>
  <c r="J39" i="6"/>
  <c r="J47" i="6"/>
  <c r="J55" i="6"/>
  <c r="J33" i="6"/>
  <c r="J38" i="6"/>
  <c r="J46" i="6"/>
  <c r="J54" i="6"/>
  <c r="J28" i="6"/>
  <c r="J25" i="6"/>
  <c r="J65" i="6"/>
  <c r="J21" i="6"/>
  <c r="J27" i="6"/>
  <c r="J68" i="6"/>
  <c r="J72" i="6"/>
  <c r="J41" i="6"/>
  <c r="J49" i="6"/>
  <c r="J57" i="6"/>
  <c r="J34" i="6"/>
  <c r="J40" i="6"/>
  <c r="J48" i="6"/>
  <c r="J56" i="6"/>
  <c r="J26" i="6"/>
  <c r="J64" i="6"/>
  <c r="J30" i="6"/>
  <c r="J29" i="6"/>
  <c r="J70" i="6"/>
  <c r="J45" i="6"/>
  <c r="J36" i="6"/>
  <c r="J23" i="6"/>
  <c r="J24" i="6"/>
  <c r="J76" i="6"/>
  <c r="J69" i="6"/>
  <c r="J73" i="6"/>
  <c r="J32" i="6"/>
  <c r="J43" i="6"/>
  <c r="J51" i="6"/>
  <c r="J59" i="6"/>
  <c r="J35" i="6"/>
  <c r="J42" i="6"/>
  <c r="J50" i="6"/>
  <c r="J58" i="6"/>
  <c r="J20" i="6"/>
  <c r="J77" i="6"/>
  <c r="J22" i="6"/>
  <c r="J63" i="6"/>
  <c r="J60" i="6"/>
  <c r="J74" i="6"/>
  <c r="J37" i="6"/>
  <c r="J53" i="6"/>
  <c r="J31" i="6"/>
  <c r="J44" i="6"/>
  <c r="J52" i="6"/>
  <c r="J62" i="6"/>
  <c r="J66" i="6"/>
  <c r="J61" i="6"/>
  <c r="F44" i="21"/>
  <c r="M44" i="21" s="1"/>
  <c r="I44" i="21"/>
  <c r="J44" i="21" s="1"/>
  <c r="L42" i="21"/>
  <c r="F40" i="21"/>
  <c r="M40" i="21" s="1"/>
  <c r="F43" i="21"/>
  <c r="M43" i="21" s="1"/>
  <c r="H37" i="21"/>
  <c r="L40" i="21"/>
  <c r="H40" i="21"/>
  <c r="K62" i="6"/>
  <c r="K47" i="6"/>
  <c r="K20" i="6"/>
  <c r="K45" i="6"/>
  <c r="K48" i="6"/>
  <c r="K77" i="6"/>
  <c r="K73" i="6"/>
  <c r="K50" i="6"/>
  <c r="H41" i="21"/>
  <c r="L41" i="21"/>
  <c r="H43" i="21"/>
  <c r="H38" i="21"/>
  <c r="F38" i="21"/>
  <c r="M38" i="21" s="1"/>
  <c r="H36" i="21"/>
  <c r="L36" i="21"/>
  <c r="K41" i="6" s="1"/>
  <c r="L39" i="21"/>
  <c r="H47" i="21"/>
  <c r="L47" i="21"/>
  <c r="F36" i="21"/>
  <c r="M36" i="21" s="1"/>
  <c r="F39" i="21"/>
  <c r="M39" i="21" s="1"/>
  <c r="I36" i="21"/>
  <c r="J36" i="21" s="1"/>
  <c r="F37" i="21"/>
  <c r="M37" i="21" s="1"/>
  <c r="I38" i="21"/>
  <c r="J38" i="21" s="1"/>
  <c r="F46" i="21"/>
  <c r="M46" i="21" s="1"/>
  <c r="F41" i="21"/>
  <c r="M41" i="21" s="1"/>
  <c r="N8" i="11"/>
  <c r="H8" i="11" s="1"/>
  <c r="I18" i="18" s="1"/>
  <c r="J18" i="18" s="1"/>
  <c r="N43" i="11"/>
  <c r="H43" i="11" s="1"/>
  <c r="I24" i="21" s="1"/>
  <c r="J24" i="21" s="1"/>
  <c r="N55" i="11"/>
  <c r="H55" i="11" s="1"/>
  <c r="I37" i="21" s="1"/>
  <c r="J37" i="21" s="1"/>
  <c r="N75" i="11"/>
  <c r="H75" i="11" s="1"/>
  <c r="N87" i="11"/>
  <c r="H87" i="11" s="1"/>
  <c r="N107" i="11"/>
  <c r="H107" i="11" s="1"/>
  <c r="N49" i="11"/>
  <c r="H49" i="11" s="1"/>
  <c r="I31" i="21" s="1"/>
  <c r="J31" i="21" s="1"/>
  <c r="N69" i="11"/>
  <c r="H69" i="11" s="1"/>
  <c r="N81" i="11"/>
  <c r="H81" i="11" s="1"/>
  <c r="N101" i="11"/>
  <c r="H101" i="11" s="1"/>
  <c r="N42" i="11"/>
  <c r="H42" i="11" s="1"/>
  <c r="I23" i="21" s="1"/>
  <c r="J23" i="21" s="1"/>
  <c r="N62" i="11"/>
  <c r="H62" i="11" s="1"/>
  <c r="N74" i="11"/>
  <c r="H74" i="11" s="1"/>
  <c r="N94" i="11"/>
  <c r="H94" i="11" s="1"/>
  <c r="N106" i="11"/>
  <c r="H106" i="11" s="1"/>
  <c r="N56" i="11"/>
  <c r="H56" i="11" s="1"/>
  <c r="N68" i="11"/>
  <c r="H68" i="11" s="1"/>
  <c r="N88" i="11"/>
  <c r="H88" i="11" s="1"/>
  <c r="N11" i="11"/>
  <c r="H11" i="11" s="1"/>
  <c r="N47" i="11"/>
  <c r="H47" i="11" s="1"/>
  <c r="I28" i="21" s="1"/>
  <c r="J28" i="21" s="1"/>
  <c r="N67" i="11"/>
  <c r="H67" i="11" s="1"/>
  <c r="N79" i="11"/>
  <c r="H79" i="11" s="1"/>
  <c r="N99" i="11"/>
  <c r="H99" i="11" s="1"/>
  <c r="N41" i="11"/>
  <c r="H41" i="11" s="1"/>
  <c r="I22" i="21" s="1"/>
  <c r="J22" i="21" s="1"/>
  <c r="N61" i="11"/>
  <c r="H61" i="11" s="1"/>
  <c r="I43" i="21" s="1"/>
  <c r="J43" i="21" s="1"/>
  <c r="N73" i="11"/>
  <c r="H73" i="11" s="1"/>
  <c r="N93" i="11"/>
  <c r="H93" i="11" s="1"/>
  <c r="N105" i="11"/>
  <c r="H105" i="11" s="1"/>
  <c r="N54" i="11"/>
  <c r="H54" i="11" s="1"/>
  <c r="N66" i="11"/>
  <c r="H66" i="11" s="1"/>
  <c r="N86" i="11"/>
  <c r="H86" i="11" s="1"/>
  <c r="N98" i="11"/>
  <c r="H98" i="11" s="1"/>
  <c r="N48" i="11"/>
  <c r="H48" i="11" s="1"/>
  <c r="I29" i="21" s="1"/>
  <c r="J29" i="21" s="1"/>
  <c r="N60" i="11"/>
  <c r="H60" i="11" s="1"/>
  <c r="I42" i="21" s="1"/>
  <c r="J42" i="21" s="1"/>
  <c r="N80" i="11"/>
  <c r="H80" i="11" s="1"/>
  <c r="N92" i="11"/>
  <c r="H92" i="11" s="1"/>
  <c r="N100" i="11"/>
  <c r="H100" i="11" s="1"/>
  <c r="N36" i="11"/>
  <c r="H36" i="11" s="1"/>
  <c r="N33" i="11"/>
  <c r="H33" i="11" s="1"/>
  <c r="I45" i="18" s="1"/>
  <c r="J45" i="18" s="1"/>
  <c r="N34" i="11"/>
  <c r="H34" i="11" s="1"/>
  <c r="I48" i="18" s="1"/>
  <c r="J48" i="18" s="1"/>
  <c r="N12" i="11"/>
  <c r="H12" i="11" s="1"/>
  <c r="N28" i="11"/>
  <c r="H28" i="11" s="1"/>
  <c r="I40" i="18" s="1"/>
  <c r="J40" i="18" s="1"/>
  <c r="N9" i="11"/>
  <c r="H9" i="11" s="1"/>
  <c r="N30" i="11"/>
  <c r="H30" i="11" s="1"/>
  <c r="I42" i="18" s="1"/>
  <c r="J42" i="18" s="1"/>
  <c r="N24" i="11"/>
  <c r="H24" i="11" s="1"/>
  <c r="I34" i="18" s="1"/>
  <c r="J34" i="18" s="1"/>
  <c r="N22" i="11"/>
  <c r="H22" i="11" s="1"/>
  <c r="N20" i="11"/>
  <c r="H20" i="11" s="1"/>
  <c r="I30" i="18" s="1"/>
  <c r="J30" i="18" s="1"/>
  <c r="N37" i="11"/>
  <c r="H37" i="11" s="1"/>
  <c r="I18" i="21" s="1"/>
  <c r="J18" i="21" s="1"/>
  <c r="N32" i="11"/>
  <c r="H32" i="11" s="1"/>
  <c r="I44" i="18" s="1"/>
  <c r="J44" i="18" s="1"/>
  <c r="N15" i="11"/>
  <c r="H15" i="11" s="1"/>
  <c r="I25" i="18" s="1"/>
  <c r="J25" i="18" s="1"/>
  <c r="N14" i="11"/>
  <c r="H14" i="11" s="1"/>
  <c r="I24" i="18" s="1"/>
  <c r="J24" i="18" s="1"/>
  <c r="N39" i="11"/>
  <c r="H39" i="11" s="1"/>
  <c r="I20" i="21" s="1"/>
  <c r="J20" i="21" s="1"/>
  <c r="N59" i="11"/>
  <c r="H59" i="11" s="1"/>
  <c r="I41" i="21" s="1"/>
  <c r="J41" i="21" s="1"/>
  <c r="N71" i="11"/>
  <c r="H71" i="11" s="1"/>
  <c r="N91" i="11"/>
  <c r="H91" i="11" s="1"/>
  <c r="N103" i="11"/>
  <c r="H103" i="11" s="1"/>
  <c r="N53" i="11"/>
  <c r="H53" i="11" s="1"/>
  <c r="I35" i="21" s="1"/>
  <c r="J35" i="21" s="1"/>
  <c r="N65" i="11"/>
  <c r="H65" i="11" s="1"/>
  <c r="N85" i="11"/>
  <c r="H85" i="11" s="1"/>
  <c r="N97" i="11"/>
  <c r="H97" i="11" s="1"/>
  <c r="N46" i="11"/>
  <c r="H46" i="11" s="1"/>
  <c r="I27" i="21" s="1"/>
  <c r="J27" i="21" s="1"/>
  <c r="N58" i="11"/>
  <c r="H58" i="11" s="1"/>
  <c r="I40" i="21" s="1"/>
  <c r="J40" i="21" s="1"/>
  <c r="N78" i="11"/>
  <c r="H78" i="11" s="1"/>
  <c r="N90" i="11"/>
  <c r="H90" i="11" s="1"/>
  <c r="N40" i="11"/>
  <c r="H40" i="11" s="1"/>
  <c r="I21" i="21" s="1"/>
  <c r="J21" i="21" s="1"/>
  <c r="N52" i="11"/>
  <c r="H52" i="11" s="1"/>
  <c r="I34" i="21" s="1"/>
  <c r="J34" i="21" s="1"/>
  <c r="N72" i="11"/>
  <c r="H72" i="11" s="1"/>
  <c r="N84" i="11"/>
  <c r="H84" i="11" s="1"/>
  <c r="N10" i="11"/>
  <c r="H10" i="11" s="1"/>
  <c r="N45" i="11"/>
  <c r="H45" i="11" s="1"/>
  <c r="I26" i="21" s="1"/>
  <c r="J26" i="21" s="1"/>
  <c r="N89" i="11"/>
  <c r="H89" i="11" s="1"/>
  <c r="N102" i="11"/>
  <c r="H102" i="11" s="1"/>
  <c r="N76" i="11"/>
  <c r="H76" i="11" s="1"/>
  <c r="N23" i="11"/>
  <c r="H23" i="11" s="1"/>
  <c r="N26" i="11"/>
  <c r="H26" i="11" s="1"/>
  <c r="I38" i="18" s="1"/>
  <c r="J38" i="18" s="1"/>
  <c r="N21" i="11"/>
  <c r="H21" i="11" s="1"/>
  <c r="I31" i="18" s="1"/>
  <c r="J31" i="18" s="1"/>
  <c r="N18" i="11"/>
  <c r="H18" i="11" s="1"/>
  <c r="I28" i="18" s="1"/>
  <c r="J28" i="18" s="1"/>
  <c r="N83" i="11"/>
  <c r="H83" i="11" s="1"/>
  <c r="N57" i="11"/>
  <c r="H57" i="11" s="1"/>
  <c r="I39" i="21" s="1"/>
  <c r="J39" i="21" s="1"/>
  <c r="N70" i="11"/>
  <c r="H70" i="11" s="1"/>
  <c r="N44" i="11"/>
  <c r="H44" i="11" s="1"/>
  <c r="I25" i="21" s="1"/>
  <c r="J25" i="21" s="1"/>
  <c r="N35" i="11"/>
  <c r="H35" i="11" s="1"/>
  <c r="I49" i="18" s="1"/>
  <c r="J49" i="18" s="1"/>
  <c r="N27" i="11"/>
  <c r="H27" i="11" s="1"/>
  <c r="I39" i="18" s="1"/>
  <c r="J39" i="18" s="1"/>
  <c r="N19" i="11"/>
  <c r="H19" i="11" s="1"/>
  <c r="I29" i="18" s="1"/>
  <c r="J29" i="18" s="1"/>
  <c r="N51" i="11"/>
  <c r="H51" i="11" s="1"/>
  <c r="I33" i="21" s="1"/>
  <c r="J33" i="21" s="1"/>
  <c r="N95" i="11"/>
  <c r="H95" i="11" s="1"/>
  <c r="N38" i="11"/>
  <c r="H38" i="11" s="1"/>
  <c r="I19" i="21" s="1"/>
  <c r="J19" i="21" s="1"/>
  <c r="N82" i="11"/>
  <c r="H82" i="11" s="1"/>
  <c r="N96" i="11"/>
  <c r="H96" i="11" s="1"/>
  <c r="N31" i="11"/>
  <c r="H31" i="11" s="1"/>
  <c r="I43" i="18" s="1"/>
  <c r="J43" i="18" s="1"/>
  <c r="N25" i="11"/>
  <c r="H25" i="11" s="1"/>
  <c r="I36" i="18" s="1"/>
  <c r="J36" i="18" s="1"/>
  <c r="N17" i="11"/>
  <c r="H17" i="11" s="1"/>
  <c r="I27" i="18" s="1"/>
  <c r="J27" i="18" s="1"/>
  <c r="N63" i="11"/>
  <c r="H63" i="11" s="1"/>
  <c r="I46" i="21" s="1"/>
  <c r="J46" i="21" s="1"/>
  <c r="N77" i="11"/>
  <c r="H77" i="11" s="1"/>
  <c r="N50" i="11"/>
  <c r="H50" i="11" s="1"/>
  <c r="I32" i="21" s="1"/>
  <c r="J32" i="21" s="1"/>
  <c r="N64" i="11"/>
  <c r="H64" i="11" s="1"/>
  <c r="I47" i="21" s="1"/>
  <c r="J47" i="21" s="1"/>
  <c r="N104" i="11"/>
  <c r="H104" i="11" s="1"/>
  <c r="N29" i="11"/>
  <c r="H29" i="11" s="1"/>
  <c r="I41" i="18" s="1"/>
  <c r="J41" i="18" s="1"/>
  <c r="N16" i="11"/>
  <c r="H16" i="11" s="1"/>
  <c r="I26" i="18" s="1"/>
  <c r="J26" i="18" s="1"/>
  <c r="N13" i="11"/>
  <c r="H13" i="11" s="1"/>
  <c r="I23" i="18" s="1"/>
  <c r="J23" i="18" s="1"/>
  <c r="AA8" i="11" l="1" a="1"/>
  <c r="I35" i="18"/>
  <c r="J35" i="18" s="1"/>
  <c r="I20" i="18"/>
  <c r="J20" i="18" s="1"/>
  <c r="I19" i="18"/>
  <c r="J19" i="18" s="1"/>
  <c r="X8" i="11" s="1" a="1"/>
  <c r="I37" i="18"/>
  <c r="J37" i="18" s="1"/>
  <c r="I21" i="18"/>
  <c r="J21" i="18" s="1"/>
  <c r="I22" i="18"/>
  <c r="J22" i="18" s="1"/>
  <c r="K46" i="6"/>
  <c r="K43" i="6"/>
  <c r="K67" i="6"/>
  <c r="K21" i="6"/>
  <c r="K36" i="6"/>
  <c r="K34" i="6"/>
  <c r="I33" i="18"/>
  <c r="J33" i="18" s="1"/>
  <c r="I47" i="18"/>
  <c r="J47" i="18" s="1"/>
  <c r="I46" i="18"/>
  <c r="J46" i="18" s="1"/>
  <c r="I32" i="18"/>
  <c r="J32" i="18" s="1"/>
  <c r="K65" i="6"/>
  <c r="K33" i="6"/>
  <c r="K76" i="6"/>
  <c r="K61" i="6"/>
  <c r="K40" i="6"/>
  <c r="K37" i="6"/>
  <c r="K64" i="6"/>
  <c r="K32" i="6"/>
  <c r="K30" i="6"/>
  <c r="K38" i="6"/>
  <c r="K35" i="6"/>
  <c r="K66" i="6"/>
  <c r="K24" i="6"/>
  <c r="K57" i="6"/>
  <c r="K74" i="6"/>
  <c r="Y8" i="11" a="1"/>
  <c r="K25" i="6"/>
  <c r="K55" i="6"/>
  <c r="K63" i="6"/>
  <c r="K23" i="6"/>
  <c r="K31" i="6"/>
  <c r="K72" i="6"/>
  <c r="K58" i="6"/>
  <c r="K69" i="6"/>
  <c r="K27" i="6"/>
  <c r="K59" i="6"/>
  <c r="K75" i="6"/>
  <c r="K29" i="6"/>
  <c r="K52" i="6"/>
  <c r="K49" i="6"/>
  <c r="K70" i="6"/>
  <c r="J68" i="21"/>
  <c r="AB8" i="11" a="1"/>
  <c r="K60" i="6"/>
  <c r="K39" i="6"/>
  <c r="K26" i="6"/>
  <c r="K56" i="6"/>
  <c r="K53" i="6"/>
  <c r="K68" i="6"/>
  <c r="K42" i="6"/>
  <c r="K22" i="6"/>
  <c r="K54" i="6"/>
  <c r="K51" i="6"/>
  <c r="K71" i="6"/>
  <c r="K28" i="6"/>
  <c r="K44" i="6"/>
  <c r="X20" i="11" l="1"/>
  <c r="X53" i="11"/>
  <c r="X103" i="11"/>
  <c r="X94" i="11"/>
  <c r="X104" i="11"/>
  <c r="X63" i="11"/>
  <c r="X29" i="11"/>
  <c r="X55" i="11"/>
  <c r="X66" i="11"/>
  <c r="X60" i="11"/>
  <c r="X85" i="11"/>
  <c r="X100" i="11"/>
  <c r="X27" i="11"/>
  <c r="X38" i="11"/>
  <c r="X24" i="11"/>
  <c r="X61" i="11"/>
  <c r="X12" i="11"/>
  <c r="X98" i="11"/>
  <c r="X14" i="11"/>
  <c r="X16" i="11"/>
  <c r="X71" i="11"/>
  <c r="X33" i="11"/>
  <c r="X67" i="11"/>
  <c r="X70" i="11"/>
  <c r="X68" i="11"/>
  <c r="X93" i="11"/>
  <c r="X107" i="11"/>
  <c r="X31" i="11"/>
  <c r="X46" i="11"/>
  <c r="X28" i="11"/>
  <c r="X65" i="11"/>
  <c r="X52" i="11"/>
  <c r="X102" i="11"/>
  <c r="X18" i="11"/>
  <c r="X91" i="11"/>
  <c r="X37" i="11"/>
  <c r="X75" i="11"/>
  <c r="X78" i="11"/>
  <c r="X80" i="11"/>
  <c r="X79" i="11"/>
  <c r="X57" i="11"/>
  <c r="X84" i="11"/>
  <c r="X39" i="11"/>
  <c r="X74" i="11"/>
  <c r="X76" i="11"/>
  <c r="X97" i="11"/>
  <c r="X13" i="11"/>
  <c r="X35" i="11"/>
  <c r="X50" i="11"/>
  <c r="X36" i="11"/>
  <c r="X69" i="11"/>
  <c r="X64" i="11"/>
  <c r="X11" i="11"/>
  <c r="X22" i="11"/>
  <c r="X99" i="11"/>
  <c r="X45" i="11"/>
  <c r="X83" i="11"/>
  <c r="X82" i="11"/>
  <c r="X88" i="11"/>
  <c r="X101" i="11"/>
  <c r="X17" i="11"/>
  <c r="X43" i="11"/>
  <c r="X54" i="11"/>
  <c r="X56" i="11"/>
  <c r="X105" i="11"/>
  <c r="X41" i="11"/>
  <c r="X40" i="11"/>
  <c r="X23" i="11"/>
  <c r="X58" i="11"/>
  <c r="X10" i="11"/>
  <c r="X15" i="11"/>
  <c r="X95" i="11"/>
  <c r="X21" i="11"/>
  <c r="X81" i="11"/>
  <c r="X32" i="11"/>
  <c r="X9" i="11"/>
  <c r="X90" i="11"/>
  <c r="X62" i="11"/>
  <c r="X59" i="11"/>
  <c r="X72" i="11"/>
  <c r="X48" i="11"/>
  <c r="X106" i="11"/>
  <c r="X44" i="11"/>
  <c r="X30" i="11"/>
  <c r="X86" i="11"/>
  <c r="X47" i="11"/>
  <c r="X92" i="11"/>
  <c r="X89" i="11"/>
  <c r="X87" i="11"/>
  <c r="X42" i="11"/>
  <c r="X77" i="11"/>
  <c r="X8" i="11"/>
  <c r="X96" i="11"/>
  <c r="X19" i="11"/>
  <c r="X73" i="11"/>
  <c r="X26" i="11"/>
  <c r="X49" i="11"/>
  <c r="X25" i="11"/>
  <c r="X51" i="11"/>
  <c r="X34" i="11"/>
  <c r="AB45" i="11"/>
  <c r="AB50" i="11"/>
  <c r="AB65" i="11"/>
  <c r="AB83" i="11"/>
  <c r="AB85" i="11"/>
  <c r="AB44" i="11"/>
  <c r="AB104" i="11"/>
  <c r="AB107" i="11"/>
  <c r="AB9" i="11"/>
  <c r="AB96" i="11"/>
  <c r="AB84" i="11"/>
  <c r="AB39" i="11"/>
  <c r="AB54" i="11"/>
  <c r="AB21" i="11"/>
  <c r="AB29" i="11"/>
  <c r="AB49" i="11"/>
  <c r="AB55" i="11"/>
  <c r="AB71" i="11"/>
  <c r="AB101" i="11"/>
  <c r="AB97" i="11"/>
  <c r="AB20" i="11"/>
  <c r="AB102" i="11"/>
  <c r="AB14" i="11"/>
  <c r="AB33" i="11"/>
  <c r="AB73" i="11"/>
  <c r="AB92" i="11"/>
  <c r="AB105" i="11"/>
  <c r="AB43" i="11"/>
  <c r="AB40" i="11"/>
  <c r="AB47" i="11"/>
  <c r="AB80" i="11"/>
  <c r="AB53" i="11"/>
  <c r="AB8" i="11"/>
  <c r="AB72" i="11"/>
  <c r="AB62" i="11"/>
  <c r="AB41" i="11"/>
  <c r="AB78" i="11"/>
  <c r="AB87" i="11"/>
  <c r="AB82" i="11"/>
  <c r="AB16" i="11"/>
  <c r="AB35" i="11"/>
  <c r="AB48" i="11"/>
  <c r="AB52" i="11"/>
  <c r="AB32" i="11"/>
  <c r="AB60" i="11"/>
  <c r="AB10" i="11"/>
  <c r="AB25" i="11"/>
  <c r="AB58" i="11"/>
  <c r="AB51" i="11"/>
  <c r="AB11" i="11"/>
  <c r="AB89" i="11"/>
  <c r="AB23" i="11"/>
  <c r="AB26" i="11"/>
  <c r="AB100" i="11"/>
  <c r="AB42" i="11"/>
  <c r="AB86" i="11"/>
  <c r="AB37" i="11"/>
  <c r="AB22" i="11"/>
  <c r="AB70" i="11"/>
  <c r="AB46" i="11"/>
  <c r="AB88" i="11"/>
  <c r="AB77" i="11"/>
  <c r="AB36" i="11"/>
  <c r="AB12" i="11"/>
  <c r="AB56" i="11"/>
  <c r="AB75" i="11"/>
  <c r="AB61" i="11"/>
  <c r="AB66" i="11"/>
  <c r="AB13" i="11"/>
  <c r="AB81" i="11"/>
  <c r="AB68" i="11"/>
  <c r="AB24" i="11"/>
  <c r="AB106" i="11"/>
  <c r="AB18" i="11"/>
  <c r="AB69" i="11"/>
  <c r="AB91" i="11"/>
  <c r="AB17" i="11"/>
  <c r="AB63" i="11"/>
  <c r="AB64" i="11"/>
  <c r="AB28" i="11"/>
  <c r="AB59" i="11"/>
  <c r="AB19" i="11"/>
  <c r="AB95" i="11"/>
  <c r="AB99" i="11"/>
  <c r="AB67" i="11"/>
  <c r="AB98" i="11"/>
  <c r="AB27" i="11"/>
  <c r="AB90" i="11"/>
  <c r="AB74" i="11"/>
  <c r="AB79" i="11"/>
  <c r="AB57" i="11"/>
  <c r="AB38" i="11"/>
  <c r="AB34" i="11"/>
  <c r="AB31" i="11"/>
  <c r="AB103" i="11"/>
  <c r="AB94" i="11"/>
  <c r="AB76" i="11"/>
  <c r="AB93" i="11"/>
  <c r="AB30" i="11"/>
  <c r="AB15" i="11"/>
  <c r="AB7" i="11"/>
  <c r="AA7" i="11"/>
  <c r="J68" i="18"/>
  <c r="AA67" i="11"/>
  <c r="AA33" i="11"/>
  <c r="AA56" i="11"/>
  <c r="AA46" i="11"/>
  <c r="AA22" i="11"/>
  <c r="AA8" i="11"/>
  <c r="AA43" i="11"/>
  <c r="AA84" i="11"/>
  <c r="AA61" i="11"/>
  <c r="AA15" i="11"/>
  <c r="AA105" i="11"/>
  <c r="AA88" i="11"/>
  <c r="AA10" i="11"/>
  <c r="AA53" i="11"/>
  <c r="AA69" i="11"/>
  <c r="AA11" i="11"/>
  <c r="AA29" i="11"/>
  <c r="AA99" i="11"/>
  <c r="AA12" i="11"/>
  <c r="AA100" i="11"/>
  <c r="AA28" i="11"/>
  <c r="AA36" i="11"/>
  <c r="AA66" i="11"/>
  <c r="AA106" i="11"/>
  <c r="AA34" i="11"/>
  <c r="AA71" i="11"/>
  <c r="AA39" i="11"/>
  <c r="AA98" i="11"/>
  <c r="AA17" i="11"/>
  <c r="AA16" i="11"/>
  <c r="AA107" i="11"/>
  <c r="AA78" i="11"/>
  <c r="AA20" i="11"/>
  <c r="AA86" i="11"/>
  <c r="AA85" i="11"/>
  <c r="AA92" i="11"/>
  <c r="AA97" i="11"/>
  <c r="AA54" i="11"/>
  <c r="AA102" i="11"/>
  <c r="AA64" i="11"/>
  <c r="AA81" i="11"/>
  <c r="AA104" i="11"/>
  <c r="AA65" i="11"/>
  <c r="AA48" i="11"/>
  <c r="AA77" i="11"/>
  <c r="AA9" i="11"/>
  <c r="AA19" i="11"/>
  <c r="AA44" i="11"/>
  <c r="AA89" i="11"/>
  <c r="AA24" i="11"/>
  <c r="AA59" i="11"/>
  <c r="AA27" i="11"/>
  <c r="AA45" i="11"/>
  <c r="AA79" i="11"/>
  <c r="AA23" i="11"/>
  <c r="AA21" i="11"/>
  <c r="AA51" i="11"/>
  <c r="AA14" i="11"/>
  <c r="AA90" i="11"/>
  <c r="AA57" i="11"/>
  <c r="AA76" i="11"/>
  <c r="AA31" i="11"/>
  <c r="AA68" i="11"/>
  <c r="AA25" i="11"/>
  <c r="AA73" i="11"/>
  <c r="AA75" i="11"/>
  <c r="AA52" i="11"/>
  <c r="AA50" i="11"/>
  <c r="AA42" i="11"/>
  <c r="AA37" i="11"/>
  <c r="AA47" i="11"/>
  <c r="AA91" i="11"/>
  <c r="AA18" i="11"/>
  <c r="AA95" i="11"/>
  <c r="AA96" i="11"/>
  <c r="AA63" i="11"/>
  <c r="AA93" i="11"/>
  <c r="AA26" i="11"/>
  <c r="AA74" i="11"/>
  <c r="AA58" i="11"/>
  <c r="AA38" i="11"/>
  <c r="AA13" i="11"/>
  <c r="AA41" i="11"/>
  <c r="AA101" i="11"/>
  <c r="AA62" i="11"/>
  <c r="AA70" i="11"/>
  <c r="AA60" i="11"/>
  <c r="AA82" i="11"/>
  <c r="AA32" i="11"/>
  <c r="AA94" i="11"/>
  <c r="AA40" i="11"/>
  <c r="AA55" i="11"/>
  <c r="AA35" i="11"/>
  <c r="AA80" i="11"/>
  <c r="AA49" i="11"/>
  <c r="AA103" i="11"/>
  <c r="AA72" i="11"/>
  <c r="AA87" i="11"/>
  <c r="AA83" i="11"/>
  <c r="AA30" i="11"/>
  <c r="Y72" i="11"/>
  <c r="Y57" i="11"/>
  <c r="Y67" i="11"/>
  <c r="Y23" i="11"/>
  <c r="Y55" i="11"/>
  <c r="Y44" i="11"/>
  <c r="Y14" i="11"/>
  <c r="Y61" i="11"/>
  <c r="Y30" i="11"/>
  <c r="Y22" i="11"/>
  <c r="Y28" i="11"/>
  <c r="Y49" i="11"/>
  <c r="Y69" i="11"/>
  <c r="Y51" i="11"/>
  <c r="Y60" i="11"/>
  <c r="Y81" i="11"/>
  <c r="Y101" i="11"/>
  <c r="Y86" i="11"/>
  <c r="Y41" i="11"/>
  <c r="Y12" i="11"/>
  <c r="Y33" i="11"/>
  <c r="Y91" i="11"/>
  <c r="Y50" i="11"/>
  <c r="Y104" i="11"/>
  <c r="Y71" i="11"/>
  <c r="Y59" i="11"/>
  <c r="Y9" i="11"/>
  <c r="Y53" i="11"/>
  <c r="Y76" i="11"/>
  <c r="Y13" i="11"/>
  <c r="Y80" i="11"/>
  <c r="Y20" i="11"/>
  <c r="Y73" i="11"/>
  <c r="Y36" i="11"/>
  <c r="Y26" i="11"/>
  <c r="Y54" i="11"/>
  <c r="Y46" i="11"/>
  <c r="Y66" i="11"/>
  <c r="Y90" i="11"/>
  <c r="Y19" i="11"/>
  <c r="Y78" i="11"/>
  <c r="Y98" i="11"/>
  <c r="Y29" i="11"/>
  <c r="Y70" i="11"/>
  <c r="Y77" i="11"/>
  <c r="Y97" i="11"/>
  <c r="Y52" i="11"/>
  <c r="Y15" i="11"/>
  <c r="Y83" i="11"/>
  <c r="Y96" i="11"/>
  <c r="Y84" i="11"/>
  <c r="Y17" i="11"/>
  <c r="Y31" i="11"/>
  <c r="Y42" i="11"/>
  <c r="Y74" i="11"/>
  <c r="Y38" i="11"/>
  <c r="Y68" i="11"/>
  <c r="Y102" i="11"/>
  <c r="Y100" i="11"/>
  <c r="Y87" i="11"/>
  <c r="Y32" i="11"/>
  <c r="Y85" i="11"/>
  <c r="Y105" i="11"/>
  <c r="Y37" i="11"/>
  <c r="Y8" i="11"/>
  <c r="Y56" i="11"/>
  <c r="Y88" i="11"/>
  <c r="Y27" i="11"/>
  <c r="Y94" i="11"/>
  <c r="Y11" i="11"/>
  <c r="Y16" i="11"/>
  <c r="Y58" i="11"/>
  <c r="Y93" i="11"/>
  <c r="Y35" i="11"/>
  <c r="Y43" i="11"/>
  <c r="Y18" i="11"/>
  <c r="Y34" i="11"/>
  <c r="Y45" i="11"/>
  <c r="Y63" i="11"/>
  <c r="Y10" i="11"/>
  <c r="Y95" i="11"/>
  <c r="Y99" i="11"/>
  <c r="Y62" i="11"/>
  <c r="Y79" i="11"/>
  <c r="Y65" i="11"/>
  <c r="Y47" i="11"/>
  <c r="Y24" i="11"/>
  <c r="Y103" i="11"/>
  <c r="Y25" i="11"/>
  <c r="Y40" i="11"/>
  <c r="Y89" i="11"/>
  <c r="Y48" i="11"/>
  <c r="Y21" i="11"/>
  <c r="Y39" i="11"/>
  <c r="Y64" i="11"/>
  <c r="Y92" i="11"/>
  <c r="Y75" i="11"/>
  <c r="Y107" i="11"/>
  <c r="Y106" i="11"/>
  <c r="Y82" i="11"/>
  <c r="Y7" i="11" l="1"/>
  <c r="X7" i="11"/>
</calcChain>
</file>

<file path=xl/sharedStrings.xml><?xml version="1.0" encoding="utf-8"?>
<sst xmlns="http://schemas.openxmlformats.org/spreadsheetml/2006/main" count="531" uniqueCount="295">
  <si>
    <t>Unit</t>
  </si>
  <si>
    <t>Date of exchange rate</t>
  </si>
  <si>
    <t>Currencies</t>
  </si>
  <si>
    <t>Currency 1 (Local)</t>
  </si>
  <si>
    <t>Currency 2 (Alternative)</t>
  </si>
  <si>
    <t>Country</t>
  </si>
  <si>
    <t>Project name</t>
  </si>
  <si>
    <t>Project number</t>
  </si>
  <si>
    <t>Author</t>
  </si>
  <si>
    <t>Date</t>
  </si>
  <si>
    <t>General comments</t>
  </si>
  <si>
    <t>kg</t>
  </si>
  <si>
    <t>m</t>
  </si>
  <si>
    <r>
      <t>m</t>
    </r>
    <r>
      <rPr>
        <vertAlign val="superscript"/>
        <sz val="10"/>
        <color theme="1"/>
        <rFont val="Arial"/>
        <family val="2"/>
        <scheme val="minor"/>
      </rPr>
      <t>2</t>
    </r>
  </si>
  <si>
    <r>
      <t>m</t>
    </r>
    <r>
      <rPr>
        <vertAlign val="superscript"/>
        <sz val="10"/>
        <color theme="1"/>
        <rFont val="Arial"/>
        <family val="2"/>
        <scheme val="minor"/>
      </rPr>
      <t>3</t>
    </r>
  </si>
  <si>
    <t>pieces</t>
  </si>
  <si>
    <t>Bolivia</t>
  </si>
  <si>
    <t>Ecuador</t>
  </si>
  <si>
    <t>Peru</t>
  </si>
  <si>
    <t>Costa Rica</t>
  </si>
  <si>
    <t>Senegal</t>
  </si>
  <si>
    <t>Mauritania</t>
  </si>
  <si>
    <t>Burkina Faso</t>
  </si>
  <si>
    <t>Ghana</t>
  </si>
  <si>
    <t>Ivory Coast</t>
  </si>
  <si>
    <t>Egypt</t>
  </si>
  <si>
    <t>Ethiopia</t>
  </si>
  <si>
    <t>Kenya</t>
  </si>
  <si>
    <t>Uganda</t>
  </si>
  <si>
    <t>Tanzania</t>
  </si>
  <si>
    <t>South Africa</t>
  </si>
  <si>
    <t>Afghanistan</t>
  </si>
  <si>
    <t>India</t>
  </si>
  <si>
    <t>Nepal</t>
  </si>
  <si>
    <t>Thailand</t>
  </si>
  <si>
    <t>Philippines</t>
  </si>
  <si>
    <t>Indonesia</t>
  </si>
  <si>
    <t>Chosen Currency</t>
  </si>
  <si>
    <t>Bangladesh</t>
  </si>
  <si>
    <t>Malawi</t>
  </si>
  <si>
    <t>Afghanistan: Afghani (AFN)</t>
  </si>
  <si>
    <t>Bangladesh: Taka (BDT)</t>
  </si>
  <si>
    <t>Burkina Faso: West African CFA franc (XOF)</t>
  </si>
  <si>
    <t>Costa Rica: Colón (CRC)</t>
  </si>
  <si>
    <t>Ecuador: US Dollar (USD)</t>
  </si>
  <si>
    <t>US Dollar (USD)</t>
  </si>
  <si>
    <t>Swiss franc (CHF)</t>
  </si>
  <si>
    <t>Euro (EUR)</t>
  </si>
  <si>
    <t>Egypt: Egyptian pound (EGP)</t>
  </si>
  <si>
    <t>Ethiopia: Birr (ETB)</t>
  </si>
  <si>
    <t>Ghana: Cedi (GHS)</t>
  </si>
  <si>
    <t>Indonesia: Rupiah (IDR)</t>
  </si>
  <si>
    <t>Ivory Coast: West African CFA franc (XOF)</t>
  </si>
  <si>
    <t>Kenya: Kenyan shilling (KES)</t>
  </si>
  <si>
    <t>Malawi: Kwacha (MWK)</t>
  </si>
  <si>
    <t>Mauritania: Ouguiya (MRO)</t>
  </si>
  <si>
    <t>Nepal: Nepalese rupee (NPR)</t>
  </si>
  <si>
    <t>India: Indian rupee (INR)</t>
  </si>
  <si>
    <t>Peru: Nuevo Sol (PEN)</t>
  </si>
  <si>
    <t>Philippines: Peso (PHP)</t>
  </si>
  <si>
    <t>Senegal: West African CFA franc (XOF)</t>
  </si>
  <si>
    <t>South Africa: Rand (ZAR)</t>
  </si>
  <si>
    <t>Tanzania: Tanzanian shilling (TZS)</t>
  </si>
  <si>
    <t>Thailand: Baht (THB)</t>
  </si>
  <si>
    <t>Labour</t>
  </si>
  <si>
    <t>hours</t>
  </si>
  <si>
    <t>days</t>
  </si>
  <si>
    <t>weeks</t>
  </si>
  <si>
    <t>months</t>
  </si>
  <si>
    <t>Uganda: Ugandan shilling (UGX)</t>
  </si>
  <si>
    <t>Bolivia: Boliviano (BOB)</t>
  </si>
  <si>
    <t>litre</t>
  </si>
  <si>
    <t>Name of sheets</t>
  </si>
  <si>
    <t>Hidden and protected sheets/cells</t>
  </si>
  <si>
    <t>Password:</t>
  </si>
  <si>
    <t>Content</t>
  </si>
  <si>
    <t>Hidden sheet used for calculations. Do not change anything.</t>
  </si>
  <si>
    <t>Eawag disclaims any responsibility for the correctness of this Excel file.</t>
  </si>
  <si>
    <t>Disclaimer</t>
  </si>
  <si>
    <t>Currency used for calculation</t>
  </si>
  <si>
    <t>Substructure</t>
  </si>
  <si>
    <t>Superstructure</t>
  </si>
  <si>
    <t>Project Specifications</t>
  </si>
  <si>
    <t>Remarks</t>
  </si>
  <si>
    <t>Compulsory</t>
  </si>
  <si>
    <t>Optional</t>
  </si>
  <si>
    <t>ID</t>
  </si>
  <si>
    <t>(do not appear in the dropdown lists)</t>
  </si>
  <si>
    <t>Hidden column</t>
  </si>
  <si>
    <t>Use "Delete" (and not "Backspace") to undo list selections.</t>
  </si>
  <si>
    <t>Material</t>
  </si>
  <si>
    <t>Item</t>
  </si>
  <si>
    <t>------</t>
  </si>
  <si>
    <t>Currency</t>
  </si>
  <si>
    <t>Item ID</t>
  </si>
  <si>
    <t>Category ID</t>
  </si>
  <si>
    <t>Component ID</t>
  </si>
  <si>
    <t>Legend</t>
  </si>
  <si>
    <t>chosen currency</t>
  </si>
  <si>
    <t>1. List that takes up to 100 values from the array of variable size</t>
  </si>
  <si>
    <t>3. List with unique ID</t>
  </si>
  <si>
    <t>list that assigns and ID to each category</t>
  </si>
  <si>
    <t>list that assigns and ID to each component</t>
  </si>
  <si>
    <t>2. List removing #N/A values and zeros</t>
  </si>
  <si>
    <t>Items</t>
  </si>
  <si>
    <t>Do not use "Copy", "Cut", or "Paste"! Use "Delete", "Backspace", or enter new text manually.</t>
  </si>
  <si>
    <t>Do not leave any gaps (blank cells)! Use " '------ " instead (for instance).</t>
  </si>
  <si>
    <t>Automatic. Do not change.</t>
  </si>
  <si>
    <t>Sheet</t>
  </si>
  <si>
    <t>Troubleshooting</t>
  </si>
  <si>
    <t>Needing more space (rows)</t>
  </si>
  <si>
    <t>Pie charts</t>
  </si>
  <si>
    <t>This Excel file runs without VBA macros. Therefore, compromises between complexity and user friendliness had to be made.</t>
  </si>
  <si>
    <t>Units &amp; Rates</t>
  </si>
  <si>
    <t>Total Quantities Used</t>
  </si>
  <si>
    <t>Model Specifications</t>
  </si>
  <si>
    <t>Model name</t>
  </si>
  <si>
    <t>Item Category</t>
  </si>
  <si>
    <t>Quantity</t>
  </si>
  <si>
    <t>Bill of Quantities (BoQ)</t>
  </si>
  <si>
    <t>Total Amount</t>
  </si>
  <si>
    <t>Unprotect a sheet:</t>
  </si>
  <si>
    <t>"Review" tab, "Changes" group: click "Unprotect Sheet"</t>
  </si>
  <si>
    <t>Enter password and click OK</t>
  </si>
  <si>
    <t>Protect a sheet:</t>
  </si>
  <si>
    <t>"Review" tab, "Changes" group: click "Protect Sheet"</t>
  </si>
  <si>
    <t>Unprotect certain cells:</t>
  </si>
  <si>
    <t>Protect certain cells:</t>
  </si>
  <si>
    <t>Make sure that the sheet is unprotected (see above: "Unprotect a sheet")</t>
  </si>
  <si>
    <t>If desired, protect the sheet (see above: "Protect a sheet")</t>
  </si>
  <si>
    <t>Enter password and click OK, then confirm password and click OK</t>
  </si>
  <si>
    <t>Select the cells you want to unprotect (or press "Ctrl+A" for all cells), then press "CTRL+1", clear the "Locked" check box in the "Protection" tab and click OK</t>
  </si>
  <si>
    <t>Select the cells you want to protect ("Ctrl+A" for all cells), then press "CTRL+1", select the "Locked" check box in the "Protection" tab and click OK</t>
  </si>
  <si>
    <t>Select the chart you want to protect, right-click an empty area of the chart and select "Format Chart Area", select the "Locked" check box in the "Properties" tab and click "Close"</t>
  </si>
  <si>
    <t>Unprotect a chart:</t>
  </si>
  <si>
    <t>Protect a chart:</t>
  </si>
  <si>
    <t>Select the chart you want to unprotect, right-click an empty area of the chart and select "Format Chart Area", clear the "Locked" check box in the "Properties" tab and click "Close"</t>
  </si>
  <si>
    <t>TOTAL</t>
  </si>
  <si>
    <t>Graph titles</t>
  </si>
  <si>
    <t>name of new sheets need to be added manually (normal use)</t>
  </si>
  <si>
    <t>name of new sheets need to be added manually (buttons)</t>
  </si>
  <si>
    <t>Sanitation Costing Tool</t>
  </si>
  <si>
    <t>Instructions</t>
  </si>
  <si>
    <t>Unhide a sheet:</t>
  </si>
  <si>
    <t>Right click on any sheet --&gt; "Unhide…" --&gt; Select sheet</t>
  </si>
  <si>
    <t>Hide a sheet:</t>
  </si>
  <si>
    <t>Right click on any sheet --&gt; "Hide"</t>
  </si>
  <si>
    <r>
      <t xml:space="preserve">Rate </t>
    </r>
    <r>
      <rPr>
        <sz val="11"/>
        <color theme="1"/>
        <rFont val="Arial"/>
        <family val="2"/>
        <scheme val="minor"/>
      </rPr>
      <t>(Unit Price)</t>
    </r>
  </si>
  <si>
    <r>
      <t>Item</t>
    </r>
    <r>
      <rPr>
        <sz val="11"/>
        <color theme="1"/>
        <rFont val="Arial"/>
        <family val="2"/>
        <scheme val="minor"/>
      </rPr>
      <t xml:space="preserve"> (ID and Description)</t>
    </r>
  </si>
  <si>
    <r>
      <t>Rate</t>
    </r>
    <r>
      <rPr>
        <sz val="11"/>
        <color theme="1"/>
        <rFont val="Arial"/>
        <family val="2"/>
        <scheme val="minor"/>
      </rPr>
      <t xml:space="preserve"> (Unit Price)</t>
    </r>
  </si>
  <si>
    <r>
      <t>Amount</t>
    </r>
    <r>
      <rPr>
        <sz val="11"/>
        <color theme="1"/>
        <rFont val="Arial"/>
        <family val="2"/>
        <scheme val="minor"/>
      </rPr>
      <t xml:space="preserve"> (Cost)</t>
    </r>
  </si>
  <si>
    <t>Entry of project specifications and choice of currencies. Item specifications (categories, units and rates). Shows the quantities used in each model.</t>
  </si>
  <si>
    <t>Ready to use?</t>
  </si>
  <si>
    <t>IMPORTANT: This row must be situated BETWEEN the first and the last row of the template.</t>
  </si>
  <si>
    <t>General remark</t>
  </si>
  <si>
    <t>Dropdown list selection error</t>
  </si>
  <si>
    <t>Button error</t>
  </si>
  <si>
    <t>If the name of a sheet is changed, blue buttons linking to the renamed sheet need to be updated manually: Right click on the button --&gt; "Edit Hyperlink…" and select the sheet in the "Cell Reference".</t>
  </si>
  <si>
    <t>containing values from dropdown lists that have been affected by changes need to be updated manually.</t>
  </si>
  <si>
    <t>One common problem is that cells containing values from dropdown lists do not update automatically when the content of a dropdown list is modified. It is therefore necessary to manually update the cells.</t>
  </si>
  <si>
    <t>You may change (rename, add, delete) items here. Alphabetical sorting ("Data/Sort") is also possible.</t>
  </si>
  <si>
    <t>General information about the use of the Costing Tool including simple troubleshooting and information about hidden and protected sheets/cells.</t>
  </si>
  <si>
    <t>metric tonne</t>
  </si>
  <si>
    <t>Unknown</t>
  </si>
  <si>
    <t>Material incl. transport</t>
  </si>
  <si>
    <t>bags of 50 kg</t>
  </si>
  <si>
    <t>drum</t>
  </si>
  <si>
    <t>ft2</t>
  </si>
  <si>
    <t>wheelbarrows</t>
  </si>
  <si>
    <t>bags</t>
  </si>
  <si>
    <t>ft</t>
  </si>
  <si>
    <r>
      <t>ft</t>
    </r>
    <r>
      <rPr>
        <vertAlign val="superscript"/>
        <sz val="10"/>
        <color theme="1"/>
        <rFont val="Arial"/>
        <family val="2"/>
        <scheme val="minor"/>
      </rPr>
      <t>2</t>
    </r>
  </si>
  <si>
    <t>VIP, Nakuru</t>
  </si>
  <si>
    <t>\\eawag\ea-daten\Abteilungsprojekte\Sandec\CLUES\Toolbox\Work Files\T20 - Sanitation Costing Tool\BoQ Country Data\Kenya\Tom Müller\Costing Tool VIP.xlsx</t>
  </si>
  <si>
    <t>\\eawag\ea-daten\Abteilungsprojekte\Sandec\CLUES\Toolbox\Work Files\T20 - Sanitation Costing Tool\BoQ Country Data\Kenya\Kariuki Mugo\VIP_BOQ.docx</t>
  </si>
  <si>
    <t>Currency 1 (Local) [Kenya: Kenyan shilling (KES)]</t>
  </si>
  <si>
    <t>Masonry stones</t>
  </si>
  <si>
    <t>Sand incl. delivery</t>
  </si>
  <si>
    <t>Stone fixing</t>
  </si>
  <si>
    <t>Cement incl. delivery</t>
  </si>
  <si>
    <t>Paint for walls</t>
  </si>
  <si>
    <t>Timber door (15 x 2.5 cm)</t>
  </si>
  <si>
    <t>Timber frame (10 x 5 cm)</t>
  </si>
  <si>
    <t>Hinges</t>
  </si>
  <si>
    <t>Door lock</t>
  </si>
  <si>
    <t>Painting + treatment</t>
  </si>
  <si>
    <t>Iron mabati (0.7 x 2 m)</t>
  </si>
  <si>
    <t>Timber (10 x 5 cm)</t>
  </si>
  <si>
    <t>Vent pipe</t>
  </si>
  <si>
    <t>Skilled labour</t>
  </si>
  <si>
    <t>Unskilled labour</t>
  </si>
  <si>
    <t>Stones incl. delivery</t>
  </si>
  <si>
    <t>Ballast incl. delivery</t>
  </si>
  <si>
    <t>Water proofing cement</t>
  </si>
  <si>
    <t>Xibagi</t>
  </si>
  <si>
    <t>Wiremesh and transport</t>
  </si>
  <si>
    <t>Timber for formwork 6 by 1</t>
  </si>
  <si>
    <t>Nails 4"</t>
  </si>
  <si>
    <t>Polythene paper as DPM</t>
  </si>
  <si>
    <t>Water for construction</t>
  </si>
  <si>
    <t>Pit excavation (labour, earth disposal)</t>
  </si>
  <si>
    <t>Xipoti sit-on</t>
  </si>
  <si>
    <t>Superstructure masonry stones</t>
  </si>
  <si>
    <t>(blank)</t>
  </si>
  <si>
    <t>Rectangular excavation (4 ft x 3 ft)</t>
  </si>
  <si>
    <t>Masonry lining</t>
  </si>
  <si>
    <t>Cement (pit)</t>
  </si>
  <si>
    <t>Sand (pit)</t>
  </si>
  <si>
    <t>Ballast (pit)</t>
  </si>
  <si>
    <t>Timber support</t>
  </si>
  <si>
    <t>Cement (slab)</t>
  </si>
  <si>
    <t>Sand (slab)</t>
  </si>
  <si>
    <t>Ballast (slab)</t>
  </si>
  <si>
    <t>Timber for mold (6" x 1")</t>
  </si>
  <si>
    <t>Medium mesh (8' x 4')</t>
  </si>
  <si>
    <t>Iron bars (10 mm)</t>
  </si>
  <si>
    <t>Cement (floor)</t>
  </si>
  <si>
    <t>Sand (floor)</t>
  </si>
  <si>
    <t>4" PVC pipe</t>
  </si>
  <si>
    <t>Cover</t>
  </si>
  <si>
    <t>Net for fly trap</t>
  </si>
  <si>
    <t>Masonry stones (structure)</t>
  </si>
  <si>
    <t>Cement (structure)</t>
  </si>
  <si>
    <t>Sand</t>
  </si>
  <si>
    <t>Door</t>
  </si>
  <si>
    <t>Timber 2" x 2"  (roof)</t>
  </si>
  <si>
    <t>Timber 3" x 2" (roof)</t>
  </si>
  <si>
    <t>Iron sheets (roof)</t>
  </si>
  <si>
    <t>Roofing nails (roof)</t>
  </si>
  <si>
    <t>2" nails (roof)</t>
  </si>
  <si>
    <t>tons</t>
  </si>
  <si>
    <t>m2</t>
  </si>
  <si>
    <t>m3</t>
  </si>
  <si>
    <t>1: Masonry stones</t>
  </si>
  <si>
    <t>2: Sand incl. delivery</t>
  </si>
  <si>
    <t>4: Cement incl. delivery</t>
  </si>
  <si>
    <t>6: Paint for walls</t>
  </si>
  <si>
    <t>7: Timber door (15 x 2.5 cm)</t>
  </si>
  <si>
    <t>8: Timber frame (10 x 5 cm)</t>
  </si>
  <si>
    <t>9: Hinges</t>
  </si>
  <si>
    <t>10: Door lock</t>
  </si>
  <si>
    <t>11: Painting + treatment</t>
  </si>
  <si>
    <t>12: Iron mabati (0.7 x 2 m)</t>
  </si>
  <si>
    <t>13: Timber (10 x 5 cm)</t>
  </si>
  <si>
    <t>14: Vent pipe</t>
  </si>
  <si>
    <t>15: Skilled labour</t>
  </si>
  <si>
    <t>16: Unskilled labour</t>
  </si>
  <si>
    <t>17: Stones incl. delivery</t>
  </si>
  <si>
    <t>18: Ballast incl. delivery</t>
  </si>
  <si>
    <t>19: Water proofing cement</t>
  </si>
  <si>
    <t>20: Xibagi</t>
  </si>
  <si>
    <t>21: Wiremesh and transport</t>
  </si>
  <si>
    <t>22: Timber for formwork 6 by 1</t>
  </si>
  <si>
    <t>23: Nails 4"</t>
  </si>
  <si>
    <t>24: Polythene paper as DPM</t>
  </si>
  <si>
    <t>25: Water for construction</t>
  </si>
  <si>
    <t>26: Pit excavation (labour, earth disposal)</t>
  </si>
  <si>
    <t>27: Xipoti sit-on</t>
  </si>
  <si>
    <t>28: Superstructure masonry stones</t>
  </si>
  <si>
    <t>VIP</t>
  </si>
  <si>
    <t>30: Rectangular excavation (4 ft x 3 ft)</t>
  </si>
  <si>
    <t>31: Masonry lining</t>
  </si>
  <si>
    <t>32: Cement (pit)</t>
  </si>
  <si>
    <t>33: Sand (pit)</t>
  </si>
  <si>
    <t>34: Ballast (pit)</t>
  </si>
  <si>
    <t>35: Timber support</t>
  </si>
  <si>
    <t>36: Cement (slab)</t>
  </si>
  <si>
    <t>37: Sand (slab)</t>
  </si>
  <si>
    <t>38: Ballast (slab)</t>
  </si>
  <si>
    <t>39: Timber for mold (6" x 1")</t>
  </si>
  <si>
    <t>40: Medium mesh (8' x 4')</t>
  </si>
  <si>
    <t>41: Iron bars (10 mm)</t>
  </si>
  <si>
    <t>42: Cement (floor)</t>
  </si>
  <si>
    <t>43: Sand (floor)</t>
  </si>
  <si>
    <t>44: 4" PVC pipe</t>
  </si>
  <si>
    <t>45: Cover</t>
  </si>
  <si>
    <t>46: Net for fly trap</t>
  </si>
  <si>
    <t>47: Masonry stones (structure)</t>
  </si>
  <si>
    <t>48: Cement (structure)</t>
  </si>
  <si>
    <t>49: Sand</t>
  </si>
  <si>
    <t>50: Door</t>
  </si>
  <si>
    <t>51: Timber 2" x 2"  (roof)</t>
  </si>
  <si>
    <t>52: Timber 3" x 2" (roof)</t>
  </si>
  <si>
    <t>53: Iron sheets (roof)</t>
  </si>
  <si>
    <t>54: Roofing nails (roof)</t>
  </si>
  <si>
    <t>55: 2" nails (roof)</t>
  </si>
  <si>
    <t>56: Skilled labour</t>
  </si>
  <si>
    <t>57: Unskilled labour</t>
  </si>
  <si>
    <t xml:space="preserve"> Click on one of the buttons to jump to the corresponding sheet.</t>
  </si>
  <si>
    <t>Sanitation Costing Tool: Dropdown Lists</t>
  </si>
  <si>
    <t>: ReadMe</t>
  </si>
  <si>
    <t>Version 2.1 (Januar 2016)</t>
  </si>
  <si>
    <t>Calculation sheet. Do not change anything!</t>
  </si>
  <si>
    <t>Component (Element)</t>
  </si>
  <si>
    <t>If you want to change the content of dropdown lists, do it at the very beginning. It is possible to do it later, but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</si>
</sst>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1"/>
      <name val="Arial"/>
      <family val="2"/>
      <scheme val="minor"/>
    </font>
    <font>
      <i/>
      <sz val="10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38"/>
      <color rgb="FF113854"/>
      <name val="Arial"/>
      <family val="2"/>
      <scheme val="minor"/>
    </font>
    <font>
      <u/>
      <sz val="11"/>
      <color theme="11"/>
      <name val="Arial"/>
      <family val="2"/>
      <scheme val="minor"/>
    </font>
    <font>
      <b/>
      <sz val="24"/>
      <color rgb="FF113854"/>
      <name val="Arial"/>
      <family val="2"/>
      <scheme val="minor"/>
    </font>
    <font>
      <sz val="10"/>
      <color rgb="FF113854"/>
      <name val="Arial"/>
      <family val="2"/>
      <scheme val="minor"/>
    </font>
    <font>
      <sz val="13"/>
      <color rgb="FF113854"/>
      <name val="Arial"/>
      <family val="2"/>
      <scheme val="minor"/>
    </font>
    <font>
      <sz val="10"/>
      <color rgb="FF133E5D"/>
      <name val="Arial"/>
      <family val="2"/>
      <scheme val="minor"/>
    </font>
    <font>
      <b/>
      <sz val="38"/>
      <color rgb="FF15476B"/>
      <name val="Arial"/>
      <family val="2"/>
      <scheme val="minor"/>
    </font>
    <font>
      <b/>
      <sz val="24"/>
      <color rgb="FF15476B"/>
      <name val="Arial"/>
      <family val="2"/>
      <scheme val="minor"/>
    </font>
    <font>
      <b/>
      <sz val="13"/>
      <color rgb="FF15476B"/>
      <name val="Arial"/>
      <family val="2"/>
      <scheme val="minor"/>
    </font>
    <font>
      <i/>
      <sz val="13"/>
      <color rgb="FF15476B"/>
      <name val="Arial"/>
      <family val="2"/>
      <scheme val="minor"/>
    </font>
    <font>
      <sz val="13"/>
      <color rgb="FF15476B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3E8"/>
        <bgColor indexed="64"/>
      </patternFill>
    </fill>
    <fill>
      <patternFill patternType="solid">
        <fgColor rgb="FF024E71"/>
        <bgColor indexed="64"/>
      </patternFill>
    </fill>
    <fill>
      <patternFill patternType="solid">
        <fgColor rgb="FFBBD4EE"/>
        <bgColor indexed="64"/>
      </patternFill>
    </fill>
    <fill>
      <patternFill patternType="solid">
        <fgColor rgb="FF15476B"/>
      </patternFill>
    </fill>
    <fill>
      <patternFill patternType="solid">
        <fgColor rgb="FF15476B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/>
      <top/>
      <bottom style="thin">
        <color theme="0" tint="-0.24994659260841701"/>
      </bottom>
      <diagonal/>
    </border>
    <border>
      <left/>
      <right style="thin">
        <color rgb="FFBFBFBF"/>
      </right>
      <top style="thin">
        <color theme="0" tint="-0.24994659260841701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4659260841701"/>
      </right>
      <top style="thin">
        <color rgb="FFBFBFBF"/>
      </top>
      <bottom/>
      <diagonal/>
    </border>
  </borders>
  <cellStyleXfs count="58">
    <xf numFmtId="0" fontId="0" fillId="0" borderId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>
      <alignment vertical="center"/>
    </xf>
    <xf numFmtId="0" fontId="25" fillId="0" borderId="0">
      <alignment vertical="center"/>
    </xf>
    <xf numFmtId="0" fontId="23" fillId="7" borderId="0">
      <alignment vertical="center"/>
    </xf>
    <xf numFmtId="0" fontId="27" fillId="0" borderId="43" applyBorder="0">
      <alignment horizontal="left"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7" borderId="12" applyBorder="0">
      <alignment horizontal="center"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1" fillId="0" borderId="0" xfId="0" applyFont="1" applyBorder="1"/>
    <xf numFmtId="0" fontId="1" fillId="0" borderId="7" xfId="0" applyFont="1" applyBorder="1"/>
    <xf numFmtId="3" fontId="1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2" fillId="0" borderId="1" xfId="0" applyFont="1" applyBorder="1"/>
    <xf numFmtId="0" fontId="1" fillId="0" borderId="11" xfId="0" applyFont="1" applyBorder="1"/>
    <xf numFmtId="0" fontId="1" fillId="0" borderId="6" xfId="0" applyFont="1" applyBorder="1"/>
    <xf numFmtId="0" fontId="2" fillId="0" borderId="3" xfId="0" applyFont="1" applyBorder="1"/>
    <xf numFmtId="0" fontId="2" fillId="0" borderId="9" xfId="0" applyFont="1" applyBorder="1"/>
    <xf numFmtId="0" fontId="1" fillId="0" borderId="8" xfId="0" applyFont="1" applyBorder="1"/>
    <xf numFmtId="0" fontId="5" fillId="0" borderId="0" xfId="0" applyFont="1"/>
    <xf numFmtId="0" fontId="1" fillId="0" borderId="0" xfId="0" applyFont="1" applyFill="1"/>
    <xf numFmtId="0" fontId="7" fillId="0" borderId="0" xfId="0" applyFont="1"/>
    <xf numFmtId="0" fontId="2" fillId="0" borderId="0" xfId="0" applyFont="1" applyBorder="1"/>
    <xf numFmtId="0" fontId="2" fillId="0" borderId="0" xfId="0" applyFont="1" applyFill="1"/>
    <xf numFmtId="3" fontId="1" fillId="0" borderId="0" xfId="0" applyNumberFormat="1" applyFont="1" applyFill="1"/>
    <xf numFmtId="0" fontId="1" fillId="0" borderId="5" xfId="0" applyFont="1" applyBorder="1"/>
    <xf numFmtId="0" fontId="1" fillId="0" borderId="1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2" xfId="0" applyFont="1" applyBorder="1"/>
    <xf numFmtId="3" fontId="0" fillId="0" borderId="0" xfId="0" applyNumberFormat="1"/>
    <xf numFmtId="3" fontId="2" fillId="0" borderId="12" xfId="0" applyNumberFormat="1" applyFont="1" applyBorder="1"/>
    <xf numFmtId="3" fontId="2" fillId="0" borderId="13" xfId="0" applyNumberFormat="1" applyFon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0" fontId="1" fillId="0" borderId="0" xfId="0" applyFont="1"/>
    <xf numFmtId="0" fontId="2" fillId="0" borderId="0" xfId="0" applyFont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left"/>
    </xf>
    <xf numFmtId="0" fontId="2" fillId="0" borderId="15" xfId="0" applyFont="1" applyBorder="1"/>
    <xf numFmtId="0" fontId="1" fillId="0" borderId="0" xfId="0" applyFont="1" applyBorder="1" applyAlignment="1" applyProtection="1">
      <alignment horizontal="left"/>
    </xf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5" borderId="14" xfId="0" applyFont="1" applyFill="1" applyBorder="1" applyAlignment="1">
      <alignment vertical="center"/>
    </xf>
    <xf numFmtId="0" fontId="13" fillId="5" borderId="14" xfId="0" applyFont="1" applyFill="1" applyBorder="1" applyAlignment="1">
      <alignment vertical="center"/>
    </xf>
    <xf numFmtId="3" fontId="13" fillId="5" borderId="14" xfId="0" applyNumberFormat="1" applyFont="1" applyFill="1" applyBorder="1" applyAlignment="1">
      <alignment vertical="center"/>
    </xf>
    <xf numFmtId="3" fontId="13" fillId="5" borderId="1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24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1" fillId="0" borderId="32" xfId="0" quotePrefix="1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4" fontId="1" fillId="2" borderId="28" xfId="0" applyNumberFormat="1" applyFont="1" applyFill="1" applyBorder="1" applyAlignment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0" fontId="1" fillId="4" borderId="3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vertical="center"/>
    </xf>
    <xf numFmtId="0" fontId="1" fillId="6" borderId="32" xfId="0" applyFont="1" applyFill="1" applyBorder="1" applyAlignment="1" applyProtection="1">
      <alignment vertical="center"/>
      <protection locked="0"/>
    </xf>
    <xf numFmtId="0" fontId="1" fillId="6" borderId="34" xfId="0" applyFont="1" applyFill="1" applyBorder="1" applyAlignment="1" applyProtection="1">
      <alignment vertical="center"/>
      <protection locked="0"/>
    </xf>
    <xf numFmtId="4" fontId="1" fillId="2" borderId="32" xfId="0" applyNumberFormat="1" applyFont="1" applyFill="1" applyBorder="1" applyAlignment="1" applyProtection="1">
      <alignment vertical="center"/>
    </xf>
    <xf numFmtId="0" fontId="1" fillId="2" borderId="32" xfId="0" applyFont="1" applyFill="1" applyBorder="1" applyAlignment="1" applyProtection="1">
      <alignment vertical="center"/>
    </xf>
    <xf numFmtId="0" fontId="1" fillId="4" borderId="3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vertical="center"/>
      <protection locked="0"/>
    </xf>
    <xf numFmtId="0" fontId="1" fillId="6" borderId="37" xfId="0" applyFont="1" applyFill="1" applyBorder="1" applyAlignment="1" applyProtection="1">
      <alignment vertical="center"/>
      <protection locked="0"/>
    </xf>
    <xf numFmtId="0" fontId="1" fillId="6" borderId="38" xfId="0" applyFont="1" applyFill="1" applyBorder="1" applyAlignment="1" applyProtection="1">
      <alignment vertical="center"/>
      <protection locked="0"/>
    </xf>
    <xf numFmtId="4" fontId="1" fillId="6" borderId="36" xfId="0" applyNumberFormat="1" applyFont="1" applyFill="1" applyBorder="1" applyAlignment="1" applyProtection="1">
      <alignment vertical="center"/>
      <protection locked="0"/>
    </xf>
    <xf numFmtId="4" fontId="1" fillId="2" borderId="36" xfId="0" applyNumberFormat="1" applyFont="1" applyFill="1" applyBorder="1" applyAlignment="1" applyProtection="1">
      <alignment vertical="center"/>
    </xf>
    <xf numFmtId="0" fontId="1" fillId="2" borderId="36" xfId="0" applyFont="1" applyFill="1" applyBorder="1" applyAlignment="1" applyProtection="1">
      <alignment vertical="center"/>
    </xf>
    <xf numFmtId="0" fontId="1" fillId="4" borderId="39" xfId="0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14" fontId="0" fillId="0" borderId="4" xfId="0" applyNumberFormat="1" applyFont="1" applyFill="1" applyBorder="1" applyAlignment="1" applyProtection="1">
      <alignment vertical="center"/>
    </xf>
    <xf numFmtId="0" fontId="0" fillId="6" borderId="21" xfId="0" applyFont="1" applyFill="1" applyBorder="1" applyAlignment="1" applyProtection="1">
      <alignment vertical="center"/>
      <protection locked="0"/>
    </xf>
    <xf numFmtId="0" fontId="0" fillId="4" borderId="24" xfId="0" applyFont="1" applyFill="1" applyBorder="1" applyAlignment="1" applyProtection="1">
      <alignment vertical="center"/>
      <protection locked="0"/>
    </xf>
    <xf numFmtId="164" fontId="0" fillId="4" borderId="24" xfId="0" applyNumberFormat="1" applyFont="1" applyFill="1" applyBorder="1" applyAlignment="1" applyProtection="1">
      <alignment horizontal="left" vertical="center"/>
      <protection locked="0"/>
    </xf>
    <xf numFmtId="0" fontId="0" fillId="6" borderId="24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4" fontId="1" fillId="6" borderId="33" xfId="0" applyNumberFormat="1" applyFont="1" applyFill="1" applyBorder="1" applyAlignment="1" applyProtection="1">
      <alignment vertical="center"/>
      <protection locked="0"/>
    </xf>
    <xf numFmtId="0" fontId="1" fillId="4" borderId="32" xfId="0" applyFont="1" applyFill="1" applyBorder="1" applyAlignment="1" applyProtection="1">
      <alignment horizontal="left" vertical="center"/>
      <protection locked="0"/>
    </xf>
    <xf numFmtId="4" fontId="1" fillId="6" borderId="37" xfId="0" applyNumberFormat="1" applyFont="1" applyFill="1" applyBorder="1" applyAlignment="1" applyProtection="1">
      <alignment vertical="center"/>
      <protection locked="0"/>
    </xf>
    <xf numFmtId="0" fontId="1" fillId="4" borderId="3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Protection="1"/>
    <xf numFmtId="4" fontId="0" fillId="0" borderId="0" xfId="0" applyNumberFormat="1" applyProtection="1"/>
    <xf numFmtId="4" fontId="0" fillId="0" borderId="0" xfId="0" applyNumberFormat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14" fillId="0" borderId="19" xfId="0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4" fontId="0" fillId="0" borderId="0" xfId="0" applyNumberFormat="1" applyFont="1" applyBorder="1" applyAlignment="1" applyProtection="1">
      <alignment vertical="center"/>
    </xf>
    <xf numFmtId="0" fontId="15" fillId="6" borderId="28" xfId="0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0" fontId="15" fillId="4" borderId="32" xfId="0" applyFont="1" applyFill="1" applyBorder="1" applyAlignment="1" applyProtection="1">
      <alignment vertical="center"/>
    </xf>
    <xf numFmtId="0" fontId="14" fillId="0" borderId="25" xfId="0" applyFont="1" applyBorder="1" applyAlignment="1" applyProtection="1">
      <alignment vertical="center"/>
    </xf>
    <xf numFmtId="4" fontId="15" fillId="2" borderId="36" xfId="0" applyNumberFormat="1" applyFont="1" applyFill="1" applyBorder="1" applyAlignment="1" applyProtection="1">
      <alignment vertical="center"/>
    </xf>
    <xf numFmtId="4" fontId="0" fillId="0" borderId="0" xfId="0" applyNumberFormat="1" applyBorder="1" applyProtection="1"/>
    <xf numFmtId="4" fontId="14" fillId="0" borderId="28" xfId="0" applyNumberFormat="1" applyFont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4" fontId="0" fillId="0" borderId="36" xfId="0" applyNumberFormat="1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3" fontId="1" fillId="2" borderId="28" xfId="0" applyNumberFormat="1" applyFont="1" applyFill="1" applyBorder="1" applyAlignment="1" applyProtection="1">
      <alignment vertical="center"/>
    </xf>
    <xf numFmtId="4" fontId="1" fillId="2" borderId="31" xfId="0" applyNumberFormat="1" applyFont="1" applyFill="1" applyBorder="1" applyAlignment="1" applyProtection="1">
      <alignment vertical="center"/>
    </xf>
    <xf numFmtId="0" fontId="1" fillId="0" borderId="41" xfId="0" applyFont="1" applyBorder="1" applyAlignment="1" applyProtection="1">
      <alignment vertical="center"/>
    </xf>
    <xf numFmtId="3" fontId="1" fillId="2" borderId="32" xfId="0" applyNumberFormat="1" applyFont="1" applyFill="1" applyBorder="1" applyAlignment="1" applyProtection="1">
      <alignment vertical="center"/>
    </xf>
    <xf numFmtId="4" fontId="1" fillId="2" borderId="35" xfId="0" applyNumberFormat="1" applyFont="1" applyFill="1" applyBorder="1" applyAlignment="1" applyProtection="1">
      <alignment vertical="center"/>
    </xf>
    <xf numFmtId="0" fontId="1" fillId="0" borderId="33" xfId="0" applyFont="1" applyBorder="1" applyAlignment="1" applyProtection="1">
      <alignment vertical="center"/>
    </xf>
    <xf numFmtId="3" fontId="1" fillId="2" borderId="36" xfId="0" applyNumberFormat="1" applyFont="1" applyFill="1" applyBorder="1" applyAlignment="1" applyProtection="1">
      <alignment vertical="center"/>
    </xf>
    <xf numFmtId="4" fontId="1" fillId="2" borderId="39" xfId="0" applyNumberFormat="1" applyFont="1" applyFill="1" applyBorder="1" applyAlignment="1" applyProtection="1">
      <alignment vertical="center"/>
    </xf>
    <xf numFmtId="0" fontId="1" fillId="0" borderId="42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4" fontId="8" fillId="0" borderId="18" xfId="0" applyNumberFormat="1" applyFont="1" applyBorder="1" applyAlignment="1" applyProtection="1">
      <alignment vertical="center"/>
    </xf>
    <xf numFmtId="4" fontId="16" fillId="0" borderId="17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5" fillId="3" borderId="0" xfId="0" applyFont="1" applyFill="1" applyProtection="1"/>
    <xf numFmtId="0" fontId="3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14" fontId="1" fillId="0" borderId="0" xfId="0" applyNumberFormat="1" applyFont="1" applyBorder="1" applyAlignment="1" applyProtection="1"/>
    <xf numFmtId="4" fontId="5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14" fontId="0" fillId="4" borderId="27" xfId="0" applyNumberFormat="1" applyFont="1" applyFill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4" xfId="0" applyNumberFormat="1" applyFont="1" applyBorder="1" applyAlignment="1" applyProtection="1">
      <alignment horizontal="left" vertical="center"/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17" fillId="0" borderId="24" xfId="1" applyBorder="1" applyAlignment="1" applyProtection="1">
      <alignment vertical="center"/>
      <protection locked="0"/>
    </xf>
    <xf numFmtId="4" fontId="1" fillId="6" borderId="28" xfId="0" applyNumberFormat="1" applyFont="1" applyFill="1" applyBorder="1" applyAlignment="1" applyProtection="1">
      <alignment vertical="center"/>
      <protection locked="0"/>
    </xf>
    <xf numFmtId="4" fontId="1" fillId="6" borderId="32" xfId="0" applyNumberFormat="1" applyFont="1" applyFill="1" applyBorder="1" applyAlignment="1" applyProtection="1">
      <alignment vertical="center"/>
      <protection locked="0"/>
    </xf>
    <xf numFmtId="0" fontId="1" fillId="6" borderId="28" xfId="0" applyFont="1" applyFill="1" applyBorder="1" applyAlignment="1" applyProtection="1">
      <alignment vertical="center"/>
      <protection locked="0"/>
    </xf>
    <xf numFmtId="0" fontId="1" fillId="6" borderId="32" xfId="0" applyFont="1" applyFill="1" applyBorder="1" applyAlignment="1" applyProtection="1">
      <alignment vertical="center"/>
      <protection locked="0"/>
    </xf>
    <xf numFmtId="0" fontId="1" fillId="6" borderId="29" xfId="0" applyFont="1" applyFill="1" applyBorder="1" applyAlignment="1" applyProtection="1">
      <alignment vertical="center"/>
      <protection locked="0"/>
    </xf>
    <xf numFmtId="0" fontId="1" fillId="6" borderId="33" xfId="0" applyFont="1" applyFill="1" applyBorder="1" applyAlignment="1" applyProtection="1">
      <alignment vertical="center"/>
      <protection locked="0"/>
    </xf>
    <xf numFmtId="0" fontId="1" fillId="6" borderId="30" xfId="0" applyFont="1" applyFill="1" applyBorder="1" applyAlignment="1" applyProtection="1">
      <alignment vertical="center"/>
      <protection locked="0"/>
    </xf>
    <xf numFmtId="0" fontId="1" fillId="6" borderId="34" xfId="0" applyFont="1" applyFill="1" applyBorder="1" applyAlignment="1" applyProtection="1">
      <alignment vertical="center"/>
      <protection locked="0"/>
    </xf>
    <xf numFmtId="0" fontId="17" fillId="0" borderId="24" xfId="1" applyBorder="1" applyAlignment="1" applyProtection="1">
      <alignment vertical="center"/>
      <protection locked="0"/>
    </xf>
    <xf numFmtId="0" fontId="1" fillId="6" borderId="28" xfId="0" applyFont="1" applyFill="1" applyBorder="1" applyAlignment="1" applyProtection="1">
      <alignment vertical="center"/>
      <protection locked="0"/>
    </xf>
    <xf numFmtId="0" fontId="1" fillId="6" borderId="32" xfId="0" applyFont="1" applyFill="1" applyBorder="1" applyAlignment="1" applyProtection="1">
      <alignment vertical="center"/>
      <protection locked="0"/>
    </xf>
    <xf numFmtId="0" fontId="1" fillId="6" borderId="34" xfId="0" applyFont="1" applyFill="1" applyBorder="1" applyAlignment="1" applyProtection="1">
      <alignment vertical="center"/>
      <protection locked="0"/>
    </xf>
    <xf numFmtId="0" fontId="1" fillId="6" borderId="40" xfId="0" applyFont="1" applyFill="1" applyBorder="1" applyAlignment="1" applyProtection="1">
      <alignment vertical="center"/>
      <protection locked="0"/>
    </xf>
    <xf numFmtId="4" fontId="1" fillId="6" borderId="29" xfId="0" applyNumberFormat="1" applyFont="1" applyFill="1" applyBorder="1" applyAlignment="1" applyProtection="1">
      <alignment vertical="center"/>
      <protection locked="0"/>
    </xf>
    <xf numFmtId="4" fontId="1" fillId="6" borderId="33" xfId="0" applyNumberFormat="1" applyFont="1" applyFill="1" applyBorder="1" applyAlignment="1" applyProtection="1">
      <alignment vertical="center"/>
      <protection locked="0"/>
    </xf>
    <xf numFmtId="0" fontId="17" fillId="0" borderId="24" xfId="1" applyBorder="1" applyAlignment="1" applyProtection="1">
      <alignment vertical="center"/>
      <protection locked="0"/>
    </xf>
    <xf numFmtId="4" fontId="1" fillId="6" borderId="29" xfId="0" applyNumberFormat="1" applyFont="1" applyFill="1" applyBorder="1" applyAlignment="1" applyProtection="1">
      <alignment vertical="center"/>
      <protection locked="0"/>
    </xf>
    <xf numFmtId="4" fontId="1" fillId="6" borderId="33" xfId="0" applyNumberFormat="1" applyFont="1" applyFill="1" applyBorder="1" applyAlignment="1" applyProtection="1">
      <alignment vertical="center"/>
      <protection locked="0"/>
    </xf>
    <xf numFmtId="0" fontId="1" fillId="6" borderId="28" xfId="0" applyFont="1" applyFill="1" applyBorder="1" applyAlignment="1" applyProtection="1">
      <alignment vertical="center"/>
      <protection locked="0"/>
    </xf>
    <xf numFmtId="0" fontId="1" fillId="6" borderId="32" xfId="0" applyFont="1" applyFill="1" applyBorder="1" applyAlignment="1" applyProtection="1">
      <alignment vertical="center"/>
      <protection locked="0"/>
    </xf>
    <xf numFmtId="0" fontId="1" fillId="6" borderId="34" xfId="0" applyFont="1" applyFill="1" applyBorder="1" applyAlignment="1" applyProtection="1">
      <alignment vertical="center"/>
      <protection locked="0"/>
    </xf>
    <xf numFmtId="0" fontId="1" fillId="6" borderId="4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4" fillId="0" borderId="0" xfId="20">
      <alignment vertical="center"/>
    </xf>
    <xf numFmtId="0" fontId="23" fillId="7" borderId="0" xfId="22">
      <alignment vertical="center"/>
    </xf>
    <xf numFmtId="0" fontId="3" fillId="7" borderId="0" xfId="43" applyBorder="1">
      <alignment horizontal="center" vertical="center"/>
    </xf>
    <xf numFmtId="0" fontId="3" fillId="7" borderId="15" xfId="43" applyBorder="1">
      <alignment horizontal="center" vertical="center"/>
    </xf>
    <xf numFmtId="0" fontId="3" fillId="7" borderId="3" xfId="43" applyBorder="1">
      <alignment horizontal="center" vertical="center"/>
    </xf>
    <xf numFmtId="0" fontId="24" fillId="0" borderId="0" xfId="20" applyAlignment="1">
      <alignment vertical="center"/>
    </xf>
    <xf numFmtId="0" fontId="22" fillId="0" borderId="0" xfId="23" applyFont="1" applyBorder="1">
      <alignment horizontal="left" vertical="center"/>
    </xf>
    <xf numFmtId="0" fontId="22" fillId="0" borderId="47" xfId="23" applyFont="1" applyBorder="1" applyAlignment="1">
      <alignment vertical="center"/>
    </xf>
    <xf numFmtId="0" fontId="22" fillId="0" borderId="53" xfId="23" applyFont="1" applyBorder="1" applyAlignment="1">
      <alignment vertical="center"/>
    </xf>
    <xf numFmtId="0" fontId="22" fillId="0" borderId="54" xfId="23" applyFont="1" applyBorder="1" applyAlignment="1">
      <alignment vertical="center"/>
    </xf>
    <xf numFmtId="0" fontId="22" fillId="0" borderId="55" xfId="23" applyFont="1" applyBorder="1" applyAlignment="1">
      <alignment vertical="center"/>
    </xf>
    <xf numFmtId="0" fontId="27" fillId="0" borderId="46" xfId="23" applyBorder="1" applyAlignment="1">
      <alignment horizontal="left" vertical="top"/>
    </xf>
    <xf numFmtId="0" fontId="26" fillId="0" borderId="43" xfId="23" applyFont="1" applyBorder="1">
      <alignment horizontal="left" vertical="center"/>
    </xf>
    <xf numFmtId="0" fontId="26" fillId="0" borderId="45" xfId="23" applyFont="1" applyBorder="1">
      <alignment horizontal="left" vertical="center"/>
    </xf>
    <xf numFmtId="0" fontId="26" fillId="0" borderId="48" xfId="23" applyFont="1" applyBorder="1" applyAlignment="1">
      <alignment horizontal="left" vertical="top"/>
    </xf>
    <xf numFmtId="0" fontId="26" fillId="0" borderId="43" xfId="23" applyFont="1" applyBorder="1" applyAlignment="1">
      <alignment horizontal="left" vertical="top"/>
    </xf>
    <xf numFmtId="0" fontId="26" fillId="0" borderId="45" xfId="23" applyFont="1" applyBorder="1" applyAlignment="1">
      <alignment horizontal="left" vertical="top"/>
    </xf>
    <xf numFmtId="0" fontId="26" fillId="0" borderId="46" xfId="23" applyFont="1" applyBorder="1" applyAlignment="1">
      <alignment horizontal="left" vertical="top"/>
    </xf>
    <xf numFmtId="0" fontId="26" fillId="0" borderId="49" xfId="23" applyFont="1" applyBorder="1">
      <alignment horizontal="left" vertical="center"/>
    </xf>
    <xf numFmtId="0" fontId="26" fillId="0" borderId="52" xfId="23" applyFont="1" applyBorder="1" applyAlignment="1">
      <alignment horizontal="left" vertical="top"/>
    </xf>
    <xf numFmtId="0" fontId="26" fillId="0" borderId="0" xfId="23" applyFont="1" applyBorder="1">
      <alignment horizontal="left" vertical="center"/>
    </xf>
    <xf numFmtId="0" fontId="3" fillId="7" borderId="12" xfId="43" applyBorder="1" applyAlignment="1">
      <alignment horizontal="left" vertical="center"/>
    </xf>
    <xf numFmtId="0" fontId="11" fillId="8" borderId="9" xfId="0" applyFont="1" applyFill="1" applyBorder="1"/>
    <xf numFmtId="0" fontId="11" fillId="8" borderId="10" xfId="0" applyFont="1" applyFill="1" applyBorder="1"/>
    <xf numFmtId="0" fontId="3" fillId="7" borderId="9" xfId="43" applyBorder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8" fillId="0" borderId="0" xfId="23" applyFont="1" applyBorder="1" applyAlignment="1">
      <alignment horizontal="left"/>
    </xf>
    <xf numFmtId="0" fontId="27" fillId="0" borderId="43" xfId="23" applyBorder="1" applyAlignment="1">
      <alignment horizontal="left" vertical="top" wrapText="1"/>
    </xf>
    <xf numFmtId="0" fontId="27" fillId="0" borderId="44" xfId="23" applyBorder="1" applyAlignment="1">
      <alignment horizontal="left" vertical="top" wrapText="1"/>
    </xf>
    <xf numFmtId="0" fontId="27" fillId="0" borderId="46" xfId="23" applyBorder="1" applyAlignment="1">
      <alignment horizontal="left" vertical="top" wrapText="1"/>
    </xf>
    <xf numFmtId="0" fontId="27" fillId="0" borderId="47" xfId="23" applyBorder="1" applyAlignment="1">
      <alignment horizontal="left" vertical="top" wrapText="1"/>
    </xf>
    <xf numFmtId="0" fontId="27" fillId="0" borderId="46" xfId="23" applyFont="1" applyBorder="1" applyAlignment="1">
      <alignment horizontal="left" vertical="top" wrapText="1"/>
    </xf>
    <xf numFmtId="0" fontId="27" fillId="0" borderId="41" xfId="23" applyFont="1" applyBorder="1" applyAlignment="1">
      <alignment horizontal="left" vertical="top" wrapText="1"/>
    </xf>
    <xf numFmtId="0" fontId="25" fillId="0" borderId="0" xfId="21">
      <alignment vertical="center"/>
    </xf>
    <xf numFmtId="0" fontId="27" fillId="0" borderId="46" xfId="23" applyBorder="1" applyAlignment="1">
      <alignment horizontal="left" vertical="top"/>
    </xf>
    <xf numFmtId="0" fontId="27" fillId="0" borderId="47" xfId="23" applyBorder="1" applyAlignment="1">
      <alignment horizontal="left" vertical="top"/>
    </xf>
    <xf numFmtId="0" fontId="27" fillId="0" borderId="50" xfId="23" applyBorder="1" applyAlignment="1">
      <alignment horizontal="left" vertical="top" wrapText="1"/>
    </xf>
    <xf numFmtId="0" fontId="27" fillId="0" borderId="51" xfId="23" applyBorder="1" applyAlignment="1">
      <alignment horizontal="left" vertical="top" wrapText="1"/>
    </xf>
    <xf numFmtId="0" fontId="26" fillId="0" borderId="46" xfId="23" applyFont="1" applyBorder="1">
      <alignment horizontal="left" vertical="center"/>
    </xf>
    <xf numFmtId="0" fontId="26" fillId="0" borderId="41" xfId="23" applyFont="1" applyBorder="1">
      <alignment horizontal="left" vertical="center"/>
    </xf>
    <xf numFmtId="0" fontId="26" fillId="0" borderId="47" xfId="23" applyFont="1" applyBorder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7" fillId="0" borderId="50" xfId="23" applyBorder="1">
      <alignment horizontal="left" vertical="center"/>
    </xf>
    <xf numFmtId="0" fontId="27" fillId="0" borderId="33" xfId="23" applyBorder="1">
      <alignment horizontal="left" vertical="center"/>
    </xf>
    <xf numFmtId="0" fontId="27" fillId="0" borderId="51" xfId="23" applyBorder="1">
      <alignment horizontal="left" vertical="center"/>
    </xf>
    <xf numFmtId="0" fontId="27" fillId="0" borderId="43" xfId="23" applyBorder="1">
      <alignment horizontal="left" vertical="center"/>
    </xf>
    <xf numFmtId="0" fontId="27" fillId="0" borderId="42" xfId="23" applyBorder="1">
      <alignment horizontal="left" vertical="center"/>
    </xf>
    <xf numFmtId="0" fontId="27" fillId="0" borderId="44" xfId="23" applyBorder="1">
      <alignment horizontal="left" vertical="center"/>
    </xf>
    <xf numFmtId="0" fontId="27" fillId="0" borderId="46" xfId="23" applyBorder="1">
      <alignment horizontal="left" vertical="center"/>
    </xf>
    <xf numFmtId="0" fontId="27" fillId="0" borderId="41" xfId="23" applyBorder="1">
      <alignment horizontal="left" vertical="center"/>
    </xf>
    <xf numFmtId="0" fontId="27" fillId="0" borderId="47" xfId="23" applyBorder="1">
      <alignment horizontal="left" vertical="center"/>
    </xf>
    <xf numFmtId="0" fontId="24" fillId="0" borderId="0" xfId="20">
      <alignment vertical="center"/>
    </xf>
    <xf numFmtId="0" fontId="14" fillId="0" borderId="22" xfId="0" applyFont="1" applyBorder="1" applyAlignment="1" applyProtection="1">
      <alignment horizontal="left"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</xf>
    <xf numFmtId="0" fontId="3" fillId="7" borderId="12" xfId="43" applyBorder="1">
      <alignment horizontal="center" vertical="center"/>
    </xf>
    <xf numFmtId="0" fontId="3" fillId="7" borderId="14" xfId="43" applyBorder="1">
      <alignment horizontal="center" vertical="center"/>
    </xf>
    <xf numFmtId="0" fontId="3" fillId="7" borderId="13" xfId="43" applyBorder="1">
      <alignment horizontal="center" vertical="center"/>
    </xf>
    <xf numFmtId="0" fontId="14" fillId="0" borderId="19" xfId="0" applyFont="1" applyBorder="1" applyAlignment="1" applyProtection="1">
      <alignment horizontal="left" vertical="center"/>
    </xf>
    <xf numFmtId="0" fontId="14" fillId="0" borderId="20" xfId="0" applyFont="1" applyBorder="1" applyAlignment="1" applyProtection="1">
      <alignment horizontal="left" vertical="center"/>
    </xf>
    <xf numFmtId="0" fontId="15" fillId="6" borderId="30" xfId="0" applyFont="1" applyFill="1" applyBorder="1" applyAlignment="1" applyProtection="1">
      <alignment horizontal="left" vertical="center"/>
    </xf>
    <xf numFmtId="0" fontId="15" fillId="6" borderId="31" xfId="0" applyFont="1" applyFill="1" applyBorder="1" applyAlignment="1" applyProtection="1">
      <alignment horizontal="left" vertical="center"/>
    </xf>
    <xf numFmtId="0" fontId="15" fillId="4" borderId="34" xfId="0" applyFont="1" applyFill="1" applyBorder="1" applyAlignment="1" applyProtection="1">
      <alignment horizontal="left" vertical="center"/>
    </xf>
    <xf numFmtId="0" fontId="15" fillId="4" borderId="35" xfId="0" applyFont="1" applyFill="1" applyBorder="1" applyAlignment="1" applyProtection="1">
      <alignment horizontal="left" vertical="center"/>
    </xf>
    <xf numFmtId="4" fontId="15" fillId="2" borderId="38" xfId="0" applyNumberFormat="1" applyFont="1" applyFill="1" applyBorder="1" applyAlignment="1" applyProtection="1">
      <alignment horizontal="left" vertical="center"/>
    </xf>
    <xf numFmtId="4" fontId="15" fillId="2" borderId="39" xfId="0" applyNumberFormat="1" applyFont="1" applyFill="1" applyBorder="1" applyAlignment="1" applyProtection="1">
      <alignment horizontal="left" vertical="center"/>
    </xf>
    <xf numFmtId="4" fontId="15" fillId="0" borderId="1" xfId="0" applyNumberFormat="1" applyFont="1" applyFill="1" applyBorder="1" applyAlignment="1" applyProtection="1">
      <alignment horizontal="center" vertical="center"/>
    </xf>
    <xf numFmtId="4" fontId="15" fillId="0" borderId="3" xfId="0" applyNumberFormat="1" applyFont="1" applyFill="1" applyBorder="1" applyAlignment="1" applyProtection="1">
      <alignment horizontal="center" vertical="center"/>
    </xf>
    <xf numFmtId="4" fontId="15" fillId="0" borderId="6" xfId="0" applyNumberFormat="1" applyFont="1" applyFill="1" applyBorder="1" applyAlignment="1" applyProtection="1">
      <alignment horizontal="center" vertical="center"/>
    </xf>
    <xf numFmtId="4" fontId="15" fillId="0" borderId="8" xfId="0" applyNumberFormat="1" applyFont="1" applyFill="1" applyBorder="1" applyAlignment="1" applyProtection="1">
      <alignment horizontal="center" vertical="center"/>
    </xf>
    <xf numFmtId="0" fontId="3" fillId="7" borderId="1" xfId="43" applyBorder="1">
      <alignment horizontal="center" vertical="center"/>
    </xf>
    <xf numFmtId="0" fontId="3" fillId="7" borderId="2" xfId="43" applyBorder="1">
      <alignment horizontal="center" vertical="center"/>
    </xf>
    <xf numFmtId="0" fontId="3" fillId="7" borderId="3" xfId="43" applyBorder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/>
    </xf>
    <xf numFmtId="4" fontId="15" fillId="0" borderId="4" xfId="0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/>
    </xf>
    <xf numFmtId="4" fontId="15" fillId="0" borderId="7" xfId="0" applyNumberFormat="1" applyFont="1" applyFill="1" applyBorder="1" applyAlignment="1" applyProtection="1">
      <alignment horizontal="center" vertical="center"/>
    </xf>
    <xf numFmtId="0" fontId="24" fillId="0" borderId="0" xfId="20" applyAlignment="1">
      <alignment horizontal="left" vertical="center"/>
    </xf>
    <xf numFmtId="0" fontId="27" fillId="0" borderId="0" xfId="23" applyBorder="1">
      <alignment horizontal="left" vertical="center"/>
    </xf>
    <xf numFmtId="3" fontId="10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</cellXfs>
  <cellStyles count="58">
    <cellStyle name="Blue" xfId="22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Hyperlink" xfId="1" builtinId="8"/>
    <cellStyle name="Normal" xfId="0" builtinId="0"/>
    <cellStyle name="Table" xfId="43"/>
    <cellStyle name="Text 13" xfId="23"/>
    <cellStyle name="Title large" xfId="20"/>
    <cellStyle name="Title small" xfId="21"/>
  </cellStyles>
  <dxfs count="1">
    <dxf>
      <fill>
        <patternFill>
          <bgColor rgb="FFBBD4EE"/>
        </patternFill>
      </fill>
    </dxf>
  </dxfs>
  <tableStyles count="0" defaultTableStyle="TableStyleMedium2" defaultPivotStyle="PivotStyleLight16"/>
  <colors>
    <mruColors>
      <color rgb="FF113854"/>
      <color rgb="FF15476B"/>
      <color rgb="FFBCE3E8"/>
      <color rgb="FF024E71"/>
      <color rgb="FFBBD4EE"/>
      <color rgb="FF35A0DA"/>
      <color rgb="FF41BAC5"/>
      <color rgb="FFC5BA41"/>
      <color rgb="FF055D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Calculations!$P$37</c:f>
          <c:strCache>
            <c:ptCount val="1"/>
            <c:pt idx="0">
              <c:v>Model 1 - Cost according to Item Categories</c:v>
            </c:pt>
          </c:strCache>
        </c:strRef>
      </c:tx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Lbls>
            <c:numFmt formatCode="General" sourceLinked="0"/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[0]!Model1Category</c:f>
              <c:strCache>
                <c:ptCount val="4"/>
                <c:pt idx="0">
                  <c:v>Material</c:v>
                </c:pt>
                <c:pt idx="1">
                  <c:v>Material incl. transport</c:v>
                </c:pt>
                <c:pt idx="2">
                  <c:v>Labour</c:v>
                </c:pt>
                <c:pt idx="3">
                  <c:v>Unknown</c:v>
                </c:pt>
              </c:strCache>
            </c:strRef>
          </c:cat>
          <c:val>
            <c:numRef>
              <c:f>[0]!Model1CategorySubtotal</c:f>
              <c:numCache>
                <c:formatCode>#,##0</c:formatCode>
                <c:ptCount val="4"/>
                <c:pt idx="0">
                  <c:v>18065.610225</c:v>
                </c:pt>
                <c:pt idx="1">
                  <c:v>28850.87</c:v>
                </c:pt>
                <c:pt idx="2">
                  <c:v>22283</c:v>
                </c:pt>
                <c:pt idx="3">
                  <c:v>40632.130000000005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Calculations!$P$39</c:f>
          <c:strCache>
            <c:ptCount val="1"/>
            <c:pt idx="0">
              <c:v>Model 1 - Cost according to Components (Elements)</c:v>
            </c:pt>
          </c:strCache>
        </c:strRef>
      </c:tx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Lbls>
            <c:numFmt formatCode="General" sourceLinked="0"/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[0]!Model1Component</c:f>
              <c:strCache>
                <c:ptCount val="3"/>
                <c:pt idx="0">
                  <c:v>Substructure</c:v>
                </c:pt>
                <c:pt idx="1">
                  <c:v>Superstructure</c:v>
                </c:pt>
                <c:pt idx="2">
                  <c:v>Unknown</c:v>
                </c:pt>
              </c:strCache>
            </c:strRef>
          </c:cat>
          <c:val>
            <c:numRef>
              <c:f>[0]!Model1ComponentSubtotal</c:f>
              <c:numCache>
                <c:formatCode>#,##0</c:formatCode>
                <c:ptCount val="3"/>
                <c:pt idx="0">
                  <c:v>78475.616000000009</c:v>
                </c:pt>
                <c:pt idx="1">
                  <c:v>31355.994224999999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Calculations!$P$38</c:f>
          <c:strCache>
            <c:ptCount val="1"/>
            <c:pt idx="0">
              <c:v>Model 2 - Cost according to Item Categories</c:v>
            </c:pt>
          </c:strCache>
        </c:strRef>
      </c:tx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Lbls>
            <c:numFmt formatCode="General" sourceLinked="0"/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[0]!Model1Category</c:f>
              <c:strCache>
                <c:ptCount val="4"/>
                <c:pt idx="0">
                  <c:v>Material</c:v>
                </c:pt>
                <c:pt idx="1">
                  <c:v>Material incl. transport</c:v>
                </c:pt>
                <c:pt idx="2">
                  <c:v>Labour</c:v>
                </c:pt>
                <c:pt idx="3">
                  <c:v>Unknown</c:v>
                </c:pt>
              </c:strCache>
            </c:strRef>
          </c:cat>
          <c:val>
            <c:numRef>
              <c:f>[0]!Model2CategorySubtotal</c:f>
              <c:numCache>
                <c:formatCode>#,##0</c:formatCode>
                <c:ptCount val="4"/>
                <c:pt idx="0">
                  <c:v>54805</c:v>
                </c:pt>
                <c:pt idx="1">
                  <c:v>0</c:v>
                </c:pt>
                <c:pt idx="2">
                  <c:v>9900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Calculations!$P$40</c:f>
          <c:strCache>
            <c:ptCount val="1"/>
            <c:pt idx="0">
              <c:v>Model 2 - Cost according to Components (Elements)</c:v>
            </c:pt>
          </c:strCache>
        </c:strRef>
      </c:tx>
      <c:overlay val="0"/>
      <c:txPr>
        <a:bodyPr/>
        <a:lstStyle/>
        <a:p>
          <a:pPr>
            <a:defRPr/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Lbls>
            <c:numFmt formatCode="General" sourceLinked="0"/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[0]!Model1Component</c:f>
              <c:strCache>
                <c:ptCount val="3"/>
                <c:pt idx="0">
                  <c:v>Substructure</c:v>
                </c:pt>
                <c:pt idx="1">
                  <c:v>Superstructure</c:v>
                </c:pt>
                <c:pt idx="2">
                  <c:v>Unknown</c:v>
                </c:pt>
              </c:strCache>
            </c:strRef>
          </c:cat>
          <c:val>
            <c:numRef>
              <c:f>[0]!Model2ComponentSubtotal</c:f>
              <c:numCache>
                <c:formatCode>#,##0</c:formatCode>
                <c:ptCount val="3"/>
                <c:pt idx="0">
                  <c:v>36950</c:v>
                </c:pt>
                <c:pt idx="1">
                  <c:v>17855</c:v>
                </c:pt>
                <c:pt idx="2">
                  <c:v>9900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Calculations!$P$18</c:f>
              <c:strCache>
                <c:ptCount val="1"/>
                <c:pt idx="0">
                  <c:v>Model 1</c:v>
                </c:pt>
              </c:strCache>
            </c:strRef>
          </c:tx>
          <c:invertIfNegative val="0"/>
          <c:cat>
            <c:strRef>
              <c:f>[0]!Model1Category2</c:f>
              <c:strCache>
                <c:ptCount val="5"/>
                <c:pt idx="0">
                  <c:v>TOTAL</c:v>
                </c:pt>
                <c:pt idx="1">
                  <c:v>Material</c:v>
                </c:pt>
                <c:pt idx="2">
                  <c:v>Material incl. transport</c:v>
                </c:pt>
                <c:pt idx="3">
                  <c:v>Labour</c:v>
                </c:pt>
                <c:pt idx="4">
                  <c:v>Unknown</c:v>
                </c:pt>
              </c:strCache>
            </c:strRef>
          </c:cat>
          <c:val>
            <c:numRef>
              <c:f>[0]!Model1CategorySubtotal2</c:f>
              <c:numCache>
                <c:formatCode>#,##0</c:formatCode>
                <c:ptCount val="5"/>
                <c:pt idx="0">
                  <c:v>109831.61022500001</c:v>
                </c:pt>
                <c:pt idx="1">
                  <c:v>18065.610225</c:v>
                </c:pt>
                <c:pt idx="2">
                  <c:v>28850.87</c:v>
                </c:pt>
                <c:pt idx="3">
                  <c:v>22283</c:v>
                </c:pt>
                <c:pt idx="4">
                  <c:v>40632.130000000005</c:v>
                </c:pt>
              </c:numCache>
            </c:numRef>
          </c:val>
        </c:ser>
        <c:ser>
          <c:idx val="1"/>
          <c:order val="1"/>
          <c:tx>
            <c:strRef>
              <c:f>Calculations!$P$19</c:f>
              <c:strCache>
                <c:ptCount val="1"/>
                <c:pt idx="0">
                  <c:v>Model 2</c:v>
                </c:pt>
              </c:strCache>
            </c:strRef>
          </c:tx>
          <c:invertIfNegative val="0"/>
          <c:cat>
            <c:strRef>
              <c:f>[0]!Model1Category2</c:f>
              <c:strCache>
                <c:ptCount val="5"/>
                <c:pt idx="0">
                  <c:v>TOTAL</c:v>
                </c:pt>
                <c:pt idx="1">
                  <c:v>Material</c:v>
                </c:pt>
                <c:pt idx="2">
                  <c:v>Material incl. transport</c:v>
                </c:pt>
                <c:pt idx="3">
                  <c:v>Labour</c:v>
                </c:pt>
                <c:pt idx="4">
                  <c:v>Unknown</c:v>
                </c:pt>
              </c:strCache>
            </c:strRef>
          </c:cat>
          <c:val>
            <c:numRef>
              <c:f>[0]!Model2CategorySubtotal2</c:f>
              <c:numCache>
                <c:formatCode>#,##0</c:formatCode>
                <c:ptCount val="5"/>
                <c:pt idx="0">
                  <c:v>64705</c:v>
                </c:pt>
                <c:pt idx="1">
                  <c:v>54805</c:v>
                </c:pt>
                <c:pt idx="2">
                  <c:v>0</c:v>
                </c:pt>
                <c:pt idx="3">
                  <c:v>9900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419072"/>
        <c:axId val="76420608"/>
      </c:barChart>
      <c:catAx>
        <c:axId val="76419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e-DE"/>
          </a:p>
        </c:txPr>
        <c:crossAx val="76420608"/>
        <c:crosses val="autoZero"/>
        <c:auto val="1"/>
        <c:lblAlgn val="ctr"/>
        <c:lblOffset val="100"/>
        <c:noMultiLvlLbl val="0"/>
      </c:catAx>
      <c:valAx>
        <c:axId val="76420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de-DE"/>
          </a:p>
        </c:txPr>
        <c:crossAx val="76419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Calculations!$P$18</c:f>
              <c:strCache>
                <c:ptCount val="1"/>
                <c:pt idx="0">
                  <c:v>Model 1</c:v>
                </c:pt>
              </c:strCache>
            </c:strRef>
          </c:tx>
          <c:invertIfNegative val="0"/>
          <c:cat>
            <c:strRef>
              <c:f>[0]!Model1Component2</c:f>
              <c:strCache>
                <c:ptCount val="4"/>
                <c:pt idx="0">
                  <c:v>TOTAL</c:v>
                </c:pt>
                <c:pt idx="1">
                  <c:v>Substructure</c:v>
                </c:pt>
                <c:pt idx="2">
                  <c:v>Superstructure</c:v>
                </c:pt>
                <c:pt idx="3">
                  <c:v>Unknown</c:v>
                </c:pt>
              </c:strCache>
            </c:strRef>
          </c:cat>
          <c:val>
            <c:numRef>
              <c:f>[0]!Model1ComponentSubtotal2</c:f>
              <c:numCache>
                <c:formatCode>#,##0</c:formatCode>
                <c:ptCount val="4"/>
                <c:pt idx="0">
                  <c:v>109831.61022500001</c:v>
                </c:pt>
                <c:pt idx="1">
                  <c:v>78475.616000000009</c:v>
                </c:pt>
                <c:pt idx="2">
                  <c:v>31355.994224999999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Calculations!$P$19</c:f>
              <c:strCache>
                <c:ptCount val="1"/>
                <c:pt idx="0">
                  <c:v>Model 2</c:v>
                </c:pt>
              </c:strCache>
            </c:strRef>
          </c:tx>
          <c:invertIfNegative val="0"/>
          <c:cat>
            <c:strRef>
              <c:f>[0]!Model1Component2</c:f>
              <c:strCache>
                <c:ptCount val="4"/>
                <c:pt idx="0">
                  <c:v>TOTAL</c:v>
                </c:pt>
                <c:pt idx="1">
                  <c:v>Substructure</c:v>
                </c:pt>
                <c:pt idx="2">
                  <c:v>Superstructure</c:v>
                </c:pt>
                <c:pt idx="3">
                  <c:v>Unknown</c:v>
                </c:pt>
              </c:strCache>
            </c:strRef>
          </c:cat>
          <c:val>
            <c:numRef>
              <c:f>[0]!Model2ComponentSubtotal2</c:f>
              <c:numCache>
                <c:formatCode>#,##0</c:formatCode>
                <c:ptCount val="4"/>
                <c:pt idx="0">
                  <c:v>64705</c:v>
                </c:pt>
                <c:pt idx="1">
                  <c:v>36950</c:v>
                </c:pt>
                <c:pt idx="2">
                  <c:v>17855</c:v>
                </c:pt>
                <c:pt idx="3">
                  <c:v>9900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437376"/>
        <c:axId val="76438912"/>
      </c:barChart>
      <c:catAx>
        <c:axId val="7643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e-DE"/>
          </a:p>
        </c:txPr>
        <c:crossAx val="76438912"/>
        <c:crosses val="autoZero"/>
        <c:auto val="1"/>
        <c:lblAlgn val="ctr"/>
        <c:lblOffset val="100"/>
        <c:noMultiLvlLbl val="0"/>
      </c:catAx>
      <c:valAx>
        <c:axId val="76438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e-DE"/>
          </a:p>
        </c:txPr>
        <c:crossAx val="76437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odel 1'!A1"/><Relationship Id="rId2" Type="http://schemas.openxmlformats.org/officeDocument/2006/relationships/hyperlink" Target="#'Item Prices &amp; Rates'!A1"/><Relationship Id="rId1" Type="http://schemas.openxmlformats.org/officeDocument/2006/relationships/hyperlink" Target="#'Dropdown Lists'!A1"/><Relationship Id="rId5" Type="http://schemas.openxmlformats.org/officeDocument/2006/relationships/image" Target="../media/image1.jpg"/><Relationship Id="rId4" Type="http://schemas.openxmlformats.org/officeDocument/2006/relationships/hyperlink" Target="#'Model 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eadMe!A1"/><Relationship Id="rId2" Type="http://schemas.openxmlformats.org/officeDocument/2006/relationships/hyperlink" Target="#'Model 1'!A1"/><Relationship Id="rId1" Type="http://schemas.openxmlformats.org/officeDocument/2006/relationships/hyperlink" Target="#'Item Prices &amp; Rates'!A1"/><Relationship Id="rId5" Type="http://schemas.openxmlformats.org/officeDocument/2006/relationships/image" Target="../media/image1.jpg"/><Relationship Id="rId4" Type="http://schemas.openxmlformats.org/officeDocument/2006/relationships/hyperlink" Target="#'Model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ropdown Lists'!A1"/><Relationship Id="rId2" Type="http://schemas.openxmlformats.org/officeDocument/2006/relationships/hyperlink" Target="#ReadMe!A1"/><Relationship Id="rId1" Type="http://schemas.openxmlformats.org/officeDocument/2006/relationships/hyperlink" Target="#'Model 2'!A1"/><Relationship Id="rId5" Type="http://schemas.openxmlformats.org/officeDocument/2006/relationships/image" Target="../media/image1.jpg"/><Relationship Id="rId4" Type="http://schemas.openxmlformats.org/officeDocument/2006/relationships/hyperlink" Target="#'Model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Dropdown Lists'!A1"/><Relationship Id="rId7" Type="http://schemas.openxmlformats.org/officeDocument/2006/relationships/hyperlink" Target="#'Item Prices &amp; Rates'!A1"/><Relationship Id="rId2" Type="http://schemas.openxmlformats.org/officeDocument/2006/relationships/hyperlink" Target="#ReadMe!A1"/><Relationship Id="rId1" Type="http://schemas.openxmlformats.org/officeDocument/2006/relationships/chart" Target="../charts/chart1.xml"/><Relationship Id="rId6" Type="http://schemas.openxmlformats.org/officeDocument/2006/relationships/image" Target="../media/image1.jpg"/><Relationship Id="rId5" Type="http://schemas.openxmlformats.org/officeDocument/2006/relationships/chart" Target="../charts/chart2.xml"/><Relationship Id="rId4" Type="http://schemas.openxmlformats.org/officeDocument/2006/relationships/hyperlink" Target="#Compariso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Dropdown Lists'!A1"/><Relationship Id="rId7" Type="http://schemas.openxmlformats.org/officeDocument/2006/relationships/hyperlink" Target="#'Item Prices &amp; Rates'!A1"/><Relationship Id="rId2" Type="http://schemas.openxmlformats.org/officeDocument/2006/relationships/hyperlink" Target="#ReadMe!A1"/><Relationship Id="rId1" Type="http://schemas.openxmlformats.org/officeDocument/2006/relationships/chart" Target="../charts/chart3.xml"/><Relationship Id="rId6" Type="http://schemas.openxmlformats.org/officeDocument/2006/relationships/image" Target="../media/image1.jpg"/><Relationship Id="rId5" Type="http://schemas.openxmlformats.org/officeDocument/2006/relationships/chart" Target="../charts/chart4.xml"/><Relationship Id="rId4" Type="http://schemas.openxmlformats.org/officeDocument/2006/relationships/hyperlink" Target="#Comparison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0</xdr:rowOff>
    </xdr:from>
    <xdr:to>
      <xdr:col>3</xdr:col>
      <xdr:colOff>1638300</xdr:colOff>
      <xdr:row>25</xdr:row>
      <xdr:rowOff>0</xdr:rowOff>
    </xdr:to>
    <xdr:sp macro="" textlink="Calculations!P28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209550" y="3333750"/>
          <a:ext cx="1628775" cy="485775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E02953C-5880-4A62-93D8-5C7E0EB2BC68}" type="TxLink">
            <a:rPr lang="en-US" sz="13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Dropdown Lists</a:t>
          </a:fld>
          <a:endParaRPr lang="en-US" sz="13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4</xdr:col>
      <xdr:colOff>1638300</xdr:colOff>
      <xdr:row>25</xdr:row>
      <xdr:rowOff>0</xdr:rowOff>
    </xdr:to>
    <xdr:sp macro="" textlink="Calculations!P29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038350" y="3333750"/>
          <a:ext cx="1628775" cy="485775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9CB038F-E7FE-4532-B3EE-9F780B7A4928}" type="TxLink">
            <a:rPr lang="en-US" sz="13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Item Prices &amp; Rates</a:t>
          </a:fld>
          <a:endParaRPr lang="en-US" sz="13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1628775</xdr:colOff>
      <xdr:row>36</xdr:row>
      <xdr:rowOff>0</xdr:rowOff>
    </xdr:to>
    <xdr:sp macro="" textlink="Calculations!P29">
      <xdr:nvSpPr>
        <xdr:cNvPr id="5" name="Rectangle 4">
          <a:hlinkClick xmlns:r="http://schemas.openxmlformats.org/officeDocument/2006/relationships" r:id="rId2"/>
        </xdr:cNvPr>
        <xdr:cNvSpPr/>
      </xdr:nvSpPr>
      <xdr:spPr>
        <a:xfrm>
          <a:off x="200025" y="5457825"/>
          <a:ext cx="1628775" cy="485775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3D4D816-219A-4864-9ECC-150C84A66453}" type="TxLink">
            <a:rPr lang="en-US" sz="13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Item Prices &amp; Rates</a:t>
          </a:fld>
          <a:endParaRPr lang="en-US" sz="13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9525</xdr:colOff>
      <xdr:row>35</xdr:row>
      <xdr:rowOff>9525</xdr:rowOff>
    </xdr:from>
    <xdr:to>
      <xdr:col>4</xdr:col>
      <xdr:colOff>1638300</xdr:colOff>
      <xdr:row>36</xdr:row>
      <xdr:rowOff>9525</xdr:rowOff>
    </xdr:to>
    <xdr:sp macro="" textlink="Calculations!P30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2038350" y="5467350"/>
          <a:ext cx="1628775" cy="485775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1FD47D8-BD33-4307-B609-AA175FF70333}" type="TxLink">
            <a:rPr lang="en-US" sz="13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Model 1</a:t>
          </a:fld>
          <a:endParaRPr lang="en-US" sz="13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9525</xdr:colOff>
      <xdr:row>35</xdr:row>
      <xdr:rowOff>9525</xdr:rowOff>
    </xdr:from>
    <xdr:to>
      <xdr:col>5</xdr:col>
      <xdr:colOff>1638300</xdr:colOff>
      <xdr:row>36</xdr:row>
      <xdr:rowOff>9525</xdr:rowOff>
    </xdr:to>
    <xdr:sp macro="" textlink="Calculations!P31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6499225" y="13331825"/>
          <a:ext cx="1628775" cy="457200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DED92B7-92EB-4E73-A10C-6DF9274D9FC6}" type="TxLink">
            <a:rPr lang="en-US" sz="13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Model 2</a:t>
          </a:fld>
          <a:endParaRPr lang="en-US" sz="13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368300</xdr:colOff>
      <xdr:row>1</xdr:row>
      <xdr:rowOff>50800</xdr:rowOff>
    </xdr:from>
    <xdr:to>
      <xdr:col>8</xdr:col>
      <xdr:colOff>12700</xdr:colOff>
      <xdr:row>1</xdr:row>
      <xdr:rowOff>602871</xdr:rowOff>
    </xdr:to>
    <xdr:pic>
      <xdr:nvPicPr>
        <xdr:cNvPr id="8" name="Picture 9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91"/>
        <a:stretch/>
      </xdr:blipFill>
      <xdr:spPr>
        <a:xfrm>
          <a:off x="12484100" y="317500"/>
          <a:ext cx="2006600" cy="552071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15011</xdr:colOff>
      <xdr:row>6</xdr:row>
      <xdr:rowOff>26290</xdr:rowOff>
    </xdr:from>
    <xdr:to>
      <xdr:col>12</xdr:col>
      <xdr:colOff>12700</xdr:colOff>
      <xdr:row>8</xdr:row>
      <xdr:rowOff>16990</xdr:rowOff>
    </xdr:to>
    <xdr:sp macro="" textlink="Calculations!P29">
      <xdr:nvSpPr>
        <xdr:cNvPr id="14" name="Rectangle 13">
          <a:hlinkClick xmlns:r="http://schemas.openxmlformats.org/officeDocument/2006/relationships" r:id="rId1"/>
        </xdr:cNvPr>
        <xdr:cNvSpPr/>
      </xdr:nvSpPr>
      <xdr:spPr>
        <a:xfrm>
          <a:off x="13096011" y="1969390"/>
          <a:ext cx="2067789" cy="498700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3F20F19-0F29-4E83-B24D-167D9CB7C4C7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Item Prices &amp; Rates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2939</xdr:colOff>
      <xdr:row>9</xdr:row>
      <xdr:rowOff>4387</xdr:rowOff>
    </xdr:from>
    <xdr:to>
      <xdr:col>10</xdr:col>
      <xdr:colOff>1364</xdr:colOff>
      <xdr:row>10</xdr:row>
      <xdr:rowOff>241343</xdr:rowOff>
    </xdr:to>
    <xdr:sp macro="" textlink="Calculations!P30">
      <xdr:nvSpPr>
        <xdr:cNvPr id="15" name="Rectangle 14">
          <a:hlinkClick xmlns:r="http://schemas.openxmlformats.org/officeDocument/2006/relationships" r:id="rId2"/>
        </xdr:cNvPr>
        <xdr:cNvSpPr/>
      </xdr:nvSpPr>
      <xdr:spPr>
        <a:xfrm>
          <a:off x="8561500" y="1946558"/>
          <a:ext cx="1629291" cy="483212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3BACCD8-356D-4596-81C6-8686BC95156D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Model 1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15553</xdr:colOff>
      <xdr:row>6</xdr:row>
      <xdr:rowOff>12701</xdr:rowOff>
    </xdr:from>
    <xdr:to>
      <xdr:col>10</xdr:col>
      <xdr:colOff>0</xdr:colOff>
      <xdr:row>8</xdr:row>
      <xdr:rowOff>12379</xdr:rowOff>
    </xdr:to>
    <xdr:sp macro="" textlink="Calculations!P27">
      <xdr:nvSpPr>
        <xdr:cNvPr id="16" name="Rectangle 15">
          <a:hlinkClick xmlns:r="http://schemas.openxmlformats.org/officeDocument/2006/relationships" r:id="rId3"/>
        </xdr:cNvPr>
        <xdr:cNvSpPr/>
      </xdr:nvSpPr>
      <xdr:spPr>
        <a:xfrm>
          <a:off x="10810553" y="1955801"/>
          <a:ext cx="2041847" cy="507678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874E333-CC3C-4BB2-BB7B-8C1A22EBB4A9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ReadMe</a:t>
          </a:fld>
          <a:endParaRPr lang="en-US" sz="130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6860</xdr:colOff>
      <xdr:row>9</xdr:row>
      <xdr:rowOff>7030</xdr:rowOff>
    </xdr:from>
    <xdr:to>
      <xdr:col>12</xdr:col>
      <xdr:colOff>0</xdr:colOff>
      <xdr:row>10</xdr:row>
      <xdr:rowOff>246367</xdr:rowOff>
    </xdr:to>
    <xdr:sp macro="" textlink="Calculations!P31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12935460" y="3029630"/>
          <a:ext cx="1898140" cy="493337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AC9159C-6C72-4F0F-B1B9-48166080D48F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Model 2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63500</xdr:colOff>
      <xdr:row>1</xdr:row>
      <xdr:rowOff>50800</xdr:rowOff>
    </xdr:from>
    <xdr:to>
      <xdr:col>12</xdr:col>
      <xdr:colOff>0</xdr:colOff>
      <xdr:row>1</xdr:row>
      <xdr:rowOff>602871</xdr:rowOff>
    </xdr:to>
    <xdr:pic>
      <xdr:nvPicPr>
        <xdr:cNvPr id="9" name="Picture 9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91"/>
        <a:stretch/>
      </xdr:blipFill>
      <xdr:spPr>
        <a:xfrm>
          <a:off x="13144500" y="317500"/>
          <a:ext cx="2006600" cy="552071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2841392</xdr:colOff>
      <xdr:row>7</xdr:row>
      <xdr:rowOff>10159</xdr:rowOff>
    </xdr:from>
    <xdr:to>
      <xdr:col>11</xdr:col>
      <xdr:colOff>4622799</xdr:colOff>
      <xdr:row>8</xdr:row>
      <xdr:rowOff>162560</xdr:rowOff>
    </xdr:to>
    <xdr:sp macro="" textlink="Calculations!P31">
      <xdr:nvSpPr>
        <xdr:cNvPr id="8" name="Rectangle 7">
          <a:hlinkClick xmlns:r="http://schemas.openxmlformats.org/officeDocument/2006/relationships" r:id="rId1"/>
        </xdr:cNvPr>
        <xdr:cNvSpPr/>
      </xdr:nvSpPr>
      <xdr:spPr>
        <a:xfrm>
          <a:off x="20684892" y="2067559"/>
          <a:ext cx="1781407" cy="469901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BDDE017-DBDC-4EBC-98FD-94491353BA04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Model 2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621082</xdr:colOff>
      <xdr:row>5</xdr:row>
      <xdr:rowOff>6238</xdr:rowOff>
    </xdr:from>
    <xdr:to>
      <xdr:col>11</xdr:col>
      <xdr:colOff>2400299</xdr:colOff>
      <xdr:row>6</xdr:row>
      <xdr:rowOff>172720</xdr:rowOff>
    </xdr:to>
    <xdr:sp macro="" textlink="Calculations!P27">
      <xdr:nvSpPr>
        <xdr:cNvPr id="9" name="Rectangle 8">
          <a:hlinkClick xmlns:r="http://schemas.openxmlformats.org/officeDocument/2006/relationships" r:id="rId2"/>
        </xdr:cNvPr>
        <xdr:cNvSpPr/>
      </xdr:nvSpPr>
      <xdr:spPr>
        <a:xfrm>
          <a:off x="18464582" y="1454038"/>
          <a:ext cx="1779217" cy="483982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ACE69E8-2D80-45EC-9438-46C24711BD4D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ReadMe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2833604</xdr:colOff>
      <xdr:row>5</xdr:row>
      <xdr:rowOff>12700</xdr:rowOff>
    </xdr:from>
    <xdr:to>
      <xdr:col>11</xdr:col>
      <xdr:colOff>4632959</xdr:colOff>
      <xdr:row>6</xdr:row>
      <xdr:rowOff>172720</xdr:rowOff>
    </xdr:to>
    <xdr:sp macro="" textlink="Calculations!P28">
      <xdr:nvSpPr>
        <xdr:cNvPr id="10" name="Rectangle 9">
          <a:hlinkClick xmlns:r="http://schemas.openxmlformats.org/officeDocument/2006/relationships" r:id="rId3"/>
        </xdr:cNvPr>
        <xdr:cNvSpPr/>
      </xdr:nvSpPr>
      <xdr:spPr>
        <a:xfrm>
          <a:off x="20677104" y="1460500"/>
          <a:ext cx="1799355" cy="477520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C900C7E-F8C7-4B32-B030-6900DF68EAE3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Dropdown Lists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624432</xdr:colOff>
      <xdr:row>7</xdr:row>
      <xdr:rowOff>2540</xdr:rowOff>
    </xdr:from>
    <xdr:to>
      <xdr:col>11</xdr:col>
      <xdr:colOff>2413000</xdr:colOff>
      <xdr:row>8</xdr:row>
      <xdr:rowOff>164480</xdr:rowOff>
    </xdr:to>
    <xdr:sp macro="" textlink="Calculations!P30">
      <xdr:nvSpPr>
        <xdr:cNvPr id="11" name="Rectangle 10">
          <a:hlinkClick xmlns:r="http://schemas.openxmlformats.org/officeDocument/2006/relationships" r:id="rId4"/>
        </xdr:cNvPr>
        <xdr:cNvSpPr/>
      </xdr:nvSpPr>
      <xdr:spPr>
        <a:xfrm>
          <a:off x="18467932" y="2059940"/>
          <a:ext cx="1788568" cy="479440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96FEBE2-2719-48BB-A166-15331CFCB3BF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Model 1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2565400</xdr:colOff>
      <xdr:row>1</xdr:row>
      <xdr:rowOff>63500</xdr:rowOff>
    </xdr:from>
    <xdr:to>
      <xdr:col>11</xdr:col>
      <xdr:colOff>4572000</xdr:colOff>
      <xdr:row>1</xdr:row>
      <xdr:rowOff>615571</xdr:rowOff>
    </xdr:to>
    <xdr:pic>
      <xdr:nvPicPr>
        <xdr:cNvPr id="12" name="Picture 9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91"/>
        <a:stretch/>
      </xdr:blipFill>
      <xdr:spPr>
        <a:xfrm>
          <a:off x="20408900" y="330200"/>
          <a:ext cx="2006600" cy="552071"/>
        </a:xfrm>
        <a:prstGeom prst="rect">
          <a:avLst/>
        </a:prstGeom>
        <a:ln w="635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9034</xdr:colOff>
      <xdr:row>70</xdr:row>
      <xdr:rowOff>6109</xdr:rowOff>
    </xdr:from>
    <xdr:to>
      <xdr:col>7</xdr:col>
      <xdr:colOff>575606</xdr:colOff>
      <xdr:row>118</xdr:row>
      <xdr:rowOff>137252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7371</xdr:colOff>
      <xdr:row>6</xdr:row>
      <xdr:rowOff>15999</xdr:rowOff>
    </xdr:from>
    <xdr:to>
      <xdr:col>7</xdr:col>
      <xdr:colOff>431801</xdr:colOff>
      <xdr:row>8</xdr:row>
      <xdr:rowOff>5260</xdr:rowOff>
    </xdr:to>
    <xdr:sp macro="" textlink="Calculations!P27">
      <xdr:nvSpPr>
        <xdr:cNvPr id="10" name="Rectangle 9">
          <a:hlinkClick xmlns:r="http://schemas.openxmlformats.org/officeDocument/2006/relationships" r:id="rId2"/>
        </xdr:cNvPr>
        <xdr:cNvSpPr/>
      </xdr:nvSpPr>
      <xdr:spPr>
        <a:xfrm>
          <a:off x="8986271" y="2111499"/>
          <a:ext cx="1897630" cy="497261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B28E5C3-AAF4-414B-931A-17C407C660B6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ReadMe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997390</xdr:colOff>
      <xdr:row>6</xdr:row>
      <xdr:rowOff>15994</xdr:rowOff>
    </xdr:from>
    <xdr:to>
      <xdr:col>8</xdr:col>
      <xdr:colOff>1356780</xdr:colOff>
      <xdr:row>8</xdr:row>
      <xdr:rowOff>5255</xdr:rowOff>
    </xdr:to>
    <xdr:sp macro="" textlink="Calculations!P28">
      <xdr:nvSpPr>
        <xdr:cNvPr id="11" name="Rectangle 10">
          <a:hlinkClick xmlns:r="http://schemas.openxmlformats.org/officeDocument/2006/relationships" r:id="rId3"/>
        </xdr:cNvPr>
        <xdr:cNvSpPr/>
      </xdr:nvSpPr>
      <xdr:spPr>
        <a:xfrm>
          <a:off x="11449490" y="2111494"/>
          <a:ext cx="1832590" cy="497261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757DA3B-BDCE-4447-AE17-841756DC596C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Dropdown Lists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1172762</xdr:colOff>
      <xdr:row>6</xdr:row>
      <xdr:rowOff>16896</xdr:rowOff>
    </xdr:from>
    <xdr:to>
      <xdr:col>9</xdr:col>
      <xdr:colOff>3022599</xdr:colOff>
      <xdr:row>8</xdr:row>
      <xdr:rowOff>6157</xdr:rowOff>
    </xdr:to>
    <xdr:sp macro="" textlink="Calculations!P32">
      <xdr:nvSpPr>
        <xdr:cNvPr id="12" name="Rectangle 11">
          <a:hlinkClick xmlns:r="http://schemas.openxmlformats.org/officeDocument/2006/relationships" r:id="rId4"/>
        </xdr:cNvPr>
        <xdr:cNvSpPr/>
      </xdr:nvSpPr>
      <xdr:spPr>
        <a:xfrm>
          <a:off x="16120662" y="2112396"/>
          <a:ext cx="1849837" cy="497261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64B7E8E-35A2-40F9-895E-F46CE494D496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Comparison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3011</xdr:colOff>
      <xdr:row>70</xdr:row>
      <xdr:rowOff>0</xdr:rowOff>
    </xdr:from>
    <xdr:to>
      <xdr:col>13</xdr:col>
      <xdr:colOff>3454296</xdr:colOff>
      <xdr:row>118</xdr:row>
      <xdr:rowOff>131143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2032000</xdr:colOff>
      <xdr:row>1</xdr:row>
      <xdr:rowOff>50800</xdr:rowOff>
    </xdr:from>
    <xdr:to>
      <xdr:col>14</xdr:col>
      <xdr:colOff>0</xdr:colOff>
      <xdr:row>1</xdr:row>
      <xdr:rowOff>602871</xdr:rowOff>
    </xdr:to>
    <xdr:pic>
      <xdr:nvPicPr>
        <xdr:cNvPr id="14" name="Picture 9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91"/>
        <a:stretch/>
      </xdr:blipFill>
      <xdr:spPr>
        <a:xfrm>
          <a:off x="20002500" y="317500"/>
          <a:ext cx="2006600" cy="552071"/>
        </a:xfrm>
        <a:prstGeom prst="rect">
          <a:avLst/>
        </a:prstGeom>
        <a:ln w="6350">
          <a:noFill/>
        </a:ln>
      </xdr:spPr>
    </xdr:pic>
    <xdr:clientData/>
  </xdr:twoCellAnchor>
  <xdr:twoCellAnchor>
    <xdr:from>
      <xdr:col>8</xdr:col>
      <xdr:colOff>1739900</xdr:colOff>
      <xdr:row>6</xdr:row>
      <xdr:rowOff>12700</xdr:rowOff>
    </xdr:from>
    <xdr:to>
      <xdr:col>9</xdr:col>
      <xdr:colOff>785089</xdr:colOff>
      <xdr:row>8</xdr:row>
      <xdr:rowOff>3400</xdr:rowOff>
    </xdr:to>
    <xdr:sp macro="" textlink="Calculations!P29">
      <xdr:nvSpPr>
        <xdr:cNvPr id="16" name="Rectangle 15">
          <a:hlinkClick xmlns:r="http://schemas.openxmlformats.org/officeDocument/2006/relationships" r:id="rId7"/>
        </xdr:cNvPr>
        <xdr:cNvSpPr/>
      </xdr:nvSpPr>
      <xdr:spPr>
        <a:xfrm>
          <a:off x="13665200" y="1790700"/>
          <a:ext cx="2067789" cy="498700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3F20F19-0F29-4E83-B24D-167D9CB7C4C7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Item Prices &amp; Rates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70</xdr:row>
      <xdr:rowOff>2400</xdr:rowOff>
    </xdr:from>
    <xdr:to>
      <xdr:col>7</xdr:col>
      <xdr:colOff>566572</xdr:colOff>
      <xdr:row>118</xdr:row>
      <xdr:rowOff>133543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1460500</xdr:colOff>
      <xdr:row>6</xdr:row>
      <xdr:rowOff>17180</xdr:rowOff>
    </xdr:from>
    <xdr:to>
      <xdr:col>7</xdr:col>
      <xdr:colOff>457200</xdr:colOff>
      <xdr:row>8</xdr:row>
      <xdr:rowOff>6441</xdr:rowOff>
    </xdr:to>
    <xdr:sp macro="" textlink="Calculations!P27">
      <xdr:nvSpPr>
        <xdr:cNvPr id="5" name="Rectangle 4">
          <a:hlinkClick xmlns:r="http://schemas.openxmlformats.org/officeDocument/2006/relationships" r:id="rId2"/>
        </xdr:cNvPr>
        <xdr:cNvSpPr/>
      </xdr:nvSpPr>
      <xdr:spPr>
        <a:xfrm>
          <a:off x="8966200" y="2112680"/>
          <a:ext cx="1943100" cy="497261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27D9767-77CF-4788-B880-857417FE834C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ReadMe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982974</xdr:colOff>
      <xdr:row>6</xdr:row>
      <xdr:rowOff>17180</xdr:rowOff>
    </xdr:from>
    <xdr:to>
      <xdr:col>8</xdr:col>
      <xdr:colOff>1346200</xdr:colOff>
      <xdr:row>8</xdr:row>
      <xdr:rowOff>6441</xdr:rowOff>
    </xdr:to>
    <xdr:sp macro="" textlink="Calculations!P28">
      <xdr:nvSpPr>
        <xdr:cNvPr id="6" name="Rectangle 5">
          <a:hlinkClick xmlns:r="http://schemas.openxmlformats.org/officeDocument/2006/relationships" r:id="rId3"/>
        </xdr:cNvPr>
        <xdr:cNvSpPr/>
      </xdr:nvSpPr>
      <xdr:spPr>
        <a:xfrm>
          <a:off x="11435074" y="2112680"/>
          <a:ext cx="1836426" cy="497261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550739A-3359-4378-A372-E9F35FB284CC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Dropdown Lists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1168400</xdr:colOff>
      <xdr:row>6</xdr:row>
      <xdr:rowOff>14971</xdr:rowOff>
    </xdr:from>
    <xdr:to>
      <xdr:col>9</xdr:col>
      <xdr:colOff>3009900</xdr:colOff>
      <xdr:row>8</xdr:row>
      <xdr:rowOff>4232</xdr:rowOff>
    </xdr:to>
    <xdr:sp macro="" textlink="Calculations!P32">
      <xdr:nvSpPr>
        <xdr:cNvPr id="7" name="Rectangle 6">
          <a:hlinkClick xmlns:r="http://schemas.openxmlformats.org/officeDocument/2006/relationships" r:id="rId4"/>
        </xdr:cNvPr>
        <xdr:cNvSpPr/>
      </xdr:nvSpPr>
      <xdr:spPr>
        <a:xfrm>
          <a:off x="16116300" y="2110471"/>
          <a:ext cx="1841500" cy="497261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567D0D5-D8F1-4647-AF03-F92AC35CDBD9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Comparison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1265463</xdr:colOff>
      <xdr:row>70</xdr:row>
      <xdr:rowOff>0</xdr:rowOff>
    </xdr:from>
    <xdr:to>
      <xdr:col>13</xdr:col>
      <xdr:colOff>3451284</xdr:colOff>
      <xdr:row>118</xdr:row>
      <xdr:rowOff>131143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2032000</xdr:colOff>
      <xdr:row>1</xdr:row>
      <xdr:rowOff>50800</xdr:rowOff>
    </xdr:from>
    <xdr:to>
      <xdr:col>14</xdr:col>
      <xdr:colOff>0</xdr:colOff>
      <xdr:row>1</xdr:row>
      <xdr:rowOff>602871</xdr:rowOff>
    </xdr:to>
    <xdr:pic>
      <xdr:nvPicPr>
        <xdr:cNvPr id="9" name="Picture 9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91"/>
        <a:stretch/>
      </xdr:blipFill>
      <xdr:spPr>
        <a:xfrm>
          <a:off x="20002500" y="317500"/>
          <a:ext cx="2006600" cy="552071"/>
        </a:xfrm>
        <a:prstGeom prst="rect">
          <a:avLst/>
        </a:prstGeom>
        <a:ln w="6350">
          <a:noFill/>
        </a:ln>
      </xdr:spPr>
    </xdr:pic>
    <xdr:clientData/>
  </xdr:twoCellAnchor>
  <xdr:twoCellAnchor>
    <xdr:from>
      <xdr:col>8</xdr:col>
      <xdr:colOff>1778000</xdr:colOff>
      <xdr:row>6</xdr:row>
      <xdr:rowOff>12700</xdr:rowOff>
    </xdr:from>
    <xdr:to>
      <xdr:col>9</xdr:col>
      <xdr:colOff>823189</xdr:colOff>
      <xdr:row>8</xdr:row>
      <xdr:rowOff>3400</xdr:rowOff>
    </xdr:to>
    <xdr:sp macro="" textlink="Calculations!P29">
      <xdr:nvSpPr>
        <xdr:cNvPr id="10" name="Rectangle 9">
          <a:hlinkClick xmlns:r="http://schemas.openxmlformats.org/officeDocument/2006/relationships" r:id="rId7"/>
        </xdr:cNvPr>
        <xdr:cNvSpPr/>
      </xdr:nvSpPr>
      <xdr:spPr>
        <a:xfrm>
          <a:off x="13703300" y="1790700"/>
          <a:ext cx="2067789" cy="498700"/>
        </a:xfrm>
        <a:prstGeom prst="rect">
          <a:avLst/>
        </a:prstGeom>
        <a:solidFill>
          <a:srgbClr val="113854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63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3F20F19-0F29-4E83-B24D-167D9CB7C4C7}" type="TxLink">
            <a:rPr lang="en-US" sz="1300" b="1" i="0" u="none" strike="noStrike">
              <a:solidFill>
                <a:srgbClr val="FFFFFF"/>
              </a:solidFill>
              <a:latin typeface="Arial"/>
              <a:cs typeface="Arial"/>
            </a:rPr>
            <a:pPr algn="ctr"/>
            <a:t>Item Prices &amp; Rates</a:t>
          </a:fld>
          <a:endParaRPr lang="en-US" sz="13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22222</xdr:colOff>
      <xdr:row>9</xdr:row>
      <xdr:rowOff>0</xdr:rowOff>
    </xdr:from>
    <xdr:to>
      <xdr:col>5</xdr:col>
      <xdr:colOff>0</xdr:colOff>
      <xdr:row>42</xdr:row>
      <xdr:rowOff>4800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22222</xdr:colOff>
      <xdr:row>47</xdr:row>
      <xdr:rowOff>0</xdr:rowOff>
    </xdr:from>
    <xdr:to>
      <xdr:col>4</xdr:col>
      <xdr:colOff>5080000</xdr:colOff>
      <xdr:row>80</xdr:row>
      <xdr:rowOff>4800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2133600</xdr:colOff>
      <xdr:row>1</xdr:row>
      <xdr:rowOff>88900</xdr:rowOff>
    </xdr:from>
    <xdr:to>
      <xdr:col>5</xdr:col>
      <xdr:colOff>0</xdr:colOff>
      <xdr:row>2</xdr:row>
      <xdr:rowOff>5971</xdr:rowOff>
    </xdr:to>
    <xdr:pic>
      <xdr:nvPicPr>
        <xdr:cNvPr id="4" name="Picture 9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91"/>
        <a:stretch/>
      </xdr:blipFill>
      <xdr:spPr>
        <a:xfrm>
          <a:off x="10579100" y="355600"/>
          <a:ext cx="2006600" cy="552071"/>
        </a:xfrm>
        <a:prstGeom prst="rect">
          <a:avLst/>
        </a:prstGeom>
        <a:ln w="635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awag">
  <a:themeElements>
    <a:clrScheme name="Eawag_blau">
      <a:dk1>
        <a:srgbClr val="323232"/>
      </a:dk1>
      <a:lt1>
        <a:srgbClr val="FFFFFF"/>
      </a:lt1>
      <a:dk2>
        <a:srgbClr val="323232"/>
      </a:dk2>
      <a:lt2>
        <a:srgbClr val="AEDFF4"/>
      </a:lt2>
      <a:accent1>
        <a:srgbClr val="AEDFF4"/>
      </a:accent1>
      <a:accent2>
        <a:srgbClr val="00ADDD"/>
      </a:accent2>
      <a:accent3>
        <a:srgbClr val="FFFFFF"/>
      </a:accent3>
      <a:accent4>
        <a:srgbClr val="292929"/>
      </a:accent4>
      <a:accent5>
        <a:srgbClr val="D3ECF8"/>
      </a:accent5>
      <a:accent6>
        <a:srgbClr val="009CC8"/>
      </a:accent6>
      <a:hlink>
        <a:srgbClr val="005572"/>
      </a:hlink>
      <a:folHlink>
        <a:srgbClr val="AEDFF4"/>
      </a:folHlink>
    </a:clrScheme>
    <a:fontScheme name="Eawag_bla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file:///C:\Users\eawag\ea-daten\Abteilungsprojekte\Sandec\CLUES\Toolbox\Work%20Files\T20%20-%20Sanitation%20Costing%20Tool\BoQ%20Country%20Data\Kenya\Kariuki%20Mugo\VIP_BOQ.docx" TargetMode="External"/><Relationship Id="rId1" Type="http://schemas.openxmlformats.org/officeDocument/2006/relationships/hyperlink" Target="file:///C:\Users\eawag\ea-daten\Abteilungsprojekte\Sandec\CLUES\Toolbox\Work%20Files\T20%20-%20Sanitation%20Costing%20Tool\BoQ%20Country%20Data\Kenya\Tom%20M%25C3%25BCller\Costing%20Tool%20VIP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file:///C:\Users\eawag\ea-daten\Abteilungsprojekte\Sandec\CLUES\Toolbox\Work%20Files\T20%20-%20Sanitation%20Costing%20Tool\BoQ%20Country%20Data\Kenya\Tom%20M%25C3%25BCller\Costing%20Tool%20VIP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file:///C:\Users\eawag\ea-daten\Abteilungsprojekte\Sandec\CLUES\Toolbox\Work%20Files\T20%20-%20Sanitation%20Costing%20Tool\BoQ%20Country%20Data\Kenya\Kariuki%20Mugo\VIP_BOQ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9"/>
  <sheetViews>
    <sheetView tabSelected="1" workbookViewId="0"/>
  </sheetViews>
  <sheetFormatPr defaultColWidth="11.296875" defaultRowHeight="13.2" x14ac:dyDescent="0.25"/>
  <cols>
    <col min="1" max="1" width="7" style="35" customWidth="1"/>
    <col min="2" max="2" width="0.59765625" style="35" customWidth="1"/>
    <col min="3" max="3" width="4.3984375" style="35" customWidth="1"/>
    <col min="4" max="4" width="31.296875" style="35" customWidth="1"/>
    <col min="5" max="5" width="29.69921875" style="35" customWidth="1"/>
    <col min="6" max="6" width="36.8984375" style="35" customWidth="1"/>
    <col min="7" max="7" width="26.3984375" style="35" customWidth="1"/>
    <col min="8" max="8" width="26.59765625" style="35" customWidth="1"/>
    <col min="9" max="16384" width="11.296875" style="35"/>
  </cols>
  <sheetData>
    <row r="1" spans="1:8" ht="21" customHeight="1" x14ac:dyDescent="0.25">
      <c r="B1" s="190"/>
      <c r="D1" s="184"/>
      <c r="E1" s="184"/>
    </row>
    <row r="2" spans="1:8" ht="49.95" customHeight="1" x14ac:dyDescent="0.3">
      <c r="B2" s="190"/>
      <c r="D2" s="189" t="s">
        <v>141</v>
      </c>
      <c r="F2" s="189" t="s">
        <v>290</v>
      </c>
      <c r="G2" s="215" t="s">
        <v>291</v>
      </c>
    </row>
    <row r="3" spans="1:8" ht="16.95" customHeight="1" x14ac:dyDescent="0.25">
      <c r="B3" s="190"/>
    </row>
    <row r="4" spans="1:8" ht="4.05" customHeight="1" x14ac:dyDescent="0.25">
      <c r="A4" s="190"/>
      <c r="B4" s="190"/>
      <c r="C4" s="190"/>
      <c r="D4" s="190"/>
      <c r="E4" s="190"/>
      <c r="F4" s="190"/>
      <c r="G4" s="190"/>
      <c r="H4" s="190"/>
    </row>
    <row r="5" spans="1:8" s="47" customFormat="1" ht="49.05" customHeight="1" x14ac:dyDescent="0.25">
      <c r="A5" s="190"/>
      <c r="B5" s="190"/>
      <c r="D5" s="222" t="s">
        <v>75</v>
      </c>
      <c r="E5" s="222"/>
      <c r="F5" s="222"/>
    </row>
    <row r="6" spans="1:8" s="47" customFormat="1" ht="12" customHeight="1" x14ac:dyDescent="0.25">
      <c r="A6" s="186"/>
      <c r="B6" s="190"/>
      <c r="D6" s="185"/>
      <c r="E6" s="185"/>
      <c r="F6" s="185"/>
    </row>
    <row r="7" spans="1:8" s="47" customFormat="1" ht="30" customHeight="1" x14ac:dyDescent="0.25">
      <c r="B7" s="190"/>
      <c r="D7" s="203" t="s">
        <v>108</v>
      </c>
      <c r="E7" s="223" t="s">
        <v>75</v>
      </c>
      <c r="F7" s="224"/>
    </row>
    <row r="8" spans="1:8" s="47" customFormat="1" ht="45" customHeight="1" x14ac:dyDescent="0.25">
      <c r="B8" s="190"/>
      <c r="D8" s="204" t="str">
        <f ca="1">Calculations!P15</f>
        <v>ReadMe</v>
      </c>
      <c r="E8" s="225" t="s">
        <v>161</v>
      </c>
      <c r="F8" s="226"/>
    </row>
    <row r="9" spans="1:8" s="47" customFormat="1" ht="45" customHeight="1" x14ac:dyDescent="0.25">
      <c r="B9" s="190"/>
      <c r="D9" s="205" t="str">
        <f ca="1">Calculations!P16</f>
        <v>Dropdown Lists</v>
      </c>
      <c r="E9" s="225" t="str">
        <f>"Possibility of modifying the content of dropdown lists ("&amp;'Dropdown Lists'!D13&amp;" , "&amp;'Dropdown Lists'!F13&amp;" , "&amp;'Dropdown Lists'!H13&amp;" , "&amp;'Dropdown Lists'!J13&amp;" and "&amp;'Dropdown Lists'!L13&amp;") that are used in subsequent sheets."</f>
        <v>Possibility of modifying the content of dropdown lists (Country , Currency , Item Category , Unit and Component (Element)) that are used in subsequent sheets.</v>
      </c>
      <c r="F9" s="226"/>
    </row>
    <row r="10" spans="1:8" s="47" customFormat="1" ht="40.950000000000003" customHeight="1" x14ac:dyDescent="0.25">
      <c r="B10" s="190"/>
      <c r="D10" s="205" t="str">
        <f ca="1">Calculations!P17</f>
        <v>Item Prices &amp; Rates</v>
      </c>
      <c r="E10" s="225" t="s">
        <v>151</v>
      </c>
      <c r="F10" s="226"/>
    </row>
    <row r="11" spans="1:8" s="47" customFormat="1" ht="43.95" customHeight="1" x14ac:dyDescent="0.25">
      <c r="B11" s="190"/>
      <c r="D11" s="205" t="str">
        <f ca="1">Calculations!P18&amp;" &amp; "&amp;Calculations!P19</f>
        <v>Model 1 &amp; Model 2</v>
      </c>
      <c r="E11" s="225" t="str">
        <f>"Bill of Quantities (BoQ) for a particular model. Graphical comparison of costs according to "&amp;'Model 1'!D16&amp;" and "&amp;'Model 1'!F16&amp;"."</f>
        <v>Bill of Quantities (BoQ) for a particular model. Graphical comparison of costs according to Component (Element) and Item Category.</v>
      </c>
      <c r="F11" s="226"/>
    </row>
    <row r="12" spans="1:8" s="47" customFormat="1" ht="28.95" customHeight="1" x14ac:dyDescent="0.25">
      <c r="B12" s="190"/>
      <c r="D12" s="205" t="str">
        <f ca="1">Calculations!P20</f>
        <v>Comparison</v>
      </c>
      <c r="E12" s="225" t="str">
        <f ca="1">"Graphical cost comparison of """&amp;Calculations!P18&amp;""" and """&amp;Calculations!P19&amp;"""."</f>
        <v>Graphical cost comparison of "Model 1" and "Model 2".</v>
      </c>
      <c r="F12" s="226"/>
    </row>
    <row r="13" spans="1:8" s="47" customFormat="1" ht="25.05" customHeight="1" x14ac:dyDescent="0.25">
      <c r="B13" s="190"/>
      <c r="D13" s="206" t="str">
        <f ca="1">"("&amp;Calculations!P21&amp;")"</f>
        <v>(Calculations)</v>
      </c>
      <c r="E13" s="225" t="s">
        <v>76</v>
      </c>
      <c r="F13" s="226"/>
    </row>
    <row r="14" spans="1:8" ht="19.05" customHeight="1" x14ac:dyDescent="0.25">
      <c r="B14" s="190"/>
    </row>
    <row r="15" spans="1:8" ht="4.05" customHeight="1" x14ac:dyDescent="0.25">
      <c r="A15" s="190"/>
      <c r="B15" s="190"/>
      <c r="C15" s="190"/>
      <c r="D15" s="190"/>
      <c r="E15" s="190"/>
      <c r="F15" s="190"/>
      <c r="G15" s="190"/>
      <c r="H15" s="190"/>
    </row>
    <row r="16" spans="1:8" s="47" customFormat="1" ht="49.05" customHeight="1" x14ac:dyDescent="0.25">
      <c r="A16" s="190"/>
      <c r="B16" s="190"/>
      <c r="D16" s="222" t="s">
        <v>78</v>
      </c>
      <c r="E16" s="222"/>
      <c r="F16" s="222"/>
    </row>
    <row r="17" spans="1:8" s="47" customFormat="1" ht="12" customHeight="1" x14ac:dyDescent="0.25">
      <c r="B17" s="190"/>
      <c r="D17" s="230"/>
      <c r="E17" s="230"/>
      <c r="F17" s="230"/>
    </row>
    <row r="18" spans="1:8" s="47" customFormat="1" ht="18" customHeight="1" x14ac:dyDescent="0.25">
      <c r="B18" s="190"/>
      <c r="D18" s="227" t="s">
        <v>77</v>
      </c>
      <c r="E18" s="228"/>
      <c r="F18" s="229"/>
    </row>
    <row r="19" spans="1:8" ht="18" customHeight="1" x14ac:dyDescent="0.25">
      <c r="B19" s="190"/>
    </row>
    <row r="20" spans="1:8" ht="4.05" customHeight="1" x14ac:dyDescent="0.25">
      <c r="A20" s="190"/>
      <c r="B20" s="190"/>
      <c r="C20" s="190"/>
      <c r="D20" s="190"/>
      <c r="E20" s="190"/>
      <c r="F20" s="190"/>
      <c r="G20" s="190"/>
      <c r="H20" s="190"/>
    </row>
    <row r="21" spans="1:8" s="47" customFormat="1" ht="49.05" customHeight="1" x14ac:dyDescent="0.25">
      <c r="A21" s="190"/>
      <c r="B21" s="190"/>
      <c r="D21" s="222" t="s">
        <v>152</v>
      </c>
      <c r="E21" s="222"/>
      <c r="F21" s="222"/>
    </row>
    <row r="22" spans="1:8" ht="12" customHeight="1" x14ac:dyDescent="0.25">
      <c r="B22" s="190"/>
    </row>
    <row r="23" spans="1:8" ht="21" customHeight="1" x14ac:dyDescent="0.25">
      <c r="B23" s="190"/>
      <c r="D23" s="209" t="s">
        <v>288</v>
      </c>
    </row>
    <row r="24" spans="1:8" ht="21" customHeight="1" x14ac:dyDescent="0.25">
      <c r="B24" s="190"/>
    </row>
    <row r="25" spans="1:8" ht="42" customHeight="1" x14ac:dyDescent="0.25">
      <c r="B25" s="190"/>
    </row>
    <row r="26" spans="1:8" ht="18" customHeight="1" x14ac:dyDescent="0.25">
      <c r="B26" s="190"/>
    </row>
    <row r="27" spans="1:8" ht="4.05" customHeight="1" x14ac:dyDescent="0.25">
      <c r="A27" s="190"/>
      <c r="B27" s="190"/>
      <c r="C27" s="190"/>
      <c r="D27" s="190"/>
      <c r="E27" s="190"/>
      <c r="F27" s="190"/>
      <c r="G27" s="190"/>
      <c r="H27" s="190"/>
    </row>
    <row r="28" spans="1:8" s="47" customFormat="1" ht="49.05" customHeight="1" x14ac:dyDescent="0.25">
      <c r="A28" s="190"/>
      <c r="B28" s="190"/>
      <c r="D28" s="222" t="s">
        <v>109</v>
      </c>
      <c r="E28" s="222"/>
      <c r="F28" s="222"/>
    </row>
    <row r="29" spans="1:8" s="47" customFormat="1" ht="12" customHeight="1" x14ac:dyDescent="0.25">
      <c r="B29" s="190"/>
    </row>
    <row r="30" spans="1:8" s="47" customFormat="1" ht="40.950000000000003" customHeight="1" x14ac:dyDescent="0.25">
      <c r="B30" s="190"/>
      <c r="D30" s="205" t="s">
        <v>154</v>
      </c>
      <c r="E30" s="220" t="s">
        <v>112</v>
      </c>
      <c r="F30" s="221"/>
      <c r="G30" s="196"/>
    </row>
    <row r="31" spans="1:8" s="48" customFormat="1" ht="58.95" customHeight="1" x14ac:dyDescent="0.25">
      <c r="B31" s="190"/>
      <c r="D31" s="208" t="s">
        <v>155</v>
      </c>
      <c r="E31" s="220" t="s">
        <v>159</v>
      </c>
      <c r="F31" s="221"/>
      <c r="G31" s="197"/>
    </row>
    <row r="32" spans="1:8" s="48" customFormat="1" ht="57" customHeight="1" x14ac:dyDescent="0.25">
      <c r="B32" s="190"/>
      <c r="D32" s="204" t="s">
        <v>156</v>
      </c>
      <c r="E32" s="220" t="s">
        <v>157</v>
      </c>
      <c r="F32" s="221"/>
      <c r="G32" s="198"/>
    </row>
    <row r="33" spans="1:8" s="48" customFormat="1" ht="58.95" customHeight="1" x14ac:dyDescent="0.25">
      <c r="B33" s="190"/>
      <c r="D33" s="205" t="s">
        <v>110</v>
      </c>
      <c r="E33" s="220" t="str">
        <f ca="1">"If you need more rows in the sheets """&amp;Calculations!P17&amp;""", """&amp;Calculations!P18&amp;""" or """&amp;Calculations!P19&amp;""", simply insert a new row. Then, select the cells in the row above (all the way across the sheet) and drag them down to the new row."</f>
        <v>If you need more rows in the sheets "Item Prices &amp; Rates", "Model 1" or "Model 2", simply insert a new row. Then, select the cells in the row above (all the way across the sheet) and drag them down to the new row.</v>
      </c>
      <c r="F33" s="221"/>
      <c r="G33" s="199"/>
    </row>
    <row r="34" spans="1:8" s="48" customFormat="1" ht="42" customHeight="1" x14ac:dyDescent="0.25">
      <c r="B34" s="190"/>
      <c r="D34" s="195"/>
      <c r="E34" s="220" t="s">
        <v>153</v>
      </c>
      <c r="F34" s="221"/>
      <c r="G34" s="196"/>
    </row>
    <row r="35" spans="1:8" ht="34.950000000000003" customHeight="1" x14ac:dyDescent="0.25">
      <c r="B35" s="190"/>
    </row>
    <row r="36" spans="1:8" ht="42" customHeight="1" x14ac:dyDescent="0.25">
      <c r="B36" s="190"/>
    </row>
    <row r="37" spans="1:8" ht="19.95" customHeight="1" x14ac:dyDescent="0.25">
      <c r="B37" s="190"/>
    </row>
    <row r="38" spans="1:8" ht="4.05" customHeight="1" x14ac:dyDescent="0.25">
      <c r="A38" s="190"/>
      <c r="B38" s="190"/>
      <c r="C38" s="190"/>
      <c r="D38" s="190"/>
      <c r="E38" s="190"/>
      <c r="F38" s="190"/>
      <c r="G38" s="190"/>
      <c r="H38" s="190"/>
    </row>
    <row r="39" spans="1:8" s="47" customFormat="1" ht="49.05" customHeight="1" x14ac:dyDescent="0.25">
      <c r="A39" s="190"/>
      <c r="B39" s="190"/>
      <c r="D39" s="222" t="s">
        <v>73</v>
      </c>
      <c r="E39" s="222"/>
      <c r="F39" s="222"/>
    </row>
    <row r="40" spans="1:8" s="47" customFormat="1" ht="12" customHeight="1" x14ac:dyDescent="0.25">
      <c r="B40" s="190"/>
    </row>
    <row r="41" spans="1:8" s="48" customFormat="1" ht="22.95" customHeight="1" x14ac:dyDescent="0.25">
      <c r="B41" s="190"/>
      <c r="D41" s="207" t="s">
        <v>74</v>
      </c>
      <c r="E41" s="218">
        <v>1234</v>
      </c>
      <c r="F41" s="219"/>
    </row>
    <row r="42" spans="1:8" s="47" customFormat="1" ht="16.95" customHeight="1" x14ac:dyDescent="0.25">
      <c r="B42" s="190"/>
      <c r="D42" s="201" t="s">
        <v>121</v>
      </c>
      <c r="E42" s="216" t="s">
        <v>122</v>
      </c>
      <c r="F42" s="217"/>
    </row>
    <row r="43" spans="1:8" s="47" customFormat="1" ht="25.95" customHeight="1" x14ac:dyDescent="0.25">
      <c r="B43" s="190"/>
      <c r="D43" s="202"/>
      <c r="E43" s="216" t="s">
        <v>123</v>
      </c>
      <c r="F43" s="217"/>
    </row>
    <row r="44" spans="1:8" s="47" customFormat="1" ht="16.95" customHeight="1" x14ac:dyDescent="0.25">
      <c r="B44" s="190"/>
      <c r="D44" s="201" t="s">
        <v>124</v>
      </c>
      <c r="E44" s="216" t="s">
        <v>125</v>
      </c>
      <c r="F44" s="217"/>
    </row>
    <row r="45" spans="1:8" s="47" customFormat="1" ht="25.95" customHeight="1" x14ac:dyDescent="0.25">
      <c r="B45" s="190"/>
      <c r="D45" s="202"/>
      <c r="E45" s="216" t="s">
        <v>130</v>
      </c>
      <c r="F45" s="217"/>
    </row>
    <row r="46" spans="1:8" s="47" customFormat="1" ht="28.05" customHeight="1" x14ac:dyDescent="0.25">
      <c r="B46" s="190"/>
      <c r="D46" s="201" t="s">
        <v>143</v>
      </c>
      <c r="E46" s="216" t="s">
        <v>144</v>
      </c>
      <c r="F46" s="217"/>
    </row>
    <row r="47" spans="1:8" s="47" customFormat="1" ht="28.05" customHeight="1" x14ac:dyDescent="0.25">
      <c r="B47" s="190"/>
      <c r="D47" s="201" t="s">
        <v>145</v>
      </c>
      <c r="E47" s="216" t="s">
        <v>146</v>
      </c>
      <c r="F47" s="217"/>
    </row>
    <row r="48" spans="1:8" s="47" customFormat="1" ht="16.95" customHeight="1" x14ac:dyDescent="0.25">
      <c r="B48" s="190"/>
      <c r="D48" s="201" t="s">
        <v>126</v>
      </c>
      <c r="E48" s="216" t="s">
        <v>128</v>
      </c>
      <c r="F48" s="217"/>
    </row>
    <row r="49" spans="2:6" s="47" customFormat="1" ht="34.049999999999997" customHeight="1" x14ac:dyDescent="0.25">
      <c r="B49" s="190"/>
      <c r="D49" s="202"/>
      <c r="E49" s="216" t="s">
        <v>131</v>
      </c>
      <c r="F49" s="217"/>
    </row>
    <row r="50" spans="2:6" s="47" customFormat="1" ht="28.05" customHeight="1" x14ac:dyDescent="0.25">
      <c r="B50" s="190"/>
      <c r="D50" s="202"/>
      <c r="E50" s="216" t="s">
        <v>129</v>
      </c>
      <c r="F50" s="217"/>
    </row>
    <row r="51" spans="2:6" s="47" customFormat="1" ht="16.95" customHeight="1" x14ac:dyDescent="0.25">
      <c r="B51" s="190"/>
      <c r="D51" s="201" t="s">
        <v>127</v>
      </c>
      <c r="E51" s="216" t="s">
        <v>128</v>
      </c>
      <c r="F51" s="217"/>
    </row>
    <row r="52" spans="2:6" s="47" customFormat="1" ht="31.95" customHeight="1" x14ac:dyDescent="0.25">
      <c r="B52" s="190"/>
      <c r="D52" s="202"/>
      <c r="E52" s="216" t="s">
        <v>132</v>
      </c>
      <c r="F52" s="217"/>
    </row>
    <row r="53" spans="2:6" s="47" customFormat="1" ht="24" customHeight="1" x14ac:dyDescent="0.25">
      <c r="B53" s="190"/>
      <c r="D53" s="202"/>
      <c r="E53" s="216" t="s">
        <v>129</v>
      </c>
      <c r="F53" s="217"/>
    </row>
    <row r="54" spans="2:6" s="47" customFormat="1" ht="16.95" customHeight="1" x14ac:dyDescent="0.25">
      <c r="B54" s="190"/>
      <c r="D54" s="201" t="s">
        <v>134</v>
      </c>
      <c r="E54" s="216" t="s">
        <v>128</v>
      </c>
      <c r="F54" s="217"/>
    </row>
    <row r="55" spans="2:6" s="47" customFormat="1" ht="49.95" customHeight="1" x14ac:dyDescent="0.25">
      <c r="B55" s="190"/>
      <c r="D55" s="202"/>
      <c r="E55" s="216" t="s">
        <v>136</v>
      </c>
      <c r="F55" s="217"/>
    </row>
    <row r="56" spans="2:6" s="47" customFormat="1" ht="25.95" customHeight="1" x14ac:dyDescent="0.25">
      <c r="B56" s="190"/>
      <c r="D56" s="202"/>
      <c r="E56" s="216" t="s">
        <v>129</v>
      </c>
      <c r="F56" s="217"/>
    </row>
    <row r="57" spans="2:6" s="47" customFormat="1" ht="16.95" customHeight="1" x14ac:dyDescent="0.25">
      <c r="B57" s="190"/>
      <c r="D57" s="201" t="s">
        <v>135</v>
      </c>
      <c r="E57" s="216" t="s">
        <v>128</v>
      </c>
      <c r="F57" s="217"/>
    </row>
    <row r="58" spans="2:6" s="47" customFormat="1" ht="49.05" customHeight="1" x14ac:dyDescent="0.25">
      <c r="B58" s="190"/>
      <c r="D58" s="202"/>
      <c r="E58" s="216" t="s">
        <v>133</v>
      </c>
      <c r="F58" s="217"/>
    </row>
    <row r="59" spans="2:6" s="47" customFormat="1" ht="22.05" customHeight="1" x14ac:dyDescent="0.25">
      <c r="B59" s="190"/>
      <c r="D59" s="200"/>
      <c r="E59" s="216" t="s">
        <v>129</v>
      </c>
      <c r="F59" s="217"/>
    </row>
  </sheetData>
  <sheetProtection password="CC3D" sheet="1" objects="1" scenarios="1"/>
  <mergeCells count="38">
    <mergeCell ref="D5:F5"/>
    <mergeCell ref="D17:F17"/>
    <mergeCell ref="D16:F16"/>
    <mergeCell ref="D21:F21"/>
    <mergeCell ref="D28:F28"/>
    <mergeCell ref="E33:F33"/>
    <mergeCell ref="E34:F34"/>
    <mergeCell ref="D39:F39"/>
    <mergeCell ref="E7:F7"/>
    <mergeCell ref="E8:F8"/>
    <mergeCell ref="E9:F9"/>
    <mergeCell ref="E10:F10"/>
    <mergeCell ref="E11:F11"/>
    <mergeCell ref="E12:F12"/>
    <mergeCell ref="E13:F13"/>
    <mergeCell ref="D18:F18"/>
    <mergeCell ref="E30:F30"/>
    <mergeCell ref="E31:F31"/>
    <mergeCell ref="E32:F32"/>
    <mergeCell ref="E46:F46"/>
    <mergeCell ref="E47:F47"/>
    <mergeCell ref="E41:F41"/>
    <mergeCell ref="E42:F42"/>
    <mergeCell ref="E43:F43"/>
    <mergeCell ref="E44:F44"/>
    <mergeCell ref="E45:F45"/>
    <mergeCell ref="E59:F59"/>
    <mergeCell ref="E53:F53"/>
    <mergeCell ref="E54:F54"/>
    <mergeCell ref="E55:F55"/>
    <mergeCell ref="E56:F56"/>
    <mergeCell ref="E58:F58"/>
    <mergeCell ref="E57:F57"/>
    <mergeCell ref="E48:F48"/>
    <mergeCell ref="E49:F49"/>
    <mergeCell ref="E50:F50"/>
    <mergeCell ref="E51:F51"/>
    <mergeCell ref="E52:F52"/>
  </mergeCells>
  <printOptions horizontalCentered="1" verticalCentered="1"/>
  <pageMargins left="0.70866141732283472" right="0.70866141732283472" top="0.78740157480314965" bottom="0.78740157480314965" header="0.31496062992125984" footer="0.31496062992125984"/>
  <headerFooter>
    <oddHeader xml:space="preserve">&amp;R
</oddHeader>
    <oddFooter>&amp;C&amp;D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13"/>
  <sheetViews>
    <sheetView workbookViewId="0"/>
  </sheetViews>
  <sheetFormatPr defaultColWidth="11.296875" defaultRowHeight="13.2" x14ac:dyDescent="0.25"/>
  <cols>
    <col min="1" max="1" width="7" style="35" customWidth="1"/>
    <col min="2" max="2" width="0.59765625" style="35" customWidth="1"/>
    <col min="3" max="3" width="4.3984375" style="38" customWidth="1"/>
    <col min="4" max="4" width="30.59765625" style="38" customWidth="1"/>
    <col min="5" max="5" width="2.59765625" style="38" customWidth="1"/>
    <col min="6" max="6" width="40.59765625" style="38" customWidth="1"/>
    <col min="7" max="7" width="2.59765625" style="38" customWidth="1"/>
    <col min="8" max="8" width="30.59765625" style="38" customWidth="1"/>
    <col min="9" max="9" width="2.59765625" style="38" customWidth="1"/>
    <col min="10" max="10" width="23.09765625" style="38" customWidth="1"/>
    <col min="11" max="11" width="2.59765625" style="38" customWidth="1"/>
    <col min="12" max="12" width="23.296875" style="38" customWidth="1"/>
    <col min="13" max="16384" width="11.296875" style="38"/>
  </cols>
  <sheetData>
    <row r="1" spans="1:12" s="55" customFormat="1" ht="21" customHeight="1" x14ac:dyDescent="0.25">
      <c r="A1" s="35"/>
      <c r="B1" s="190"/>
      <c r="D1" s="240"/>
      <c r="E1" s="240"/>
      <c r="F1" s="240"/>
      <c r="G1" s="240"/>
      <c r="H1" s="240"/>
      <c r="I1" s="240"/>
      <c r="J1" s="240"/>
      <c r="K1" s="240"/>
      <c r="L1" s="240"/>
    </row>
    <row r="2" spans="1:12" ht="49.95" customHeight="1" x14ac:dyDescent="0.25">
      <c r="B2" s="190"/>
      <c r="D2" s="189" t="s">
        <v>289</v>
      </c>
    </row>
    <row r="3" spans="1:12" ht="16.95" customHeight="1" x14ac:dyDescent="0.25">
      <c r="B3" s="190"/>
      <c r="D3" s="189"/>
    </row>
    <row r="4" spans="1:12" ht="4.05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s="55" customFormat="1" ht="49.05" customHeight="1" x14ac:dyDescent="0.25">
      <c r="A5" s="190"/>
      <c r="B5" s="190"/>
      <c r="D5" s="222" t="s">
        <v>142</v>
      </c>
      <c r="E5" s="222"/>
      <c r="F5" s="222"/>
      <c r="G5" s="222"/>
      <c r="H5" s="222"/>
      <c r="I5" s="105"/>
    </row>
    <row r="6" spans="1:12" s="55" customFormat="1" ht="12.75" customHeight="1" x14ac:dyDescent="0.25">
      <c r="A6" s="14"/>
      <c r="B6" s="190"/>
      <c r="D6" s="106"/>
      <c r="E6" s="106"/>
      <c r="F6" s="106"/>
      <c r="G6" s="106"/>
      <c r="H6" s="106"/>
      <c r="I6" s="105"/>
    </row>
    <row r="7" spans="1:12" s="108" customFormat="1" ht="19.95" customHeight="1" x14ac:dyDescent="0.25">
      <c r="A7" s="187"/>
      <c r="B7" s="190"/>
      <c r="D7" s="231" t="s">
        <v>160</v>
      </c>
      <c r="E7" s="232"/>
      <c r="F7" s="232"/>
      <c r="G7" s="232"/>
      <c r="H7" s="233"/>
      <c r="I7" s="107"/>
    </row>
    <row r="8" spans="1:12" s="107" customFormat="1" ht="19.95" customHeight="1" x14ac:dyDescent="0.25">
      <c r="A8" s="186"/>
      <c r="B8" s="190"/>
      <c r="D8" s="234" t="s">
        <v>294</v>
      </c>
      <c r="E8" s="235"/>
      <c r="F8" s="235"/>
      <c r="G8" s="235"/>
      <c r="H8" s="236"/>
      <c r="L8" s="108"/>
    </row>
    <row r="9" spans="1:12" s="107" customFormat="1" ht="19.95" customHeight="1" x14ac:dyDescent="0.25">
      <c r="A9" s="47"/>
      <c r="B9" s="190"/>
      <c r="D9" s="237" t="s">
        <v>158</v>
      </c>
      <c r="E9" s="238"/>
      <c r="F9" s="238"/>
      <c r="G9" s="238"/>
      <c r="H9" s="239"/>
      <c r="L9" s="108"/>
    </row>
    <row r="10" spans="1:12" s="107" customFormat="1" ht="19.95" customHeight="1" x14ac:dyDescent="0.25">
      <c r="A10" s="47"/>
      <c r="B10" s="190"/>
      <c r="D10" s="231" t="s">
        <v>106</v>
      </c>
      <c r="E10" s="232"/>
      <c r="F10" s="232"/>
      <c r="G10" s="232"/>
      <c r="H10" s="233"/>
      <c r="L10" s="108"/>
    </row>
    <row r="11" spans="1:12" s="107" customFormat="1" ht="19.95" customHeight="1" x14ac:dyDescent="0.25">
      <c r="A11" s="47"/>
      <c r="B11" s="190"/>
      <c r="D11" s="231" t="s">
        <v>105</v>
      </c>
      <c r="E11" s="232"/>
      <c r="F11" s="232"/>
      <c r="G11" s="232"/>
      <c r="H11" s="233"/>
      <c r="L11" s="108"/>
    </row>
    <row r="12" spans="1:12" s="109" customFormat="1" ht="25.05" customHeight="1" x14ac:dyDescent="0.25">
      <c r="A12" s="47"/>
      <c r="B12" s="190"/>
      <c r="D12" s="38"/>
      <c r="F12" s="110"/>
      <c r="J12" s="110"/>
      <c r="L12" s="38"/>
    </row>
    <row r="13" spans="1:12" s="63" customFormat="1" ht="27" customHeight="1" x14ac:dyDescent="0.25">
      <c r="A13" s="47"/>
      <c r="B13" s="190"/>
      <c r="D13" s="213" t="s">
        <v>5</v>
      </c>
      <c r="E13" s="214"/>
      <c r="F13" s="213" t="s">
        <v>93</v>
      </c>
      <c r="G13" s="214"/>
      <c r="H13" s="213" t="s">
        <v>117</v>
      </c>
      <c r="I13" s="214"/>
      <c r="J13" s="213" t="s">
        <v>0</v>
      </c>
      <c r="K13" s="214"/>
      <c r="L13" s="213" t="s">
        <v>293</v>
      </c>
    </row>
    <row r="14" spans="1:12" s="55" customFormat="1" ht="15" customHeight="1" x14ac:dyDescent="0.25">
      <c r="A14" s="47"/>
      <c r="B14" s="190"/>
      <c r="D14" s="59" t="s">
        <v>31</v>
      </c>
      <c r="F14" s="59" t="s">
        <v>45</v>
      </c>
      <c r="H14" s="59" t="s">
        <v>90</v>
      </c>
      <c r="J14" s="59" t="s">
        <v>15</v>
      </c>
      <c r="L14" s="59" t="s">
        <v>80</v>
      </c>
    </row>
    <row r="15" spans="1:12" s="55" customFormat="1" ht="15" customHeight="1" x14ac:dyDescent="0.25">
      <c r="A15" s="47"/>
      <c r="B15" s="190"/>
      <c r="D15" s="60" t="s">
        <v>38</v>
      </c>
      <c r="F15" s="60" t="s">
        <v>46</v>
      </c>
      <c r="H15" s="60" t="s">
        <v>164</v>
      </c>
      <c r="J15" s="60" t="s">
        <v>14</v>
      </c>
      <c r="L15" s="60" t="s">
        <v>81</v>
      </c>
    </row>
    <row r="16" spans="1:12" s="55" customFormat="1" ht="15" customHeight="1" x14ac:dyDescent="0.25">
      <c r="A16" s="35"/>
      <c r="B16" s="190"/>
      <c r="D16" s="60" t="s">
        <v>16</v>
      </c>
      <c r="F16" s="60" t="s">
        <v>47</v>
      </c>
      <c r="H16" s="60" t="s">
        <v>64</v>
      </c>
      <c r="J16" s="60" t="s">
        <v>13</v>
      </c>
      <c r="L16" s="60" t="s">
        <v>163</v>
      </c>
    </row>
    <row r="17" spans="1:12" s="55" customFormat="1" ht="15" customHeight="1" x14ac:dyDescent="0.25">
      <c r="A17" s="14"/>
      <c r="B17" s="190"/>
      <c r="D17" s="60" t="s">
        <v>22</v>
      </c>
      <c r="F17" s="61" t="s">
        <v>92</v>
      </c>
      <c r="H17" s="60" t="s">
        <v>163</v>
      </c>
      <c r="J17" s="60" t="s">
        <v>12</v>
      </c>
      <c r="L17" s="60"/>
    </row>
    <row r="18" spans="1:12" s="55" customFormat="1" ht="15" customHeight="1" x14ac:dyDescent="0.25">
      <c r="A18" s="187"/>
      <c r="B18" s="190"/>
      <c r="D18" s="60" t="s">
        <v>19</v>
      </c>
      <c r="F18" s="60" t="s">
        <v>40</v>
      </c>
      <c r="H18" s="60"/>
      <c r="J18" s="60" t="s">
        <v>11</v>
      </c>
      <c r="L18" s="60"/>
    </row>
    <row r="19" spans="1:12" s="55" customFormat="1" ht="15" customHeight="1" x14ac:dyDescent="0.25">
      <c r="A19" s="187"/>
      <c r="B19" s="190"/>
      <c r="D19" s="60" t="s">
        <v>17</v>
      </c>
      <c r="F19" s="60" t="s">
        <v>41</v>
      </c>
      <c r="H19" s="60"/>
      <c r="J19" s="60" t="s">
        <v>162</v>
      </c>
      <c r="L19" s="60"/>
    </row>
    <row r="20" spans="1:12" s="55" customFormat="1" ht="15" customHeight="1" x14ac:dyDescent="0.25">
      <c r="A20" s="187"/>
      <c r="B20" s="190"/>
      <c r="D20" s="60" t="s">
        <v>25</v>
      </c>
      <c r="F20" s="60" t="s">
        <v>70</v>
      </c>
      <c r="H20" s="60"/>
      <c r="J20" s="60" t="s">
        <v>71</v>
      </c>
      <c r="L20" s="60"/>
    </row>
    <row r="21" spans="1:12" s="55" customFormat="1" ht="15" customHeight="1" x14ac:dyDescent="0.25">
      <c r="A21" s="14"/>
      <c r="B21" s="190"/>
      <c r="D21" s="60" t="s">
        <v>26</v>
      </c>
      <c r="F21" s="60" t="s">
        <v>42</v>
      </c>
      <c r="H21" s="60"/>
      <c r="J21" s="61" t="s">
        <v>92</v>
      </c>
      <c r="L21" s="60"/>
    </row>
    <row r="22" spans="1:12" s="55" customFormat="1" ht="15" customHeight="1" x14ac:dyDescent="0.25">
      <c r="A22" s="14"/>
      <c r="B22" s="190"/>
      <c r="D22" s="60" t="s">
        <v>23</v>
      </c>
      <c r="F22" s="60" t="s">
        <v>43</v>
      </c>
      <c r="H22" s="60"/>
      <c r="J22" s="60" t="s">
        <v>65</v>
      </c>
      <c r="L22" s="60"/>
    </row>
    <row r="23" spans="1:12" s="55" customFormat="1" ht="15" customHeight="1" x14ac:dyDescent="0.25">
      <c r="A23" s="187"/>
      <c r="B23" s="190"/>
      <c r="D23" s="60" t="s">
        <v>32</v>
      </c>
      <c r="F23" s="60" t="s">
        <v>44</v>
      </c>
      <c r="H23" s="60"/>
      <c r="J23" s="60" t="s">
        <v>66</v>
      </c>
      <c r="L23" s="60"/>
    </row>
    <row r="24" spans="1:12" s="55" customFormat="1" ht="15" customHeight="1" x14ac:dyDescent="0.25">
      <c r="A24" s="14"/>
      <c r="B24" s="190"/>
      <c r="D24" s="60" t="s">
        <v>36</v>
      </c>
      <c r="F24" s="60" t="s">
        <v>48</v>
      </c>
      <c r="H24" s="60"/>
      <c r="J24" s="60" t="s">
        <v>67</v>
      </c>
      <c r="L24" s="60"/>
    </row>
    <row r="25" spans="1:12" s="55" customFormat="1" ht="15" customHeight="1" x14ac:dyDescent="0.25">
      <c r="A25" s="14"/>
      <c r="B25" s="190"/>
      <c r="D25" s="60" t="s">
        <v>24</v>
      </c>
      <c r="F25" s="60" t="s">
        <v>49</v>
      </c>
      <c r="H25" s="60"/>
      <c r="J25" s="60" t="s">
        <v>68</v>
      </c>
      <c r="L25" s="60"/>
    </row>
    <row r="26" spans="1:12" s="55" customFormat="1" ht="15" customHeight="1" x14ac:dyDescent="0.25">
      <c r="A26" s="14"/>
      <c r="B26" s="190"/>
      <c r="D26" s="60" t="s">
        <v>27</v>
      </c>
      <c r="F26" s="60" t="s">
        <v>50</v>
      </c>
      <c r="H26" s="60"/>
      <c r="J26" s="61" t="s">
        <v>92</v>
      </c>
      <c r="L26" s="60"/>
    </row>
    <row r="27" spans="1:12" s="55" customFormat="1" ht="15" customHeight="1" x14ac:dyDescent="0.25">
      <c r="A27" s="14"/>
      <c r="B27" s="190"/>
      <c r="D27" s="60" t="s">
        <v>39</v>
      </c>
      <c r="F27" s="60" t="s">
        <v>57</v>
      </c>
      <c r="H27" s="60"/>
      <c r="J27" s="60" t="s">
        <v>165</v>
      </c>
      <c r="L27" s="60"/>
    </row>
    <row r="28" spans="1:12" s="55" customFormat="1" ht="15" customHeight="1" x14ac:dyDescent="0.25">
      <c r="A28" s="14"/>
      <c r="B28" s="190"/>
      <c r="D28" s="60" t="s">
        <v>21</v>
      </c>
      <c r="F28" s="60" t="s">
        <v>51</v>
      </c>
      <c r="H28" s="60"/>
      <c r="J28" s="60" t="s">
        <v>169</v>
      </c>
      <c r="L28" s="60"/>
    </row>
    <row r="29" spans="1:12" s="55" customFormat="1" ht="15" customHeight="1" x14ac:dyDescent="0.25">
      <c r="A29" s="14"/>
      <c r="B29" s="190"/>
      <c r="D29" s="60" t="s">
        <v>33</v>
      </c>
      <c r="F29" s="60" t="s">
        <v>52</v>
      </c>
      <c r="H29" s="60"/>
      <c r="J29" s="60" t="s">
        <v>166</v>
      </c>
      <c r="L29" s="60"/>
    </row>
    <row r="30" spans="1:12" s="55" customFormat="1" ht="15" customHeight="1" x14ac:dyDescent="0.25">
      <c r="A30" s="187"/>
      <c r="B30" s="190"/>
      <c r="D30" s="60" t="s">
        <v>18</v>
      </c>
      <c r="F30" s="60" t="s">
        <v>53</v>
      </c>
      <c r="H30" s="60"/>
      <c r="J30" s="60" t="s">
        <v>171</v>
      </c>
      <c r="L30" s="60"/>
    </row>
    <row r="31" spans="1:12" s="55" customFormat="1" ht="15" customHeight="1" x14ac:dyDescent="0.25">
      <c r="A31" s="187"/>
      <c r="B31" s="190"/>
      <c r="D31" s="60" t="s">
        <v>35</v>
      </c>
      <c r="F31" s="60" t="s">
        <v>54</v>
      </c>
      <c r="H31" s="60"/>
      <c r="J31" s="60" t="s">
        <v>170</v>
      </c>
      <c r="L31" s="60"/>
    </row>
    <row r="32" spans="1:12" s="55" customFormat="1" ht="15" customHeight="1" x14ac:dyDescent="0.25">
      <c r="A32" s="187"/>
      <c r="B32" s="190"/>
      <c r="D32" s="60" t="s">
        <v>20</v>
      </c>
      <c r="F32" s="60" t="s">
        <v>55</v>
      </c>
      <c r="H32" s="60"/>
      <c r="J32" s="60" t="s">
        <v>168</v>
      </c>
      <c r="L32" s="60"/>
    </row>
    <row r="33" spans="1:12" s="55" customFormat="1" ht="15" customHeight="1" x14ac:dyDescent="0.25">
      <c r="A33" s="188"/>
      <c r="B33" s="190"/>
      <c r="D33" s="60" t="s">
        <v>30</v>
      </c>
      <c r="F33" s="60" t="s">
        <v>56</v>
      </c>
      <c r="H33" s="60"/>
      <c r="J33" s="60"/>
      <c r="L33" s="60"/>
    </row>
    <row r="34" spans="1:12" s="55" customFormat="1" ht="15" customHeight="1" x14ac:dyDescent="0.25">
      <c r="A34" s="188"/>
      <c r="B34" s="190"/>
      <c r="D34" s="60" t="s">
        <v>29</v>
      </c>
      <c r="F34" s="60" t="s">
        <v>58</v>
      </c>
      <c r="H34" s="60"/>
      <c r="J34" s="60"/>
      <c r="L34" s="60"/>
    </row>
    <row r="35" spans="1:12" s="55" customFormat="1" ht="15" customHeight="1" x14ac:dyDescent="0.25">
      <c r="A35" s="188"/>
      <c r="B35" s="190"/>
      <c r="D35" s="60" t="s">
        <v>34</v>
      </c>
      <c r="F35" s="60" t="s">
        <v>59</v>
      </c>
      <c r="H35" s="60"/>
      <c r="J35" s="60"/>
      <c r="L35" s="60"/>
    </row>
    <row r="36" spans="1:12" s="55" customFormat="1" ht="15" customHeight="1" x14ac:dyDescent="0.25">
      <c r="A36" s="188"/>
      <c r="B36" s="190"/>
      <c r="D36" s="60" t="s">
        <v>28</v>
      </c>
      <c r="F36" s="60" t="s">
        <v>60</v>
      </c>
      <c r="H36" s="60"/>
      <c r="J36" s="60"/>
      <c r="L36" s="60"/>
    </row>
    <row r="37" spans="1:12" s="55" customFormat="1" ht="15" customHeight="1" x14ac:dyDescent="0.25">
      <c r="A37" s="188"/>
      <c r="B37" s="190"/>
      <c r="D37" s="60"/>
      <c r="F37" s="60" t="s">
        <v>61</v>
      </c>
      <c r="H37" s="60"/>
      <c r="J37" s="60"/>
      <c r="L37" s="60"/>
    </row>
    <row r="38" spans="1:12" s="55" customFormat="1" ht="15" customHeight="1" x14ac:dyDescent="0.25">
      <c r="A38" s="187"/>
      <c r="B38" s="190"/>
      <c r="D38" s="60"/>
      <c r="F38" s="60" t="s">
        <v>62</v>
      </c>
      <c r="H38" s="60"/>
      <c r="J38" s="60"/>
      <c r="L38" s="60"/>
    </row>
    <row r="39" spans="1:12" s="55" customFormat="1" ht="15" customHeight="1" x14ac:dyDescent="0.25">
      <c r="A39" s="188"/>
      <c r="B39" s="190"/>
      <c r="D39" s="60"/>
      <c r="F39" s="60" t="s">
        <v>63</v>
      </c>
      <c r="H39" s="60"/>
      <c r="J39" s="60"/>
      <c r="L39" s="60"/>
    </row>
    <row r="40" spans="1:12" s="55" customFormat="1" ht="15" customHeight="1" x14ac:dyDescent="0.25">
      <c r="A40" s="188"/>
      <c r="B40" s="190"/>
      <c r="D40" s="60"/>
      <c r="F40" s="60" t="s">
        <v>69</v>
      </c>
      <c r="H40" s="60"/>
      <c r="J40" s="60"/>
      <c r="L40" s="60"/>
    </row>
    <row r="41" spans="1:12" s="55" customFormat="1" ht="15" customHeight="1" x14ac:dyDescent="0.25">
      <c r="A41" s="14"/>
      <c r="B41" s="190"/>
      <c r="D41" s="60"/>
      <c r="F41" s="60"/>
      <c r="H41" s="60"/>
      <c r="J41" s="60"/>
      <c r="L41" s="60"/>
    </row>
    <row r="42" spans="1:12" s="55" customFormat="1" ht="15" customHeight="1" x14ac:dyDescent="0.25">
      <c r="A42" s="14"/>
      <c r="B42" s="190"/>
      <c r="D42" s="60"/>
      <c r="F42" s="60"/>
      <c r="H42" s="60"/>
      <c r="J42" s="60"/>
      <c r="L42" s="60"/>
    </row>
    <row r="43" spans="1:12" s="55" customFormat="1" ht="15" customHeight="1" x14ac:dyDescent="0.25">
      <c r="A43" s="14"/>
      <c r="B43" s="190"/>
      <c r="D43" s="60"/>
      <c r="F43" s="60"/>
      <c r="H43" s="60"/>
      <c r="J43" s="60"/>
      <c r="L43" s="60"/>
    </row>
    <row r="44" spans="1:12" s="55" customFormat="1" ht="15" customHeight="1" x14ac:dyDescent="0.25">
      <c r="A44" s="14"/>
      <c r="B44" s="190"/>
      <c r="D44" s="60"/>
      <c r="F44" s="60"/>
      <c r="H44" s="60"/>
      <c r="J44" s="60"/>
      <c r="L44" s="60"/>
    </row>
    <row r="45" spans="1:12" s="55" customFormat="1" ht="15" customHeight="1" x14ac:dyDescent="0.25">
      <c r="A45" s="14"/>
      <c r="B45" s="190"/>
      <c r="D45" s="60"/>
      <c r="F45" s="60"/>
      <c r="H45" s="60"/>
      <c r="J45" s="60"/>
      <c r="L45" s="60"/>
    </row>
    <row r="46" spans="1:12" s="55" customFormat="1" ht="15" customHeight="1" x14ac:dyDescent="0.25">
      <c r="A46" s="14"/>
      <c r="B46" s="190"/>
      <c r="D46" s="60"/>
      <c r="F46" s="60"/>
      <c r="H46" s="60"/>
      <c r="J46" s="60"/>
      <c r="L46" s="60"/>
    </row>
    <row r="47" spans="1:12" s="55" customFormat="1" ht="15" customHeight="1" x14ac:dyDescent="0.25">
      <c r="A47" s="187"/>
      <c r="B47" s="190"/>
      <c r="D47" s="60"/>
      <c r="F47" s="60"/>
      <c r="H47" s="60"/>
      <c r="J47" s="60"/>
      <c r="L47" s="60"/>
    </row>
    <row r="48" spans="1:12" s="55" customFormat="1" ht="15" customHeight="1" x14ac:dyDescent="0.25">
      <c r="A48" s="187"/>
      <c r="B48" s="190"/>
      <c r="D48" s="60"/>
      <c r="F48" s="60"/>
      <c r="H48" s="60"/>
      <c r="J48" s="60"/>
      <c r="L48" s="60"/>
    </row>
    <row r="49" spans="1:12" s="55" customFormat="1" ht="15" customHeight="1" x14ac:dyDescent="0.25">
      <c r="A49" s="48"/>
      <c r="B49" s="190"/>
      <c r="D49" s="60"/>
      <c r="F49" s="60"/>
      <c r="H49" s="60"/>
      <c r="J49" s="60"/>
      <c r="L49" s="60"/>
    </row>
    <row r="50" spans="1:12" s="55" customFormat="1" ht="15" customHeight="1" x14ac:dyDescent="0.25">
      <c r="A50" s="47"/>
      <c r="B50" s="190"/>
      <c r="D50" s="60"/>
      <c r="F50" s="60"/>
      <c r="H50" s="60"/>
      <c r="J50" s="60"/>
      <c r="L50" s="60"/>
    </row>
    <row r="51" spans="1:12" s="55" customFormat="1" ht="15" customHeight="1" x14ac:dyDescent="0.25">
      <c r="A51" s="47"/>
      <c r="B51" s="190"/>
      <c r="D51" s="60"/>
      <c r="F51" s="60"/>
      <c r="H51" s="60"/>
      <c r="J51" s="60"/>
      <c r="L51" s="60"/>
    </row>
    <row r="52" spans="1:12" s="55" customFormat="1" ht="15" customHeight="1" x14ac:dyDescent="0.25">
      <c r="A52" s="47"/>
      <c r="B52" s="190"/>
      <c r="D52" s="60"/>
      <c r="F52" s="60"/>
      <c r="H52" s="60"/>
      <c r="J52" s="60"/>
      <c r="L52" s="60"/>
    </row>
    <row r="53" spans="1:12" s="55" customFormat="1" ht="15" customHeight="1" x14ac:dyDescent="0.25">
      <c r="A53" s="47"/>
      <c r="B53" s="190"/>
      <c r="D53" s="60"/>
      <c r="F53" s="60"/>
      <c r="H53" s="60"/>
      <c r="J53" s="60"/>
      <c r="L53" s="60"/>
    </row>
    <row r="54" spans="1:12" s="55" customFormat="1" ht="15" customHeight="1" x14ac:dyDescent="0.25">
      <c r="A54" s="47"/>
      <c r="B54" s="190"/>
      <c r="D54" s="60"/>
      <c r="F54" s="60"/>
      <c r="H54" s="60"/>
      <c r="J54" s="60"/>
      <c r="L54" s="60"/>
    </row>
    <row r="55" spans="1:12" s="55" customFormat="1" ht="15" customHeight="1" x14ac:dyDescent="0.25">
      <c r="A55" s="47"/>
      <c r="B55" s="190"/>
      <c r="D55" s="60"/>
      <c r="F55" s="60"/>
      <c r="H55" s="60"/>
      <c r="J55" s="60"/>
      <c r="L55" s="60"/>
    </row>
    <row r="56" spans="1:12" s="55" customFormat="1" ht="15" customHeight="1" x14ac:dyDescent="0.25">
      <c r="A56" s="47"/>
      <c r="B56" s="190"/>
      <c r="D56" s="60"/>
      <c r="F56" s="60"/>
      <c r="H56" s="60"/>
      <c r="J56" s="60"/>
      <c r="L56" s="60"/>
    </row>
    <row r="57" spans="1:12" s="55" customFormat="1" ht="15" customHeight="1" x14ac:dyDescent="0.25">
      <c r="A57" s="47"/>
      <c r="B57" s="190"/>
      <c r="D57" s="60"/>
      <c r="F57" s="60"/>
      <c r="H57" s="60"/>
      <c r="J57" s="60"/>
      <c r="L57" s="60"/>
    </row>
    <row r="58" spans="1:12" s="55" customFormat="1" ht="15" customHeight="1" x14ac:dyDescent="0.25">
      <c r="A58" s="47"/>
      <c r="B58" s="190"/>
      <c r="D58" s="60"/>
      <c r="F58" s="60"/>
      <c r="H58" s="60"/>
      <c r="J58" s="60"/>
      <c r="L58" s="60"/>
    </row>
    <row r="59" spans="1:12" s="55" customFormat="1" ht="15" customHeight="1" x14ac:dyDescent="0.25">
      <c r="A59" s="47"/>
      <c r="B59" s="190"/>
      <c r="D59" s="60"/>
      <c r="F59" s="60"/>
      <c r="H59" s="60"/>
      <c r="J59" s="60"/>
      <c r="L59" s="60"/>
    </row>
    <row r="60" spans="1:12" s="55" customFormat="1" ht="15" customHeight="1" x14ac:dyDescent="0.25">
      <c r="A60" s="47"/>
      <c r="B60" s="190"/>
      <c r="D60" s="60"/>
      <c r="F60" s="60"/>
      <c r="H60" s="60"/>
      <c r="J60" s="60"/>
      <c r="L60" s="60"/>
    </row>
    <row r="61" spans="1:12" s="55" customFormat="1" ht="15" customHeight="1" x14ac:dyDescent="0.25">
      <c r="A61" s="47"/>
      <c r="B61" s="190"/>
      <c r="D61" s="60"/>
      <c r="F61" s="60"/>
      <c r="H61" s="60"/>
      <c r="J61" s="60"/>
      <c r="L61" s="60"/>
    </row>
    <row r="62" spans="1:12" s="55" customFormat="1" ht="15" customHeight="1" x14ac:dyDescent="0.25">
      <c r="A62" s="47"/>
      <c r="B62" s="190"/>
      <c r="D62" s="60"/>
      <c r="F62" s="60"/>
      <c r="H62" s="60"/>
      <c r="J62" s="60"/>
      <c r="L62" s="60"/>
    </row>
    <row r="63" spans="1:12" s="55" customFormat="1" ht="15" customHeight="1" x14ac:dyDescent="0.25">
      <c r="A63" s="47"/>
      <c r="B63" s="190"/>
      <c r="D63" s="60"/>
      <c r="F63" s="60"/>
      <c r="H63" s="60"/>
      <c r="J63" s="60"/>
      <c r="L63" s="60"/>
    </row>
    <row r="64" spans="1:12" s="55" customFormat="1" ht="15" customHeight="1" x14ac:dyDescent="0.25">
      <c r="A64" s="47"/>
      <c r="B64" s="190"/>
      <c r="D64" s="60"/>
      <c r="F64" s="60"/>
      <c r="H64" s="60"/>
      <c r="J64" s="60"/>
      <c r="L64" s="60"/>
    </row>
    <row r="65" spans="1:12" s="55" customFormat="1" ht="15" customHeight="1" x14ac:dyDescent="0.25">
      <c r="A65" s="47"/>
      <c r="B65" s="190"/>
      <c r="D65" s="60"/>
      <c r="F65" s="60"/>
      <c r="H65" s="60"/>
      <c r="J65" s="60"/>
      <c r="L65" s="60"/>
    </row>
    <row r="66" spans="1:12" s="55" customFormat="1" ht="15" customHeight="1" x14ac:dyDescent="0.25">
      <c r="A66" s="47"/>
      <c r="B66" s="190"/>
      <c r="D66" s="60"/>
      <c r="F66" s="60"/>
      <c r="H66" s="60"/>
      <c r="J66" s="60"/>
      <c r="L66" s="60"/>
    </row>
    <row r="67" spans="1:12" s="55" customFormat="1" ht="15" customHeight="1" x14ac:dyDescent="0.25">
      <c r="A67" s="47"/>
      <c r="B67" s="190"/>
      <c r="D67" s="60"/>
      <c r="F67" s="60"/>
      <c r="H67" s="60"/>
      <c r="J67" s="60"/>
      <c r="L67" s="60"/>
    </row>
    <row r="68" spans="1:12" s="55" customFormat="1" ht="15" customHeight="1" x14ac:dyDescent="0.25">
      <c r="A68" s="35"/>
      <c r="B68" s="190"/>
      <c r="D68" s="60"/>
      <c r="F68" s="60"/>
      <c r="H68" s="60"/>
      <c r="J68" s="60"/>
      <c r="L68" s="60"/>
    </row>
    <row r="69" spans="1:12" s="55" customFormat="1" ht="15" customHeight="1" x14ac:dyDescent="0.25">
      <c r="A69" s="35"/>
      <c r="B69" s="190"/>
      <c r="D69" s="60"/>
      <c r="F69" s="60"/>
      <c r="H69" s="60"/>
      <c r="J69" s="60"/>
      <c r="L69" s="60"/>
    </row>
    <row r="70" spans="1:12" s="55" customFormat="1" ht="15" customHeight="1" x14ac:dyDescent="0.25">
      <c r="A70" s="35"/>
      <c r="B70" s="190"/>
      <c r="D70" s="60"/>
      <c r="F70" s="60"/>
      <c r="H70" s="60"/>
      <c r="J70" s="60"/>
      <c r="L70" s="60"/>
    </row>
    <row r="71" spans="1:12" s="55" customFormat="1" ht="15" customHeight="1" x14ac:dyDescent="0.25">
      <c r="A71" s="35"/>
      <c r="B71" s="190"/>
      <c r="D71" s="60"/>
      <c r="F71" s="60"/>
      <c r="H71" s="60"/>
      <c r="J71" s="60"/>
      <c r="L71" s="60"/>
    </row>
    <row r="72" spans="1:12" s="55" customFormat="1" ht="15" customHeight="1" x14ac:dyDescent="0.25">
      <c r="A72" s="35"/>
      <c r="B72" s="190"/>
      <c r="D72" s="60"/>
      <c r="F72" s="60"/>
      <c r="H72" s="60"/>
      <c r="J72" s="60"/>
      <c r="L72" s="60"/>
    </row>
    <row r="73" spans="1:12" s="55" customFormat="1" ht="15" customHeight="1" x14ac:dyDescent="0.25">
      <c r="A73" s="35"/>
      <c r="B73" s="190"/>
      <c r="D73" s="60"/>
      <c r="F73" s="60"/>
      <c r="H73" s="60"/>
      <c r="J73" s="60"/>
      <c r="L73" s="60"/>
    </row>
    <row r="74" spans="1:12" s="55" customFormat="1" ht="15" customHeight="1" x14ac:dyDescent="0.25">
      <c r="A74" s="35"/>
      <c r="B74" s="190"/>
      <c r="D74" s="60"/>
      <c r="F74" s="60"/>
      <c r="H74" s="60"/>
      <c r="J74" s="60"/>
      <c r="L74" s="60"/>
    </row>
    <row r="75" spans="1:12" s="55" customFormat="1" ht="15" customHeight="1" x14ac:dyDescent="0.25">
      <c r="A75" s="35"/>
      <c r="B75" s="190"/>
      <c r="D75" s="60"/>
      <c r="F75" s="60"/>
      <c r="H75" s="60"/>
      <c r="J75" s="60"/>
      <c r="L75" s="60"/>
    </row>
    <row r="76" spans="1:12" s="55" customFormat="1" ht="15" customHeight="1" x14ac:dyDescent="0.25">
      <c r="A76" s="35"/>
      <c r="B76" s="190"/>
      <c r="D76" s="60"/>
      <c r="F76" s="60"/>
      <c r="H76" s="60"/>
      <c r="J76" s="60"/>
      <c r="L76" s="60"/>
    </row>
    <row r="77" spans="1:12" s="55" customFormat="1" ht="15" customHeight="1" x14ac:dyDescent="0.25">
      <c r="A77" s="35"/>
      <c r="B77" s="190"/>
      <c r="D77" s="60"/>
      <c r="F77" s="60"/>
      <c r="H77" s="60"/>
      <c r="J77" s="60"/>
      <c r="L77" s="60"/>
    </row>
    <row r="78" spans="1:12" s="55" customFormat="1" ht="15" customHeight="1" x14ac:dyDescent="0.25">
      <c r="A78" s="35"/>
      <c r="B78" s="190"/>
      <c r="D78" s="60"/>
      <c r="F78" s="60"/>
      <c r="H78" s="60"/>
      <c r="J78" s="60"/>
      <c r="L78" s="60"/>
    </row>
    <row r="79" spans="1:12" s="55" customFormat="1" ht="15" customHeight="1" x14ac:dyDescent="0.25">
      <c r="A79" s="35"/>
      <c r="B79" s="190"/>
      <c r="D79" s="60"/>
      <c r="F79" s="60"/>
      <c r="H79" s="60"/>
      <c r="J79" s="60"/>
      <c r="L79" s="60"/>
    </row>
    <row r="80" spans="1:12" s="55" customFormat="1" ht="15" customHeight="1" x14ac:dyDescent="0.25">
      <c r="A80" s="35"/>
      <c r="B80" s="190"/>
      <c r="D80" s="60"/>
      <c r="F80" s="60"/>
      <c r="H80" s="60"/>
      <c r="J80" s="60"/>
      <c r="L80" s="60"/>
    </row>
    <row r="81" spans="1:12" s="55" customFormat="1" ht="15" customHeight="1" x14ac:dyDescent="0.25">
      <c r="A81" s="35"/>
      <c r="B81" s="190"/>
      <c r="D81" s="60"/>
      <c r="F81" s="60"/>
      <c r="H81" s="60"/>
      <c r="J81" s="60"/>
      <c r="L81" s="60"/>
    </row>
    <row r="82" spans="1:12" s="55" customFormat="1" ht="15" customHeight="1" x14ac:dyDescent="0.25">
      <c r="A82" s="35"/>
      <c r="B82" s="190"/>
      <c r="D82" s="60"/>
      <c r="F82" s="60"/>
      <c r="H82" s="60"/>
      <c r="J82" s="60"/>
      <c r="L82" s="60"/>
    </row>
    <row r="83" spans="1:12" s="55" customFormat="1" ht="15" customHeight="1" x14ac:dyDescent="0.25">
      <c r="A83" s="35"/>
      <c r="B83" s="190"/>
      <c r="D83" s="60"/>
      <c r="F83" s="60"/>
      <c r="H83" s="60"/>
      <c r="J83" s="60"/>
      <c r="L83" s="60"/>
    </row>
    <row r="84" spans="1:12" s="55" customFormat="1" ht="15" customHeight="1" x14ac:dyDescent="0.25">
      <c r="A84" s="35"/>
      <c r="B84" s="190"/>
      <c r="D84" s="60"/>
      <c r="F84" s="60"/>
      <c r="H84" s="60"/>
      <c r="J84" s="60"/>
      <c r="L84" s="60"/>
    </row>
    <row r="85" spans="1:12" s="55" customFormat="1" ht="15" customHeight="1" x14ac:dyDescent="0.25">
      <c r="A85" s="35"/>
      <c r="B85" s="190"/>
      <c r="D85" s="60"/>
      <c r="F85" s="60"/>
      <c r="H85" s="60"/>
      <c r="J85" s="60"/>
      <c r="L85" s="60"/>
    </row>
    <row r="86" spans="1:12" s="55" customFormat="1" ht="15" customHeight="1" x14ac:dyDescent="0.25">
      <c r="A86" s="35"/>
      <c r="B86" s="190"/>
      <c r="D86" s="60"/>
      <c r="F86" s="60"/>
      <c r="H86" s="60"/>
      <c r="J86" s="60"/>
      <c r="L86" s="60"/>
    </row>
    <row r="87" spans="1:12" s="55" customFormat="1" ht="15" customHeight="1" x14ac:dyDescent="0.25">
      <c r="A87" s="35"/>
      <c r="B87" s="190"/>
      <c r="D87" s="60"/>
      <c r="F87" s="60"/>
      <c r="H87" s="60"/>
      <c r="J87" s="60"/>
      <c r="L87" s="60"/>
    </row>
    <row r="88" spans="1:12" s="55" customFormat="1" ht="15" customHeight="1" x14ac:dyDescent="0.25">
      <c r="A88" s="35"/>
      <c r="B88" s="190"/>
      <c r="D88" s="60"/>
      <c r="F88" s="60"/>
      <c r="H88" s="60"/>
      <c r="J88" s="60"/>
      <c r="L88" s="60"/>
    </row>
    <row r="89" spans="1:12" s="55" customFormat="1" ht="15" customHeight="1" x14ac:dyDescent="0.25">
      <c r="A89" s="35"/>
      <c r="B89" s="190"/>
      <c r="D89" s="60"/>
      <c r="F89" s="60"/>
      <c r="H89" s="60"/>
      <c r="J89" s="60"/>
      <c r="L89" s="60"/>
    </row>
    <row r="90" spans="1:12" s="55" customFormat="1" ht="15" customHeight="1" x14ac:dyDescent="0.25">
      <c r="A90" s="35"/>
      <c r="B90" s="190"/>
      <c r="D90" s="60"/>
      <c r="F90" s="60"/>
      <c r="H90" s="60"/>
      <c r="J90" s="60"/>
      <c r="L90" s="60"/>
    </row>
    <row r="91" spans="1:12" s="55" customFormat="1" ht="15" customHeight="1" x14ac:dyDescent="0.25">
      <c r="A91" s="35"/>
      <c r="B91" s="190"/>
      <c r="D91" s="60"/>
      <c r="F91" s="60"/>
      <c r="H91" s="60"/>
      <c r="J91" s="60"/>
      <c r="L91" s="60"/>
    </row>
    <row r="92" spans="1:12" s="55" customFormat="1" ht="15" customHeight="1" x14ac:dyDescent="0.25">
      <c r="A92" s="35"/>
      <c r="B92" s="190"/>
      <c r="D92" s="60"/>
      <c r="F92" s="60"/>
      <c r="H92" s="60"/>
      <c r="J92" s="60"/>
      <c r="L92" s="60"/>
    </row>
    <row r="93" spans="1:12" s="55" customFormat="1" ht="15" customHeight="1" x14ac:dyDescent="0.25">
      <c r="A93" s="35"/>
      <c r="B93" s="190"/>
      <c r="D93" s="60"/>
      <c r="F93" s="60"/>
      <c r="H93" s="60"/>
      <c r="J93" s="60"/>
      <c r="L93" s="60"/>
    </row>
    <row r="94" spans="1:12" s="55" customFormat="1" ht="15" customHeight="1" x14ac:dyDescent="0.25">
      <c r="A94" s="35"/>
      <c r="B94" s="190"/>
      <c r="D94" s="60"/>
      <c r="F94" s="60"/>
      <c r="H94" s="60"/>
      <c r="J94" s="60"/>
      <c r="L94" s="60"/>
    </row>
    <row r="95" spans="1:12" s="55" customFormat="1" ht="15" customHeight="1" x14ac:dyDescent="0.25">
      <c r="A95" s="35"/>
      <c r="B95" s="190"/>
      <c r="D95" s="60"/>
      <c r="F95" s="60"/>
      <c r="H95" s="60"/>
      <c r="J95" s="60"/>
      <c r="L95" s="60"/>
    </row>
    <row r="96" spans="1:12" s="55" customFormat="1" ht="15" customHeight="1" x14ac:dyDescent="0.25">
      <c r="A96" s="35"/>
      <c r="B96" s="190"/>
      <c r="D96" s="60"/>
      <c r="F96" s="60"/>
      <c r="H96" s="60"/>
      <c r="J96" s="60"/>
      <c r="L96" s="60"/>
    </row>
    <row r="97" spans="1:12" s="55" customFormat="1" ht="15" customHeight="1" x14ac:dyDescent="0.25">
      <c r="A97" s="35"/>
      <c r="B97" s="190"/>
      <c r="D97" s="60"/>
      <c r="F97" s="60"/>
      <c r="H97" s="60"/>
      <c r="J97" s="60"/>
      <c r="L97" s="60"/>
    </row>
    <row r="98" spans="1:12" s="55" customFormat="1" ht="15" customHeight="1" x14ac:dyDescent="0.25">
      <c r="A98" s="35"/>
      <c r="B98" s="190"/>
      <c r="D98" s="60"/>
      <c r="F98" s="60"/>
      <c r="H98" s="60"/>
      <c r="J98" s="60"/>
      <c r="L98" s="60"/>
    </row>
    <row r="99" spans="1:12" s="55" customFormat="1" ht="15" customHeight="1" x14ac:dyDescent="0.25">
      <c r="A99" s="35"/>
      <c r="B99" s="190"/>
      <c r="D99" s="60"/>
      <c r="F99" s="60"/>
      <c r="H99" s="60"/>
      <c r="J99" s="60"/>
      <c r="L99" s="60"/>
    </row>
    <row r="100" spans="1:12" s="55" customFormat="1" ht="15" customHeight="1" x14ac:dyDescent="0.25">
      <c r="A100" s="35"/>
      <c r="B100" s="190"/>
      <c r="D100" s="60"/>
      <c r="F100" s="60"/>
      <c r="H100" s="60"/>
      <c r="J100" s="60"/>
      <c r="L100" s="60"/>
    </row>
    <row r="101" spans="1:12" s="55" customFormat="1" ht="15" customHeight="1" x14ac:dyDescent="0.25">
      <c r="A101" s="35"/>
      <c r="B101" s="190"/>
      <c r="D101" s="60"/>
      <c r="F101" s="60"/>
      <c r="H101" s="60"/>
      <c r="J101" s="60"/>
      <c r="L101" s="60"/>
    </row>
    <row r="102" spans="1:12" s="55" customFormat="1" ht="15" customHeight="1" x14ac:dyDescent="0.25">
      <c r="A102" s="35"/>
      <c r="B102" s="190"/>
      <c r="D102" s="60"/>
      <c r="F102" s="60"/>
      <c r="H102" s="60"/>
      <c r="J102" s="60"/>
      <c r="L102" s="60"/>
    </row>
    <row r="103" spans="1:12" s="55" customFormat="1" ht="15" customHeight="1" x14ac:dyDescent="0.25">
      <c r="A103" s="35"/>
      <c r="B103" s="190"/>
      <c r="D103" s="60"/>
      <c r="F103" s="60"/>
      <c r="H103" s="60"/>
      <c r="J103" s="60"/>
      <c r="L103" s="60"/>
    </row>
    <row r="104" spans="1:12" s="55" customFormat="1" ht="15" customHeight="1" x14ac:dyDescent="0.25">
      <c r="A104" s="35"/>
      <c r="B104" s="190"/>
      <c r="D104" s="60"/>
      <c r="F104" s="60"/>
      <c r="H104" s="60"/>
      <c r="J104" s="60"/>
      <c r="L104" s="60"/>
    </row>
    <row r="105" spans="1:12" s="55" customFormat="1" ht="15" customHeight="1" x14ac:dyDescent="0.25">
      <c r="A105" s="35"/>
      <c r="B105" s="190"/>
      <c r="D105" s="60"/>
      <c r="F105" s="60"/>
      <c r="H105" s="60"/>
      <c r="J105" s="60"/>
      <c r="L105" s="60"/>
    </row>
    <row r="106" spans="1:12" s="55" customFormat="1" ht="15" customHeight="1" x14ac:dyDescent="0.25">
      <c r="A106" s="35"/>
      <c r="B106" s="190"/>
      <c r="D106" s="60"/>
      <c r="F106" s="60"/>
      <c r="H106" s="60"/>
      <c r="J106" s="60"/>
      <c r="L106" s="60"/>
    </row>
    <row r="107" spans="1:12" s="55" customFormat="1" ht="15" customHeight="1" x14ac:dyDescent="0.25">
      <c r="A107" s="35"/>
      <c r="B107" s="190"/>
      <c r="D107" s="60"/>
      <c r="F107" s="60"/>
      <c r="H107" s="60"/>
      <c r="J107" s="60"/>
      <c r="L107" s="60"/>
    </row>
    <row r="108" spans="1:12" s="55" customFormat="1" ht="15" customHeight="1" x14ac:dyDescent="0.25">
      <c r="A108" s="35"/>
      <c r="B108" s="190"/>
      <c r="D108" s="60"/>
      <c r="F108" s="60"/>
      <c r="H108" s="60"/>
      <c r="J108" s="60"/>
      <c r="L108" s="60"/>
    </row>
    <row r="109" spans="1:12" s="55" customFormat="1" ht="15" customHeight="1" x14ac:dyDescent="0.25">
      <c r="A109" s="35"/>
      <c r="B109" s="190"/>
      <c r="D109" s="60"/>
      <c r="F109" s="60"/>
      <c r="H109" s="60"/>
      <c r="J109" s="60"/>
      <c r="L109" s="60"/>
    </row>
    <row r="110" spans="1:12" s="55" customFormat="1" ht="15" customHeight="1" x14ac:dyDescent="0.25">
      <c r="A110" s="35"/>
      <c r="B110" s="190"/>
      <c r="D110" s="60"/>
      <c r="F110" s="60"/>
      <c r="H110" s="60"/>
      <c r="J110" s="60"/>
      <c r="L110" s="60"/>
    </row>
    <row r="111" spans="1:12" s="55" customFormat="1" ht="15" customHeight="1" x14ac:dyDescent="0.25">
      <c r="A111" s="35"/>
      <c r="B111" s="190"/>
      <c r="D111" s="60"/>
      <c r="F111" s="60"/>
      <c r="H111" s="60"/>
      <c r="J111" s="60"/>
      <c r="L111" s="60"/>
    </row>
    <row r="112" spans="1:12" s="55" customFormat="1" ht="15" customHeight="1" x14ac:dyDescent="0.25">
      <c r="A112" s="35"/>
      <c r="B112" s="190"/>
      <c r="D112" s="60"/>
      <c r="F112" s="60"/>
      <c r="H112" s="60"/>
      <c r="J112" s="60"/>
      <c r="L112" s="60"/>
    </row>
    <row r="113" spans="1:12" s="55" customFormat="1" ht="15" customHeight="1" x14ac:dyDescent="0.25">
      <c r="A113" s="35"/>
      <c r="B113" s="190"/>
      <c r="D113" s="62"/>
      <c r="F113" s="62"/>
      <c r="H113" s="62"/>
      <c r="J113" s="62"/>
      <c r="L113" s="62"/>
    </row>
  </sheetData>
  <sheetProtection password="CC3D" sheet="1" objects="1" scenarios="1"/>
  <mergeCells count="7">
    <mergeCell ref="D11:H11"/>
    <mergeCell ref="D8:H8"/>
    <mergeCell ref="D9:H9"/>
    <mergeCell ref="D10:H10"/>
    <mergeCell ref="D1:L1"/>
    <mergeCell ref="D7:H7"/>
    <mergeCell ref="D5:H5"/>
  </mergeCells>
  <printOptions horizontalCentered="1" verticalCentered="1"/>
  <pageMargins left="0.70866141732283472" right="0.70866141732283472" top="0.78740157480314965" bottom="0.78740157480314965" header="0.31496062992125984" footer="0.31496062992125984"/>
  <headerFooter>
    <oddFooter>&amp;C&amp;D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77"/>
  <sheetViews>
    <sheetView topLeftCell="F10" zoomScale="70" zoomScaleNormal="70" workbookViewId="0">
      <selection activeCell="F7" sqref="F7"/>
    </sheetView>
  </sheetViews>
  <sheetFormatPr defaultColWidth="11.296875" defaultRowHeight="13.8" x14ac:dyDescent="0.25"/>
  <cols>
    <col min="1" max="1" width="7" style="14" customWidth="1"/>
    <col min="2" max="2" width="0.59765625" style="35" customWidth="1"/>
    <col min="3" max="3" width="4.3984375" style="37" customWidth="1"/>
    <col min="4" max="4" width="3.59765625" style="38" bestFit="1" customWidth="1"/>
    <col min="5" max="5" width="22.8984375" style="38" customWidth="1"/>
    <col min="6" max="6" width="50.59765625" style="37" customWidth="1"/>
    <col min="7" max="7" width="12.59765625" style="38" customWidth="1"/>
    <col min="8" max="9" width="34" style="38" bestFit="1" customWidth="1"/>
    <col min="10" max="11" width="15.59765625" style="38" customWidth="1"/>
    <col min="12" max="12" width="52" style="37" customWidth="1"/>
    <col min="13" max="16384" width="11.296875" style="38"/>
  </cols>
  <sheetData>
    <row r="1" spans="1:12" ht="21" customHeight="1" x14ac:dyDescent="0.25">
      <c r="B1" s="190"/>
    </row>
    <row r="2" spans="1:12" s="55" customFormat="1" ht="49.95" customHeight="1" x14ac:dyDescent="0.25">
      <c r="A2" s="14"/>
      <c r="B2" s="190"/>
      <c r="C2" s="54"/>
      <c r="D2" s="240" t="str">
        <f ca="1">ReadMe!$D$2&amp;": "&amp;Calculations!P29</f>
        <v>Sanitation Costing Tool: Item Prices &amp; Rates</v>
      </c>
      <c r="E2" s="240"/>
      <c r="F2" s="240"/>
      <c r="G2" s="240"/>
      <c r="H2" s="240"/>
      <c r="I2" s="240"/>
      <c r="J2" s="240"/>
      <c r="K2" s="240"/>
    </row>
    <row r="3" spans="1:12" ht="16.95" customHeight="1" x14ac:dyDescent="0.25">
      <c r="B3" s="190"/>
    </row>
    <row r="4" spans="1:12" ht="4.05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ht="22.05" customHeight="1" x14ac:dyDescent="0.25">
      <c r="A5" s="190"/>
      <c r="B5" s="190"/>
    </row>
    <row r="6" spans="1:12" s="55" customFormat="1" ht="25.05" customHeight="1" x14ac:dyDescent="0.25">
      <c r="A6" s="190"/>
      <c r="B6" s="190"/>
      <c r="C6" s="54"/>
      <c r="D6" s="245" t="s">
        <v>82</v>
      </c>
      <c r="E6" s="246"/>
      <c r="F6" s="247"/>
      <c r="G6" s="57"/>
      <c r="H6" s="245" t="s">
        <v>97</v>
      </c>
      <c r="I6" s="247"/>
      <c r="J6" s="250" t="s">
        <v>84</v>
      </c>
      <c r="K6" s="251"/>
    </row>
    <row r="7" spans="1:12" s="63" customFormat="1" ht="22.95" customHeight="1" x14ac:dyDescent="0.25">
      <c r="A7" s="14"/>
      <c r="B7" s="190"/>
      <c r="D7" s="248" t="s">
        <v>6</v>
      </c>
      <c r="E7" s="249"/>
      <c r="F7" s="96" t="s">
        <v>172</v>
      </c>
      <c r="G7" s="83"/>
      <c r="H7" s="256" t="s">
        <v>89</v>
      </c>
      <c r="I7" s="257"/>
      <c r="J7" s="252" t="s">
        <v>85</v>
      </c>
      <c r="K7" s="253"/>
    </row>
    <row r="8" spans="1:12" s="63" customFormat="1" ht="25.05" customHeight="1" x14ac:dyDescent="0.25">
      <c r="A8" s="187"/>
      <c r="B8" s="190"/>
      <c r="D8" s="241" t="s">
        <v>7</v>
      </c>
      <c r="E8" s="242"/>
      <c r="F8" s="97"/>
      <c r="G8" s="83"/>
      <c r="H8" s="258"/>
      <c r="I8" s="259"/>
      <c r="J8" s="254" t="s">
        <v>107</v>
      </c>
      <c r="K8" s="255"/>
    </row>
    <row r="9" spans="1:12" s="63" customFormat="1" ht="28.05" customHeight="1" x14ac:dyDescent="0.25">
      <c r="A9" s="186"/>
      <c r="B9" s="190"/>
      <c r="D9" s="241" t="s">
        <v>5</v>
      </c>
      <c r="E9" s="242"/>
      <c r="F9" s="160" t="s">
        <v>27</v>
      </c>
      <c r="G9" s="83"/>
      <c r="H9" s="95"/>
    </row>
    <row r="10" spans="1:12" s="55" customFormat="1" ht="25.05" customHeight="1" x14ac:dyDescent="0.25">
      <c r="A10" s="187"/>
      <c r="B10" s="190"/>
      <c r="C10" s="54"/>
      <c r="D10" s="241" t="s">
        <v>8</v>
      </c>
      <c r="E10" s="242"/>
      <c r="F10" s="97"/>
      <c r="G10" s="58"/>
      <c r="H10" s="245" t="s">
        <v>2</v>
      </c>
      <c r="I10" s="246"/>
      <c r="J10" s="246"/>
      <c r="K10" s="246"/>
      <c r="L10" s="247"/>
    </row>
    <row r="11" spans="1:12" s="63" customFormat="1" ht="19.95" customHeight="1" x14ac:dyDescent="0.25">
      <c r="A11" s="187"/>
      <c r="B11" s="190"/>
      <c r="D11" s="241" t="s">
        <v>9</v>
      </c>
      <c r="E11" s="242"/>
      <c r="F11" s="158">
        <v>2013</v>
      </c>
      <c r="G11" s="84"/>
      <c r="H11" s="248" t="s">
        <v>3</v>
      </c>
      <c r="I11" s="249"/>
      <c r="J11" s="249"/>
      <c r="K11" s="249"/>
      <c r="L11" s="85" t="s">
        <v>53</v>
      </c>
    </row>
    <row r="12" spans="1:12" s="63" customFormat="1" ht="19.95" customHeight="1" x14ac:dyDescent="0.25">
      <c r="A12" s="187"/>
      <c r="B12" s="190"/>
      <c r="D12" s="241" t="s">
        <v>10</v>
      </c>
      <c r="E12" s="242"/>
      <c r="F12" s="161" t="s">
        <v>173</v>
      </c>
      <c r="G12" s="83"/>
      <c r="H12" s="241" t="s">
        <v>4</v>
      </c>
      <c r="I12" s="242"/>
      <c r="J12" s="242"/>
      <c r="K12" s="242"/>
      <c r="L12" s="86"/>
    </row>
    <row r="13" spans="1:12" s="63" customFormat="1" ht="19.95" customHeight="1" x14ac:dyDescent="0.25">
      <c r="A13" s="187"/>
      <c r="B13" s="190"/>
      <c r="D13" s="241"/>
      <c r="E13" s="242"/>
      <c r="F13" s="161" t="s">
        <v>174</v>
      </c>
      <c r="G13" s="83"/>
      <c r="H13" s="241" t="str">
        <f>IF(OR(L11="",L12=""),"Exchange rate 1 --&gt; 2","Exchange rate "&amp;L11&amp;" --&gt; "&amp;L12)</f>
        <v>Exchange rate 1 --&gt; 2</v>
      </c>
      <c r="I13" s="242"/>
      <c r="J13" s="242"/>
      <c r="K13" s="242"/>
      <c r="L13" s="87"/>
    </row>
    <row r="14" spans="1:12" s="63" customFormat="1" ht="19.95" customHeight="1" x14ac:dyDescent="0.25">
      <c r="A14" s="187"/>
      <c r="B14" s="190"/>
      <c r="D14" s="241"/>
      <c r="E14" s="242"/>
      <c r="F14" s="97"/>
      <c r="G14" s="83"/>
      <c r="H14" s="241" t="s">
        <v>79</v>
      </c>
      <c r="I14" s="242"/>
      <c r="J14" s="242"/>
      <c r="K14" s="242"/>
      <c r="L14" s="88" t="s">
        <v>175</v>
      </c>
    </row>
    <row r="15" spans="1:12" s="63" customFormat="1" ht="19.95" customHeight="1" x14ac:dyDescent="0.25">
      <c r="A15" s="187"/>
      <c r="B15" s="190"/>
      <c r="D15" s="243"/>
      <c r="E15" s="244"/>
      <c r="F15" s="98"/>
      <c r="G15" s="83"/>
      <c r="H15" s="243" t="s">
        <v>1</v>
      </c>
      <c r="I15" s="244"/>
      <c r="J15" s="244"/>
      <c r="K15" s="244"/>
      <c r="L15" s="157"/>
    </row>
    <row r="16" spans="1:12" s="39" customFormat="1" x14ac:dyDescent="0.25">
      <c r="A16" s="187"/>
      <c r="B16" s="190"/>
      <c r="C16" s="40"/>
      <c r="D16" s="41"/>
      <c r="E16" s="41"/>
      <c r="F16" s="41"/>
      <c r="G16" s="43"/>
    </row>
    <row r="17" spans="1:12" s="55" customFormat="1" ht="25.05" customHeight="1" x14ac:dyDescent="0.25">
      <c r="A17" s="14"/>
      <c r="B17" s="190"/>
      <c r="C17" s="54"/>
      <c r="D17" s="245" t="s">
        <v>104</v>
      </c>
      <c r="E17" s="246"/>
      <c r="F17" s="247"/>
      <c r="G17" s="260" t="s">
        <v>113</v>
      </c>
      <c r="H17" s="261"/>
      <c r="I17" s="262"/>
      <c r="J17" s="245" t="s">
        <v>114</v>
      </c>
      <c r="K17" s="247"/>
      <c r="L17" s="193" t="s">
        <v>83</v>
      </c>
    </row>
    <row r="18" spans="1:12" s="63" customFormat="1" ht="19.95" customHeight="1" x14ac:dyDescent="0.25">
      <c r="A18" s="14"/>
      <c r="B18" s="190"/>
      <c r="D18" s="82" t="s">
        <v>86</v>
      </c>
      <c r="E18" s="82" t="str">
        <f>'Dropdown Lists'!H13</f>
        <v>Item Category</v>
      </c>
      <c r="F18" s="82" t="s">
        <v>91</v>
      </c>
      <c r="G18" s="89" t="str">
        <f>'Dropdown Lists'!J13</f>
        <v>Unit</v>
      </c>
      <c r="H18" s="82" t="s">
        <v>147</v>
      </c>
      <c r="I18" s="82" t="s">
        <v>147</v>
      </c>
      <c r="J18" s="82" t="str">
        <f ca="1">RIGHT(CELL("filename",'Model 1'!D6:E6),LEN(CELL("filename",'Model 1'!D6:E6))-FIND("]",CELL("filename",'Model 1'!D6:E6)))</f>
        <v>Model 1</v>
      </c>
      <c r="K18" s="90" t="str">
        <f ca="1">RIGHT(CELL("filename",'Model 2'!D6:E6),LEN(CELL("filename",'Model 2'!D6:E6))-FIND("]",CELL("filename",'Model 2'!D6:E6)))</f>
        <v>Model 2</v>
      </c>
      <c r="L18" s="91" t="s">
        <v>87</v>
      </c>
    </row>
    <row r="19" spans="1:12" s="63" customFormat="1" ht="19.95" customHeight="1" x14ac:dyDescent="0.25">
      <c r="A19" s="187"/>
      <c r="B19" s="190"/>
      <c r="D19" s="92"/>
      <c r="E19" s="93"/>
      <c r="F19" s="93"/>
      <c r="G19" s="94"/>
      <c r="H19" s="93" t="str">
        <f>IF(L11="","",L11)</f>
        <v>Kenya: Kenyan shilling (KES)</v>
      </c>
      <c r="I19" s="93" t="str">
        <f>IF(IF(L14=Calculations!P8,'Item Prices &amp; Rates'!L11,IF(L14=Calculations!P9,'Item Prices &amp; Rates'!L12,""))=0,"",IF(L14=Calculations!P8,'Item Prices &amp; Rates'!L11,IF(L14=Calculations!P9,'Item Prices &amp; Rates'!L12,"")))</f>
        <v>Kenya: Kenyan shilling (KES)</v>
      </c>
      <c r="J19" s="93"/>
      <c r="K19" s="95"/>
      <c r="L19" s="93"/>
    </row>
    <row r="20" spans="1:12" s="55" customFormat="1" ht="19.95" customHeight="1" x14ac:dyDescent="0.25">
      <c r="A20" s="187"/>
      <c r="B20" s="190"/>
      <c r="C20" s="54"/>
      <c r="D20" s="64">
        <f>IF(F20="","",ROW(D20)-ROW(D$20)+1)</f>
        <v>1</v>
      </c>
      <c r="E20" s="164" t="s">
        <v>90</v>
      </c>
      <c r="F20" s="166" t="s">
        <v>176</v>
      </c>
      <c r="G20" s="168" t="s">
        <v>15</v>
      </c>
      <c r="H20" s="162">
        <v>40</v>
      </c>
      <c r="I20" s="65">
        <f>IF(H20="","",IF(L$14="","Please choose a currency in cell "&amp;ADDRESS(ROW(L$14),COLUMN(L$14),4),IF(L$14=Calculations!P$8,IF(H20="","",'Item Prices &amp; Rates'!H20),IF('Item Prices &amp; Rates'!L$13="","Please fill in exchange rate!",IF(H20="","",'Item Prices &amp; Rates'!H20*'Item Prices &amp; Rates'!L$13)))))</f>
        <v>40</v>
      </c>
      <c r="J20" s="66">
        <f>IF(SUMIF('Model 1'!L$18:L$67,'Item Prices &amp; Rates'!D20,'Model 1'!G$18:G$67)=0,"",SUMIF('Model 1'!L$18:L$67,'Item Prices &amp; Rates'!D20,'Model 1'!G$18:G$67))</f>
        <v>107</v>
      </c>
      <c r="K20" s="66" t="str">
        <f>IF(SUMIF('Model 2'!L$18:L$67,'Item Prices &amp; Rates'!D20,'Model 2'!G$18:G$67)=0,"",SUMIF('Model 2'!L$18:L$67,'Item Prices &amp; Rates'!D20,'Model 2'!G$18:G$67))</f>
        <v/>
      </c>
      <c r="L20" s="67"/>
    </row>
    <row r="21" spans="1:12" s="55" customFormat="1" ht="19.95" customHeight="1" x14ac:dyDescent="0.25">
      <c r="A21" s="187"/>
      <c r="B21" s="190"/>
      <c r="C21" s="54"/>
      <c r="D21" s="68">
        <f>IF(F21="","",ROW(D21)-ROW(D$20)+1)</f>
        <v>2</v>
      </c>
      <c r="E21" s="165" t="s">
        <v>164</v>
      </c>
      <c r="F21" s="167" t="s">
        <v>177</v>
      </c>
      <c r="G21" s="169" t="s">
        <v>230</v>
      </c>
      <c r="H21" s="163">
        <v>860</v>
      </c>
      <c r="I21" s="71">
        <f>IF(H21="","",IF(L$14="","Please choose a currency in cell "&amp;ADDRESS(ROW(L$14),COLUMN(L$14),4),IF(L$14=Calculations!P$8,IF(H21="","",'Item Prices &amp; Rates'!H21),IF('Item Prices &amp; Rates'!L$13="","Please fill in exchange rate!",IF(H21="","",'Item Prices &amp; Rates'!H21*'Item Prices &amp; Rates'!L$13)))))</f>
        <v>860</v>
      </c>
      <c r="J21" s="72">
        <f>IF(SUMIF('Model 1'!L$18:L$67,'Item Prices &amp; Rates'!D21,'Model 1'!G$18:G$67)=0,"",SUMIF('Model 1'!L$18:L$67,'Item Prices &amp; Rates'!D21,'Model 1'!G$18:G$67))</f>
        <v>4.0520000000000005</v>
      </c>
      <c r="K21" s="72" t="str">
        <f>IF(SUMIF('Model 2'!L$18:L$67,'Item Prices &amp; Rates'!D21,'Model 2'!G$18:G$67)=0,"",SUMIF('Model 2'!L$18:L$67,'Item Prices &amp; Rates'!D21,'Model 2'!G$18:G$67))</f>
        <v/>
      </c>
      <c r="L21" s="73"/>
    </row>
    <row r="22" spans="1:12" s="55" customFormat="1" ht="19.95" customHeight="1" x14ac:dyDescent="0.25">
      <c r="A22" s="14"/>
      <c r="B22" s="190"/>
      <c r="C22" s="54"/>
      <c r="D22" s="68">
        <f t="shared" ref="D22:D66" si="0">IF(F22="","",ROW(D22)-ROW(D$20)+1)</f>
        <v>3</v>
      </c>
      <c r="E22" s="165" t="s">
        <v>90</v>
      </c>
      <c r="F22" s="167" t="s">
        <v>178</v>
      </c>
      <c r="G22" s="169" t="s">
        <v>230</v>
      </c>
      <c r="H22" s="163">
        <v>860</v>
      </c>
      <c r="I22" s="71">
        <f>IF(H22="","",IF(L$14="","Please choose a currency in cell "&amp;ADDRESS(ROW(L$14),COLUMN(L$14),4),IF(L$14=Calculations!P$8,IF(H22="","",'Item Prices &amp; Rates'!H22),IF('Item Prices &amp; Rates'!L$13="","Please fill in exchange rate!",IF(H22="","",'Item Prices &amp; Rates'!H22*'Item Prices &amp; Rates'!L$13)))))</f>
        <v>860</v>
      </c>
      <c r="J22" s="72" t="str">
        <f>IF(SUMIF('Model 1'!L$18:L$67,'Item Prices &amp; Rates'!D22,'Model 1'!G$18:G$67)=0,"",SUMIF('Model 1'!L$18:L$67,'Item Prices &amp; Rates'!D22,'Model 1'!G$18:G$67))</f>
        <v/>
      </c>
      <c r="K22" s="72" t="str">
        <f>IF(SUMIF('Model 2'!L$18:L$67,'Item Prices &amp; Rates'!D22,'Model 2'!G$18:G$67)=0,"",SUMIF('Model 2'!L$18:L$67,'Item Prices &amp; Rates'!D22,'Model 2'!G$18:G$67))</f>
        <v/>
      </c>
      <c r="L22" s="73"/>
    </row>
    <row r="23" spans="1:12" s="55" customFormat="1" ht="19.95" customHeight="1" x14ac:dyDescent="0.25">
      <c r="A23" s="14"/>
      <c r="B23" s="190"/>
      <c r="C23" s="54"/>
      <c r="D23" s="68">
        <f t="shared" si="0"/>
        <v>4</v>
      </c>
      <c r="E23" s="165" t="s">
        <v>164</v>
      </c>
      <c r="F23" s="167" t="s">
        <v>179</v>
      </c>
      <c r="G23" s="169" t="s">
        <v>165</v>
      </c>
      <c r="H23" s="163">
        <v>770</v>
      </c>
      <c r="I23" s="71">
        <f>IF(H23="","",IF(L$14="","Please choose a currency in cell "&amp;ADDRESS(ROW(L$14),COLUMN(L$14),4),IF(L$14=Calculations!P$8,IF(H23="","",'Item Prices &amp; Rates'!H23),IF('Item Prices &amp; Rates'!L$13="","Please fill in exchange rate!",IF(H23="","",'Item Prices &amp; Rates'!H23*'Item Prices &amp; Rates'!L$13)))))</f>
        <v>770</v>
      </c>
      <c r="J23" s="72">
        <f>IF(SUMIF('Model 1'!L$18:L$67,'Item Prices &amp; Rates'!D23,'Model 1'!G$18:G$67)=0,"",SUMIF('Model 1'!L$18:L$67,'Item Prices &amp; Rates'!D23,'Model 1'!G$18:G$67))</f>
        <v>21.634999999999998</v>
      </c>
      <c r="K23" s="72" t="str">
        <f>IF(SUMIF('Model 2'!L$18:L$67,'Item Prices &amp; Rates'!D23,'Model 2'!G$18:G$67)=0,"",SUMIF('Model 2'!L$18:L$67,'Item Prices &amp; Rates'!D23,'Model 2'!G$18:G$67))</f>
        <v/>
      </c>
      <c r="L23" s="73"/>
    </row>
    <row r="24" spans="1:12" s="55" customFormat="1" ht="19.95" customHeight="1" x14ac:dyDescent="0.25">
      <c r="A24" s="187"/>
      <c r="B24" s="190"/>
      <c r="C24" s="54"/>
      <c r="D24" s="68">
        <f t="shared" si="0"/>
        <v>5</v>
      </c>
      <c r="E24" s="165" t="s">
        <v>90</v>
      </c>
      <c r="F24" s="167" t="s">
        <v>178</v>
      </c>
      <c r="G24" s="169" t="s">
        <v>165</v>
      </c>
      <c r="H24" s="163">
        <v>770</v>
      </c>
      <c r="I24" s="71">
        <f>IF(H24="","",IF(L$14="","Please choose a currency in cell "&amp;ADDRESS(ROW(L$14),COLUMN(L$14),4),IF(L$14=Calculations!P$8,IF(H24="","",'Item Prices &amp; Rates'!H24),IF('Item Prices &amp; Rates'!L$13="","Please fill in exchange rate!",IF(H24="","",'Item Prices &amp; Rates'!H24*'Item Prices &amp; Rates'!L$13)))))</f>
        <v>770</v>
      </c>
      <c r="J24" s="72" t="str">
        <f>IF(SUMIF('Model 1'!L$18:L$67,'Item Prices &amp; Rates'!D24,'Model 1'!G$18:G$67)=0,"",SUMIF('Model 1'!L$18:L$67,'Item Prices &amp; Rates'!D24,'Model 1'!G$18:G$67))</f>
        <v/>
      </c>
      <c r="K24" s="72" t="str">
        <f>IF(SUMIF('Model 2'!L$18:L$67,'Item Prices &amp; Rates'!D24,'Model 2'!G$18:G$67)=0,"",SUMIF('Model 2'!L$18:L$67,'Item Prices &amp; Rates'!D24,'Model 2'!G$18:G$67))</f>
        <v/>
      </c>
      <c r="L24" s="73"/>
    </row>
    <row r="25" spans="1:12" s="55" customFormat="1" ht="19.95" customHeight="1" x14ac:dyDescent="0.25">
      <c r="A25" s="14"/>
      <c r="B25" s="190"/>
      <c r="C25" s="54"/>
      <c r="D25" s="68">
        <f t="shared" si="0"/>
        <v>6</v>
      </c>
      <c r="E25" s="165" t="s">
        <v>90</v>
      </c>
      <c r="F25" s="167" t="s">
        <v>180</v>
      </c>
      <c r="G25" s="169" t="s">
        <v>231</v>
      </c>
      <c r="H25" s="163">
        <v>420</v>
      </c>
      <c r="I25" s="71">
        <f>IF(H25="","",IF(L$14="","Please choose a currency in cell "&amp;ADDRESS(ROW(L$14),COLUMN(L$14),4),IF(L$14=Calculations!P$8,IF(H25="","",'Item Prices &amp; Rates'!H25),IF('Item Prices &amp; Rates'!L$13="","Please fill in exchange rate!",IF(H25="","",'Item Prices &amp; Rates'!H25*'Item Prices &amp; Rates'!L$13)))))</f>
        <v>420</v>
      </c>
      <c r="J25" s="72">
        <f>IF(SUMIF('Model 1'!L$18:L$67,'Item Prices &amp; Rates'!D25,'Model 1'!G$18:G$67)=0,"",SUMIF('Model 1'!L$18:L$67,'Item Prices &amp; Rates'!D25,'Model 1'!G$18:G$67))</f>
        <v>7.37</v>
      </c>
      <c r="K25" s="72" t="str">
        <f>IF(SUMIF('Model 2'!L$18:L$67,'Item Prices &amp; Rates'!D25,'Model 2'!G$18:G$67)=0,"",SUMIF('Model 2'!L$18:L$67,'Item Prices &amp; Rates'!D25,'Model 2'!G$18:G$67))</f>
        <v/>
      </c>
      <c r="L25" s="73"/>
    </row>
    <row r="26" spans="1:12" s="55" customFormat="1" ht="19.95" customHeight="1" x14ac:dyDescent="0.25">
      <c r="A26" s="14"/>
      <c r="B26" s="190"/>
      <c r="C26" s="54"/>
      <c r="D26" s="68">
        <f t="shared" si="0"/>
        <v>7</v>
      </c>
      <c r="E26" s="165" t="s">
        <v>90</v>
      </c>
      <c r="F26" s="167" t="s">
        <v>181</v>
      </c>
      <c r="G26" s="169" t="s">
        <v>12</v>
      </c>
      <c r="H26" s="163">
        <v>116.67</v>
      </c>
      <c r="I26" s="71">
        <f>IF(H26="","",IF(L$14="","Please choose a currency in cell "&amp;ADDRESS(ROW(L$14),COLUMN(L$14),4),IF(L$14=Calculations!P$8,IF(H26="","",'Item Prices &amp; Rates'!H26),IF('Item Prices &amp; Rates'!L$13="","Please fill in exchange rate!",IF(H26="","",'Item Prices &amp; Rates'!H26*'Item Prices &amp; Rates'!L$13)))))</f>
        <v>116.67</v>
      </c>
      <c r="J26" s="72">
        <f>IF(SUMIF('Model 1'!L$18:L$67,'Item Prices &amp; Rates'!D26,'Model 1'!G$18:G$67)=0,"",SUMIF('Model 1'!L$18:L$67,'Item Prices &amp; Rates'!D26,'Model 1'!G$18:G$67))</f>
        <v>19.267500000000002</v>
      </c>
      <c r="K26" s="72" t="str">
        <f>IF(SUMIF('Model 2'!L$18:L$67,'Item Prices &amp; Rates'!D26,'Model 2'!G$18:G$67)=0,"",SUMIF('Model 2'!L$18:L$67,'Item Prices &amp; Rates'!D26,'Model 2'!G$18:G$67))</f>
        <v/>
      </c>
      <c r="L26" s="73"/>
    </row>
    <row r="27" spans="1:12" s="55" customFormat="1" ht="19.95" customHeight="1" x14ac:dyDescent="0.25">
      <c r="A27" s="14"/>
      <c r="B27" s="190"/>
      <c r="C27" s="54"/>
      <c r="D27" s="68">
        <f t="shared" si="0"/>
        <v>8</v>
      </c>
      <c r="E27" s="165" t="s">
        <v>90</v>
      </c>
      <c r="F27" s="167" t="s">
        <v>182</v>
      </c>
      <c r="G27" s="169" t="s">
        <v>12</v>
      </c>
      <c r="H27" s="163">
        <v>250</v>
      </c>
      <c r="I27" s="71">
        <f>IF(H27="","",IF(L$14="","Please choose a currency in cell "&amp;ADDRESS(ROW(L$14),COLUMN(L$14),4),IF(L$14=Calculations!P$8,IF(H27="","",'Item Prices &amp; Rates'!H27),IF('Item Prices &amp; Rates'!L$13="","Please fill in exchange rate!",IF(H27="","",'Item Prices &amp; Rates'!H27*'Item Prices &amp; Rates'!L$13)))))</f>
        <v>250</v>
      </c>
      <c r="J27" s="72">
        <f>IF(SUMIF('Model 1'!L$18:L$67,'Item Prices &amp; Rates'!D27,'Model 1'!G$18:G$67)=0,"",SUMIF('Model 1'!L$18:L$67,'Item Prices &amp; Rates'!D27,'Model 1'!G$18:G$67))</f>
        <v>5.0925000000000002</v>
      </c>
      <c r="K27" s="72" t="str">
        <f>IF(SUMIF('Model 2'!L$18:L$67,'Item Prices &amp; Rates'!D27,'Model 2'!G$18:G$67)=0,"",SUMIF('Model 2'!L$18:L$67,'Item Prices &amp; Rates'!D27,'Model 2'!G$18:G$67))</f>
        <v/>
      </c>
      <c r="L27" s="73"/>
    </row>
    <row r="28" spans="1:12" s="55" customFormat="1" ht="19.95" customHeight="1" x14ac:dyDescent="0.25">
      <c r="A28" s="14"/>
      <c r="B28" s="190"/>
      <c r="C28" s="54"/>
      <c r="D28" s="68">
        <f t="shared" si="0"/>
        <v>9</v>
      </c>
      <c r="E28" s="165" t="s">
        <v>90</v>
      </c>
      <c r="F28" s="167" t="s">
        <v>183</v>
      </c>
      <c r="G28" s="169" t="s">
        <v>15</v>
      </c>
      <c r="H28" s="163">
        <v>150</v>
      </c>
      <c r="I28" s="71">
        <f>IF(H28="","",IF(L$14="","Please choose a currency in cell "&amp;ADDRESS(ROW(L$14),COLUMN(L$14),4),IF(L$14=Calculations!P$8,IF(H28="","",'Item Prices &amp; Rates'!H28),IF('Item Prices &amp; Rates'!L$13="","Please fill in exchange rate!",IF(H28="","",'Item Prices &amp; Rates'!H28*'Item Prices &amp; Rates'!L$13)))))</f>
        <v>150</v>
      </c>
      <c r="J28" s="72">
        <f>IF(SUMIF('Model 1'!L$18:L$67,'Item Prices &amp; Rates'!D28,'Model 1'!G$18:G$67)=0,"",SUMIF('Model 1'!L$18:L$67,'Item Prices &amp; Rates'!D28,'Model 1'!G$18:G$67))</f>
        <v>2.1</v>
      </c>
      <c r="K28" s="72" t="str">
        <f>IF(SUMIF('Model 2'!L$18:L$67,'Item Prices &amp; Rates'!D28,'Model 2'!G$18:G$67)=0,"",SUMIF('Model 2'!L$18:L$67,'Item Prices &amp; Rates'!D28,'Model 2'!G$18:G$67))</f>
        <v/>
      </c>
      <c r="L28" s="73"/>
    </row>
    <row r="29" spans="1:12" s="55" customFormat="1" ht="19.95" customHeight="1" x14ac:dyDescent="0.25">
      <c r="A29" s="14"/>
      <c r="B29" s="190"/>
      <c r="C29" s="54"/>
      <c r="D29" s="68">
        <f t="shared" si="0"/>
        <v>10</v>
      </c>
      <c r="E29" s="165" t="s">
        <v>90</v>
      </c>
      <c r="F29" s="167" t="s">
        <v>184</v>
      </c>
      <c r="G29" s="169" t="s">
        <v>15</v>
      </c>
      <c r="H29" s="163">
        <v>180</v>
      </c>
      <c r="I29" s="71">
        <f>IF(H29="","",IF(L$14="","Please choose a currency in cell "&amp;ADDRESS(ROW(L$14),COLUMN(L$14),4),IF(L$14=Calculations!P$8,IF(H29="","",'Item Prices &amp; Rates'!H29),IF('Item Prices &amp; Rates'!L$13="","Please fill in exchange rate!",IF(H29="","",'Item Prices &amp; Rates'!H29*'Item Prices &amp; Rates'!L$13)))))</f>
        <v>180</v>
      </c>
      <c r="J29" s="72">
        <f>IF(SUMIF('Model 1'!L$18:L$67,'Item Prices &amp; Rates'!D29,'Model 1'!G$18:G$67)=0,"",SUMIF('Model 1'!L$18:L$67,'Item Prices &amp; Rates'!D29,'Model 1'!G$18:G$67))</f>
        <v>1.05</v>
      </c>
      <c r="K29" s="72" t="str">
        <f>IF(SUMIF('Model 2'!L$18:L$67,'Item Prices &amp; Rates'!D29,'Model 2'!G$18:G$67)=0,"",SUMIF('Model 2'!L$18:L$67,'Item Prices &amp; Rates'!D29,'Model 2'!G$18:G$67))</f>
        <v/>
      </c>
      <c r="L29" s="73"/>
    </row>
    <row r="30" spans="1:12" s="55" customFormat="1" ht="19.95" customHeight="1" x14ac:dyDescent="0.25">
      <c r="A30" s="14"/>
      <c r="B30" s="190"/>
      <c r="C30" s="54"/>
      <c r="D30" s="68">
        <f t="shared" si="0"/>
        <v>11</v>
      </c>
      <c r="E30" s="165" t="s">
        <v>90</v>
      </c>
      <c r="F30" s="167" t="s">
        <v>185</v>
      </c>
      <c r="G30" s="169" t="s">
        <v>231</v>
      </c>
      <c r="H30" s="163">
        <v>420</v>
      </c>
      <c r="I30" s="71">
        <f>IF(H30="","",IF(L$14="","Please choose a currency in cell "&amp;ADDRESS(ROW(L$14),COLUMN(L$14),4),IF(L$14=Calculations!P$8,IF(H30="","",'Item Prices &amp; Rates'!H30),IF('Item Prices &amp; Rates'!L$13="","Please fill in exchange rate!",IF(H30="","",'Item Prices &amp; Rates'!H30*'Item Prices &amp; Rates'!L$13)))))</f>
        <v>420</v>
      </c>
      <c r="J30" s="72">
        <f>IF(SUMIF('Model 1'!L$18:L$67,'Item Prices &amp; Rates'!D30,'Model 1'!G$18:G$67)=0,"",SUMIF('Model 1'!L$18:L$67,'Item Prices &amp; Rates'!D30,'Model 1'!G$18:G$67))</f>
        <v>1.7849999999999999</v>
      </c>
      <c r="K30" s="72" t="str">
        <f>IF(SUMIF('Model 2'!L$18:L$67,'Item Prices &amp; Rates'!D30,'Model 2'!G$18:G$67)=0,"",SUMIF('Model 2'!L$18:L$67,'Item Prices &amp; Rates'!D30,'Model 2'!G$18:G$67))</f>
        <v/>
      </c>
      <c r="L30" s="73"/>
    </row>
    <row r="31" spans="1:12" s="55" customFormat="1" ht="19.95" customHeight="1" x14ac:dyDescent="0.25">
      <c r="A31" s="187"/>
      <c r="B31" s="190"/>
      <c r="C31" s="54"/>
      <c r="D31" s="68">
        <f t="shared" si="0"/>
        <v>12</v>
      </c>
      <c r="E31" s="165" t="s">
        <v>90</v>
      </c>
      <c r="F31" s="167" t="s">
        <v>186</v>
      </c>
      <c r="G31" s="169" t="s">
        <v>15</v>
      </c>
      <c r="H31" s="163">
        <v>1000</v>
      </c>
      <c r="I31" s="71">
        <f>IF(H31="","",IF(L$14="","Please choose a currency in cell "&amp;ADDRESS(ROW(L$14),COLUMN(L$14),4),IF(L$14=Calculations!P$8,IF(H31="","",'Item Prices &amp; Rates'!H31),IF('Item Prices &amp; Rates'!L$13="","Please fill in exchange rate!",IF(H31="","",'Item Prices &amp; Rates'!H31*'Item Prices &amp; Rates'!L$13)))))</f>
        <v>1000</v>
      </c>
      <c r="J31" s="72">
        <f>IF(SUMIF('Model 1'!L$18:L$67,'Item Prices &amp; Rates'!D31,'Model 1'!G$18:G$67)=0,"",SUMIF('Model 1'!L$18:L$67,'Item Prices &amp; Rates'!D31,'Model 1'!G$18:G$67))</f>
        <v>2.1</v>
      </c>
      <c r="K31" s="72" t="str">
        <f>IF(SUMIF('Model 2'!L$18:L$67,'Item Prices &amp; Rates'!D31,'Model 2'!G$18:G$67)=0,"",SUMIF('Model 2'!L$18:L$67,'Item Prices &amp; Rates'!D31,'Model 2'!G$18:G$67))</f>
        <v/>
      </c>
      <c r="L31" s="73"/>
    </row>
    <row r="32" spans="1:12" s="55" customFormat="1" ht="19.95" customHeight="1" x14ac:dyDescent="0.25">
      <c r="A32" s="187"/>
      <c r="B32" s="190"/>
      <c r="C32" s="54"/>
      <c r="D32" s="68">
        <f t="shared" si="0"/>
        <v>13</v>
      </c>
      <c r="E32" s="165" t="s">
        <v>90</v>
      </c>
      <c r="F32" s="167" t="s">
        <v>187</v>
      </c>
      <c r="G32" s="169" t="s">
        <v>12</v>
      </c>
      <c r="H32" s="163">
        <v>250</v>
      </c>
      <c r="I32" s="71">
        <f>IF(H32="","",IF(L$14="","Please choose a currency in cell "&amp;ADDRESS(ROW(L$14),COLUMN(L$14),4),IF(L$14=Calculations!P$8,IF(H32="","",'Item Prices &amp; Rates'!H32),IF('Item Prices &amp; Rates'!L$13="","Please fill in exchange rate!",IF(H32="","",'Item Prices &amp; Rates'!H32*'Item Prices &amp; Rates'!L$13)))))</f>
        <v>250</v>
      </c>
      <c r="J32" s="72">
        <f>IF(SUMIF('Model 1'!L$18:L$67,'Item Prices &amp; Rates'!D32,'Model 1'!G$18:G$67)=0,"",SUMIF('Model 1'!L$18:L$67,'Item Prices &amp; Rates'!D32,'Model 1'!G$18:G$67))</f>
        <v>2.8350000000000004</v>
      </c>
      <c r="K32" s="72" t="str">
        <f>IF(SUMIF('Model 2'!L$18:L$67,'Item Prices &amp; Rates'!D32,'Model 2'!G$18:G$67)=0,"",SUMIF('Model 2'!L$18:L$67,'Item Prices &amp; Rates'!D32,'Model 2'!G$18:G$67))</f>
        <v/>
      </c>
      <c r="L32" s="73"/>
    </row>
    <row r="33" spans="1:12" s="55" customFormat="1" ht="19.95" customHeight="1" x14ac:dyDescent="0.25">
      <c r="A33" s="187"/>
      <c r="B33" s="190"/>
      <c r="C33" s="54"/>
      <c r="D33" s="68">
        <f t="shared" si="0"/>
        <v>14</v>
      </c>
      <c r="E33" s="165" t="s">
        <v>90</v>
      </c>
      <c r="F33" s="167" t="s">
        <v>188</v>
      </c>
      <c r="G33" s="169" t="s">
        <v>12</v>
      </c>
      <c r="H33" s="163">
        <v>166.67</v>
      </c>
      <c r="I33" s="71">
        <f>IF(H33="","",IF(L$14="","Please choose a currency in cell "&amp;ADDRESS(ROW(L$14),COLUMN(L$14),4),IF(L$14=Calculations!P$8,IF(H33="","",'Item Prices &amp; Rates'!H33),IF('Item Prices &amp; Rates'!L$13="","Please fill in exchange rate!",IF(H33="","",'Item Prices &amp; Rates'!H33*'Item Prices &amp; Rates'!L$13)))))</f>
        <v>166.67</v>
      </c>
      <c r="J33" s="72">
        <f>IF(SUMIF('Model 1'!L$18:L$67,'Item Prices &amp; Rates'!D33,'Model 1'!G$18:G$67)=0,"",SUMIF('Model 1'!L$18:L$67,'Item Prices &amp; Rates'!D33,'Model 1'!G$18:G$67))</f>
        <v>3</v>
      </c>
      <c r="K33" s="72" t="str">
        <f>IF(SUMIF('Model 2'!L$18:L$67,'Item Prices &amp; Rates'!D33,'Model 2'!G$18:G$67)=0,"",SUMIF('Model 2'!L$18:L$67,'Item Prices &amp; Rates'!D33,'Model 2'!G$18:G$67))</f>
        <v/>
      </c>
      <c r="L33" s="73"/>
    </row>
    <row r="34" spans="1:12" s="55" customFormat="1" ht="19.95" customHeight="1" x14ac:dyDescent="0.25">
      <c r="A34" s="188"/>
      <c r="B34" s="190"/>
      <c r="C34" s="54"/>
      <c r="D34" s="68">
        <f t="shared" si="0"/>
        <v>15</v>
      </c>
      <c r="E34" s="165" t="s">
        <v>64</v>
      </c>
      <c r="F34" s="167" t="s">
        <v>189</v>
      </c>
      <c r="G34" s="169" t="s">
        <v>66</v>
      </c>
      <c r="H34" s="163">
        <v>800</v>
      </c>
      <c r="I34" s="71">
        <f>IF(H34="","",IF(L$14="","Please choose a currency in cell "&amp;ADDRESS(ROW(L$14),COLUMN(L$14),4),IF(L$14=Calculations!P$8,IF(H34="","",'Item Prices &amp; Rates'!H34),IF('Item Prices &amp; Rates'!L$13="","Please fill in exchange rate!",IF(H34="","",'Item Prices &amp; Rates'!H34*'Item Prices &amp; Rates'!L$13)))))</f>
        <v>800</v>
      </c>
      <c r="J34" s="72">
        <f>IF(SUMIF('Model 1'!L$18:L$67,'Item Prices &amp; Rates'!D34,'Model 1'!G$18:G$67)=0,"",SUMIF('Model 1'!L$18:L$67,'Item Prices &amp; Rates'!D34,'Model 1'!G$18:G$67))</f>
        <v>11</v>
      </c>
      <c r="K34" s="72" t="str">
        <f>IF(SUMIF('Model 2'!L$18:L$67,'Item Prices &amp; Rates'!D34,'Model 2'!G$18:G$67)=0,"",SUMIF('Model 2'!L$18:L$67,'Item Prices &amp; Rates'!D34,'Model 2'!G$18:G$67))</f>
        <v/>
      </c>
      <c r="L34" s="73"/>
    </row>
    <row r="35" spans="1:12" s="55" customFormat="1" ht="19.95" customHeight="1" x14ac:dyDescent="0.25">
      <c r="A35" s="188"/>
      <c r="B35" s="190"/>
      <c r="C35" s="54"/>
      <c r="D35" s="68">
        <f t="shared" si="0"/>
        <v>16</v>
      </c>
      <c r="E35" s="165" t="s">
        <v>64</v>
      </c>
      <c r="F35" s="167" t="s">
        <v>190</v>
      </c>
      <c r="G35" s="169" t="s">
        <v>66</v>
      </c>
      <c r="H35" s="163">
        <v>500</v>
      </c>
      <c r="I35" s="71">
        <f>IF(H35="","",IF(L$14="","Please choose a currency in cell "&amp;ADDRESS(ROW(L$14),COLUMN(L$14),4),IF(L$14=Calculations!P$8,IF(H35="","",'Item Prices &amp; Rates'!H35),IF('Item Prices &amp; Rates'!L$13="","Please fill in exchange rate!",IF(H35="","",'Item Prices &amp; Rates'!H35*'Item Prices &amp; Rates'!L$13)))))</f>
        <v>500</v>
      </c>
      <c r="J35" s="72">
        <f>IF(SUMIF('Model 1'!L$18:L$67,'Item Prices &amp; Rates'!D35,'Model 1'!G$18:G$67)=0,"",SUMIF('Model 1'!L$18:L$67,'Item Prices &amp; Rates'!D35,'Model 1'!G$18:G$67))</f>
        <v>15.5</v>
      </c>
      <c r="K35" s="72" t="str">
        <f>IF(SUMIF('Model 2'!L$18:L$67,'Item Prices &amp; Rates'!D35,'Model 2'!G$18:G$67)=0,"",SUMIF('Model 2'!L$18:L$67,'Item Prices &amp; Rates'!D35,'Model 2'!G$18:G$67))</f>
        <v/>
      </c>
      <c r="L35" s="73"/>
    </row>
    <row r="36" spans="1:12" s="55" customFormat="1" ht="19.95" customHeight="1" x14ac:dyDescent="0.25">
      <c r="A36" s="188"/>
      <c r="B36" s="190"/>
      <c r="C36" s="54"/>
      <c r="D36" s="68">
        <f t="shared" si="0"/>
        <v>17</v>
      </c>
      <c r="E36" s="165" t="s">
        <v>164</v>
      </c>
      <c r="F36" s="167" t="s">
        <v>191</v>
      </c>
      <c r="G36" s="169" t="s">
        <v>15</v>
      </c>
      <c r="H36" s="163">
        <v>40</v>
      </c>
      <c r="I36" s="71">
        <f>IF(H36="","",IF(L$14="","Please choose a currency in cell "&amp;ADDRESS(ROW(L$14),COLUMN(L$14),4),IF(L$14=Calculations!P$8,IF(H36="","",'Item Prices &amp; Rates'!H36),IF('Item Prices &amp; Rates'!L$13="","Please fill in exchange rate!",IF(H36="","",'Item Prices &amp; Rates'!H36*'Item Prices &amp; Rates'!L$13)))))</f>
        <v>40</v>
      </c>
      <c r="J36" s="72">
        <f>IF(SUMIF('Model 1'!L$18:L$67,'Item Prices &amp; Rates'!D36,'Model 1'!G$18:G$67)=0,"",SUMIF('Model 1'!L$18:L$67,'Item Prices &amp; Rates'!D36,'Model 1'!G$18:G$67))</f>
        <v>183</v>
      </c>
      <c r="K36" s="72" t="str">
        <f>IF(SUMIF('Model 2'!L$18:L$67,'Item Prices &amp; Rates'!D36,'Model 2'!G$18:G$67)=0,"",SUMIF('Model 2'!L$18:L$67,'Item Prices &amp; Rates'!D36,'Model 2'!G$18:G$67))</f>
        <v/>
      </c>
      <c r="L36" s="73"/>
    </row>
    <row r="37" spans="1:12" s="55" customFormat="1" ht="19.95" customHeight="1" x14ac:dyDescent="0.25">
      <c r="A37" s="188"/>
      <c r="B37" s="190"/>
      <c r="C37" s="54"/>
      <c r="D37" s="68">
        <f t="shared" si="0"/>
        <v>18</v>
      </c>
      <c r="E37" s="165" t="s">
        <v>164</v>
      </c>
      <c r="F37" s="167" t="s">
        <v>192</v>
      </c>
      <c r="G37" s="169" t="s">
        <v>230</v>
      </c>
      <c r="H37" s="163">
        <v>1000</v>
      </c>
      <c r="I37" s="71">
        <f>IF(H37="","",IF(L$14="","Please choose a currency in cell "&amp;ADDRESS(ROW(L$14),COLUMN(L$14),4),IF(L$14=Calculations!P$8,IF(H37="","",'Item Prices &amp; Rates'!H37),IF('Item Prices &amp; Rates'!L$13="","Please fill in exchange rate!",IF(H37="","",'Item Prices &amp; Rates'!H37*'Item Prices &amp; Rates'!L$13)))))</f>
        <v>1000</v>
      </c>
      <c r="J37" s="72">
        <f>IF(SUMIF('Model 1'!L$18:L$67,'Item Prices &amp; Rates'!D37,'Model 1'!G$18:G$67)=0,"",SUMIF('Model 1'!L$18:L$67,'Item Prices &amp; Rates'!D37,'Model 1'!G$18:G$67))</f>
        <v>0.61</v>
      </c>
      <c r="K37" s="72" t="str">
        <f>IF(SUMIF('Model 2'!L$18:L$67,'Item Prices &amp; Rates'!D37,'Model 2'!G$18:G$67)=0,"",SUMIF('Model 2'!L$18:L$67,'Item Prices &amp; Rates'!D37,'Model 2'!G$18:G$67))</f>
        <v/>
      </c>
      <c r="L37" s="73"/>
    </row>
    <row r="38" spans="1:12" s="55" customFormat="1" ht="19.95" customHeight="1" x14ac:dyDescent="0.25">
      <c r="A38" s="188"/>
      <c r="B38" s="190"/>
      <c r="C38" s="54"/>
      <c r="D38" s="68">
        <f t="shared" si="0"/>
        <v>19</v>
      </c>
      <c r="E38" s="165" t="s">
        <v>90</v>
      </c>
      <c r="F38" s="167" t="s">
        <v>193</v>
      </c>
      <c r="G38" s="169" t="s">
        <v>165</v>
      </c>
      <c r="H38" s="163">
        <v>160</v>
      </c>
      <c r="I38" s="71">
        <f>IF(H38="","",IF(L$14="","Please choose a currency in cell "&amp;ADDRESS(ROW(L$14),COLUMN(L$14),4),IF(L$14=Calculations!P$8,IF(H38="","",'Item Prices &amp; Rates'!H38),IF('Item Prices &amp; Rates'!L$13="","Please fill in exchange rate!",IF(H38="","",'Item Prices &amp; Rates'!H38*'Item Prices &amp; Rates'!L$13)))))</f>
        <v>160</v>
      </c>
      <c r="J38" s="72">
        <f>IF(SUMIF('Model 1'!L$18:L$67,'Item Prices &amp; Rates'!D38,'Model 1'!G$18:G$67)=0,"",SUMIF('Model 1'!L$18:L$67,'Item Prices &amp; Rates'!D38,'Model 1'!G$18:G$67))</f>
        <v>5</v>
      </c>
      <c r="K38" s="72" t="str">
        <f>IF(SUMIF('Model 2'!L$18:L$67,'Item Prices &amp; Rates'!D38,'Model 2'!G$18:G$67)=0,"",SUMIF('Model 2'!L$18:L$67,'Item Prices &amp; Rates'!D38,'Model 2'!G$18:G$67))</f>
        <v/>
      </c>
      <c r="L38" s="73"/>
    </row>
    <row r="39" spans="1:12" s="55" customFormat="1" ht="19.95" customHeight="1" x14ac:dyDescent="0.25">
      <c r="A39" s="187"/>
      <c r="B39" s="190"/>
      <c r="C39" s="54"/>
      <c r="D39" s="68">
        <f t="shared" si="0"/>
        <v>20</v>
      </c>
      <c r="E39" s="165" t="s">
        <v>90</v>
      </c>
      <c r="F39" s="167" t="s">
        <v>194</v>
      </c>
      <c r="G39" s="169" t="s">
        <v>15</v>
      </c>
      <c r="H39" s="163">
        <v>7000</v>
      </c>
      <c r="I39" s="71">
        <f>IF(H39="","",IF(L$14="","Please choose a currency in cell "&amp;ADDRESS(ROW(L$14),COLUMN(L$14),4),IF(L$14=Calculations!P$8,IF(H39="","",'Item Prices &amp; Rates'!H39),IF('Item Prices &amp; Rates'!L$13="","Please fill in exchange rate!",IF(H39="","",'Item Prices &amp; Rates'!H39*'Item Prices &amp; Rates'!L$13)))))</f>
        <v>7000</v>
      </c>
      <c r="J39" s="72" t="str">
        <f>IF(SUMIF('Model 1'!L$18:L$67,'Item Prices &amp; Rates'!D39,'Model 1'!G$18:G$67)=0,"",SUMIF('Model 1'!L$18:L$67,'Item Prices &amp; Rates'!D39,'Model 1'!G$18:G$67))</f>
        <v/>
      </c>
      <c r="K39" s="72" t="str">
        <f>IF(SUMIF('Model 2'!L$18:L$67,'Item Prices &amp; Rates'!D39,'Model 2'!G$18:G$67)=0,"",SUMIF('Model 2'!L$18:L$67,'Item Prices &amp; Rates'!D39,'Model 2'!G$18:G$67))</f>
        <v/>
      </c>
      <c r="L39" s="73"/>
    </row>
    <row r="40" spans="1:12" s="55" customFormat="1" ht="19.95" customHeight="1" x14ac:dyDescent="0.25">
      <c r="A40" s="188"/>
      <c r="B40" s="190"/>
      <c r="C40" s="54"/>
      <c r="D40" s="68">
        <f t="shared" si="0"/>
        <v>21</v>
      </c>
      <c r="E40" s="165" t="s">
        <v>164</v>
      </c>
      <c r="F40" s="167" t="s">
        <v>195</v>
      </c>
      <c r="G40" s="169" t="s">
        <v>15</v>
      </c>
      <c r="H40" s="163">
        <v>1160</v>
      </c>
      <c r="I40" s="71">
        <f>IF(H40="","",IF(L$14="","Please choose a currency in cell "&amp;ADDRESS(ROW(L$14),COLUMN(L$14),4),IF(L$14=Calculations!P$8,IF(H40="","",'Item Prices &amp; Rates'!H40),IF('Item Prices &amp; Rates'!L$13="","Please fill in exchange rate!",IF(H40="","",'Item Prices &amp; Rates'!H40*'Item Prices &amp; Rates'!L$13)))))</f>
        <v>1160</v>
      </c>
      <c r="J40" s="72">
        <f>IF(SUMIF('Model 1'!L$18:L$67,'Item Prices &amp; Rates'!D40,'Model 1'!G$18:G$67)=0,"",SUMIF('Model 1'!L$18:L$67,'Item Prices &amp; Rates'!D40,'Model 1'!G$18:G$67))</f>
        <v>0.67</v>
      </c>
      <c r="K40" s="72" t="str">
        <f>IF(SUMIF('Model 2'!L$18:L$67,'Item Prices &amp; Rates'!D40,'Model 2'!G$18:G$67)=0,"",SUMIF('Model 2'!L$18:L$67,'Item Prices &amp; Rates'!D40,'Model 2'!G$18:G$67))</f>
        <v/>
      </c>
      <c r="L40" s="73"/>
    </row>
    <row r="41" spans="1:12" s="55" customFormat="1" ht="19.95" customHeight="1" x14ac:dyDescent="0.25">
      <c r="A41" s="188"/>
      <c r="B41" s="190"/>
      <c r="C41" s="54"/>
      <c r="D41" s="68">
        <f t="shared" si="0"/>
        <v>22</v>
      </c>
      <c r="E41" s="165" t="s">
        <v>90</v>
      </c>
      <c r="F41" s="167" t="s">
        <v>196</v>
      </c>
      <c r="G41" s="169" t="s">
        <v>12</v>
      </c>
      <c r="H41" s="163">
        <v>116.67</v>
      </c>
      <c r="I41" s="71">
        <f>IF(H41="","",IF(L$14="","Please choose a currency in cell "&amp;ADDRESS(ROW(L$14),COLUMN(L$14),4),IF(L$14=Calculations!P$8,IF(H41="","",'Item Prices &amp; Rates'!H41),IF('Item Prices &amp; Rates'!L$13="","Please fill in exchange rate!",IF(H41="","",'Item Prices &amp; Rates'!H41*'Item Prices &amp; Rates'!L$13)))))</f>
        <v>116.67</v>
      </c>
      <c r="J41" s="72">
        <f>IF(SUMIF('Model 1'!L$18:L$67,'Item Prices &amp; Rates'!D41,'Model 1'!G$18:G$67)=0,"",SUMIF('Model 1'!L$18:L$67,'Item Prices &amp; Rates'!D41,'Model 1'!G$18:G$67))</f>
        <v>5.8</v>
      </c>
      <c r="K41" s="72" t="str">
        <f>IF(SUMIF('Model 2'!L$18:L$67,'Item Prices &amp; Rates'!D41,'Model 2'!G$18:G$67)=0,"",SUMIF('Model 2'!L$18:L$67,'Item Prices &amp; Rates'!D41,'Model 2'!G$18:G$67))</f>
        <v/>
      </c>
      <c r="L41" s="73"/>
    </row>
    <row r="42" spans="1:12" s="55" customFormat="1" ht="19.95" customHeight="1" x14ac:dyDescent="0.25">
      <c r="A42" s="14"/>
      <c r="B42" s="190"/>
      <c r="C42" s="54"/>
      <c r="D42" s="68">
        <f t="shared" si="0"/>
        <v>23</v>
      </c>
      <c r="E42" s="165" t="s">
        <v>90</v>
      </c>
      <c r="F42" s="167" t="s">
        <v>197</v>
      </c>
      <c r="G42" s="169" t="s">
        <v>11</v>
      </c>
      <c r="H42" s="163">
        <v>120</v>
      </c>
      <c r="I42" s="71">
        <f>IF(H42="","",IF(L$14="","Please choose a currency in cell "&amp;ADDRESS(ROW(L$14),COLUMN(L$14),4),IF(L$14=Calculations!P$8,IF(H42="","",'Item Prices &amp; Rates'!H42),IF('Item Prices &amp; Rates'!L$13="","Please fill in exchange rate!",IF(H42="","",'Item Prices &amp; Rates'!H42*'Item Prices &amp; Rates'!L$13)))))</f>
        <v>120</v>
      </c>
      <c r="J42" s="72">
        <f>IF(SUMIF('Model 1'!L$18:L$67,'Item Prices &amp; Rates'!D42,'Model 1'!G$18:G$67)=0,"",SUMIF('Model 1'!L$18:L$67,'Item Prices &amp; Rates'!D42,'Model 1'!G$18:G$67))</f>
        <v>0.5</v>
      </c>
      <c r="K42" s="72" t="str">
        <f>IF(SUMIF('Model 2'!L$18:L$67,'Item Prices &amp; Rates'!D42,'Model 2'!G$18:G$67)=0,"",SUMIF('Model 2'!L$18:L$67,'Item Prices &amp; Rates'!D42,'Model 2'!G$18:G$67))</f>
        <v/>
      </c>
      <c r="L42" s="73"/>
    </row>
    <row r="43" spans="1:12" s="55" customFormat="1" ht="19.95" customHeight="1" x14ac:dyDescent="0.25">
      <c r="A43" s="14"/>
      <c r="B43" s="190"/>
      <c r="C43" s="54"/>
      <c r="D43" s="68">
        <f t="shared" si="0"/>
        <v>24</v>
      </c>
      <c r="E43" s="165" t="s">
        <v>90</v>
      </c>
      <c r="F43" s="167" t="s">
        <v>198</v>
      </c>
      <c r="G43" s="169" t="s">
        <v>231</v>
      </c>
      <c r="H43" s="163">
        <v>80</v>
      </c>
      <c r="I43" s="71">
        <f>IF(H43="","",IF(L$14="","Please choose a currency in cell "&amp;ADDRESS(ROW(L$14),COLUMN(L$14),4),IF(L$14=Calculations!P$8,IF(H43="","",'Item Prices &amp; Rates'!H43),IF('Item Prices &amp; Rates'!L$13="","Please fill in exchange rate!",IF(H43="","",'Item Prices &amp; Rates'!H43*'Item Prices &amp; Rates'!L$13)))))</f>
        <v>80</v>
      </c>
      <c r="J43" s="72">
        <f>IF(SUMIF('Model 1'!L$18:L$67,'Item Prices &amp; Rates'!D43,'Model 1'!G$18:G$67)=0,"",SUMIF('Model 1'!L$18:L$67,'Item Prices &amp; Rates'!D43,'Model 1'!G$18:G$67))</f>
        <v>2</v>
      </c>
      <c r="K43" s="72" t="str">
        <f>IF(SUMIF('Model 2'!L$18:L$67,'Item Prices &amp; Rates'!D43,'Model 2'!G$18:G$67)=0,"",SUMIF('Model 2'!L$18:L$67,'Item Prices &amp; Rates'!D43,'Model 2'!G$18:G$67))</f>
        <v/>
      </c>
      <c r="L43" s="73"/>
    </row>
    <row r="44" spans="1:12" s="55" customFormat="1" ht="19.95" customHeight="1" x14ac:dyDescent="0.25">
      <c r="A44" s="14"/>
      <c r="B44" s="190"/>
      <c r="C44" s="54"/>
      <c r="D44" s="68">
        <f t="shared" si="0"/>
        <v>25</v>
      </c>
      <c r="E44" s="165" t="s">
        <v>90</v>
      </c>
      <c r="F44" s="167" t="s">
        <v>199</v>
      </c>
      <c r="G44" s="169" t="s">
        <v>166</v>
      </c>
      <c r="H44" s="163">
        <v>130</v>
      </c>
      <c r="I44" s="71">
        <f>IF(H44="","",IF(L$14="","Please choose a currency in cell "&amp;ADDRESS(ROW(L$14),COLUMN(L$14),4),IF(L$14=Calculations!P$8,IF(H44="","",'Item Prices &amp; Rates'!H44),IF('Item Prices &amp; Rates'!L$13="","Please fill in exchange rate!",IF(H44="","",'Item Prices &amp; Rates'!H44*'Item Prices &amp; Rates'!L$13)))))</f>
        <v>130</v>
      </c>
      <c r="J44" s="72">
        <f>IF(SUMIF('Model 1'!L$18:L$67,'Item Prices &amp; Rates'!D44,'Model 1'!G$18:G$67)=0,"",SUMIF('Model 1'!L$18:L$67,'Item Prices &amp; Rates'!D44,'Model 1'!G$18:G$67))</f>
        <v>7</v>
      </c>
      <c r="K44" s="72" t="str">
        <f>IF(SUMIF('Model 2'!L$18:L$67,'Item Prices &amp; Rates'!D44,'Model 2'!G$18:G$67)=0,"",SUMIF('Model 2'!L$18:L$67,'Item Prices &amp; Rates'!D44,'Model 2'!G$18:G$67))</f>
        <v/>
      </c>
      <c r="L44" s="73"/>
    </row>
    <row r="45" spans="1:12" s="55" customFormat="1" ht="19.95" customHeight="1" x14ac:dyDescent="0.25">
      <c r="A45" s="14"/>
      <c r="B45" s="190"/>
      <c r="C45" s="54"/>
      <c r="D45" s="68">
        <f t="shared" si="0"/>
        <v>26</v>
      </c>
      <c r="E45" s="165" t="s">
        <v>64</v>
      </c>
      <c r="F45" s="167" t="s">
        <v>200</v>
      </c>
      <c r="G45" s="169" t="s">
        <v>232</v>
      </c>
      <c r="H45" s="163">
        <v>900</v>
      </c>
      <c r="I45" s="71">
        <f>IF(H45="","",IF(L$14="","Please choose a currency in cell "&amp;ADDRESS(ROW(L$14),COLUMN(L$14),4),IF(L$14=Calculations!P$8,IF(H45="","",'Item Prices &amp; Rates'!H45),IF('Item Prices &amp; Rates'!L$13="","Please fill in exchange rate!",IF(H45="","",'Item Prices &amp; Rates'!H45*'Item Prices &amp; Rates'!L$13)))))</f>
        <v>900</v>
      </c>
      <c r="J45" s="72">
        <f>IF(SUMIF('Model 1'!L$18:L$67,'Item Prices &amp; Rates'!D45,'Model 1'!G$18:G$67)=0,"",SUMIF('Model 1'!L$18:L$67,'Item Prices &amp; Rates'!D45,'Model 1'!G$18:G$67))</f>
        <v>6.37</v>
      </c>
      <c r="K45" s="72" t="str">
        <f>IF(SUMIF('Model 2'!L$18:L$67,'Item Prices &amp; Rates'!D45,'Model 2'!G$18:G$67)=0,"",SUMIF('Model 2'!L$18:L$67,'Item Prices &amp; Rates'!D45,'Model 2'!G$18:G$67))</f>
        <v/>
      </c>
      <c r="L45" s="73"/>
    </row>
    <row r="46" spans="1:12" s="55" customFormat="1" ht="19.95" customHeight="1" x14ac:dyDescent="0.25">
      <c r="A46" s="14"/>
      <c r="B46" s="190"/>
      <c r="C46" s="54"/>
      <c r="D46" s="68">
        <f t="shared" si="0"/>
        <v>27</v>
      </c>
      <c r="E46" s="165" t="s">
        <v>163</v>
      </c>
      <c r="F46" s="167" t="s">
        <v>201</v>
      </c>
      <c r="G46" s="169" t="s">
        <v>15</v>
      </c>
      <c r="H46" s="163">
        <v>9000</v>
      </c>
      <c r="I46" s="71">
        <f>IF(H46="","",IF(L$14="","Please choose a currency in cell "&amp;ADDRESS(ROW(L$14),COLUMN(L$14),4),IF(L$14=Calculations!P$8,IF(H46="","",'Item Prices &amp; Rates'!H46),IF('Item Prices &amp; Rates'!L$13="","Please fill in exchange rate!",IF(H46="","",'Item Prices &amp; Rates'!H46*'Item Prices &amp; Rates'!L$13)))))</f>
        <v>9000</v>
      </c>
      <c r="J46" s="72">
        <f>IF(SUMIF('Model 1'!L$18:L$67,'Item Prices &amp; Rates'!D46,'Model 1'!G$18:G$67)=0,"",SUMIF('Model 1'!L$18:L$67,'Item Prices &amp; Rates'!D46,'Model 1'!G$18:G$67))</f>
        <v>1</v>
      </c>
      <c r="K46" s="72" t="str">
        <f>IF(SUMIF('Model 2'!L$18:L$67,'Item Prices &amp; Rates'!D46,'Model 2'!G$18:G$67)=0,"",SUMIF('Model 2'!L$18:L$67,'Item Prices &amp; Rates'!D46,'Model 2'!G$18:G$67))</f>
        <v/>
      </c>
      <c r="L46" s="73"/>
    </row>
    <row r="47" spans="1:12" s="55" customFormat="1" ht="19.95" customHeight="1" x14ac:dyDescent="0.25">
      <c r="A47" s="14"/>
      <c r="B47" s="190"/>
      <c r="C47" s="54"/>
      <c r="D47" s="68">
        <f t="shared" si="0"/>
        <v>28</v>
      </c>
      <c r="E47" s="165" t="s">
        <v>163</v>
      </c>
      <c r="F47" s="167" t="s">
        <v>202</v>
      </c>
      <c r="G47" s="169" t="s">
        <v>15</v>
      </c>
      <c r="H47" s="163">
        <v>31632.13</v>
      </c>
      <c r="I47" s="71">
        <f>IF(H47="","",IF(L$14="","Please choose a currency in cell "&amp;ADDRESS(ROW(L$14),COLUMN(L$14),4),IF(L$14=Calculations!P$8,IF(H47="","",'Item Prices &amp; Rates'!H47),IF('Item Prices &amp; Rates'!L$13="","Please fill in exchange rate!",IF(H47="","",'Item Prices &amp; Rates'!H47*'Item Prices &amp; Rates'!L$13)))))</f>
        <v>31632.13</v>
      </c>
      <c r="J47" s="72">
        <f>IF(SUMIF('Model 1'!L$18:L$67,'Item Prices &amp; Rates'!D47,'Model 1'!G$18:G$67)=0,"",SUMIF('Model 1'!L$18:L$67,'Item Prices &amp; Rates'!D47,'Model 1'!G$18:G$67))</f>
        <v>1</v>
      </c>
      <c r="K47" s="72" t="str">
        <f>IF(SUMIF('Model 2'!L$18:L$67,'Item Prices &amp; Rates'!D47,'Model 2'!G$18:G$67)=0,"",SUMIF('Model 2'!L$18:L$67,'Item Prices &amp; Rates'!D47,'Model 2'!G$18:G$67))</f>
        <v/>
      </c>
      <c r="L47" s="73"/>
    </row>
    <row r="48" spans="1:12" s="55" customFormat="1" ht="19.95" customHeight="1" x14ac:dyDescent="0.25">
      <c r="A48" s="187"/>
      <c r="B48" s="190"/>
      <c r="C48" s="54"/>
      <c r="D48" s="68">
        <f t="shared" si="0"/>
        <v>29</v>
      </c>
      <c r="E48" s="165"/>
      <c r="F48" s="167" t="s">
        <v>203</v>
      </c>
      <c r="G48" s="169"/>
      <c r="H48" s="163"/>
      <c r="I48" s="71" t="str">
        <f>IF(H48="","",IF(L$14="","Please choose a currency in cell "&amp;ADDRESS(ROW(L$14),COLUMN(L$14),4),IF(L$14=Calculations!P$8,IF(H48="","",'Item Prices &amp; Rates'!H48),IF('Item Prices &amp; Rates'!L$13="","Please fill in exchange rate!",IF(H48="","",'Item Prices &amp; Rates'!H48*'Item Prices &amp; Rates'!L$13)))))</f>
        <v/>
      </c>
      <c r="J48" s="72" t="str">
        <f>IF(SUMIF('Model 1'!L$18:L$67,'Item Prices &amp; Rates'!D48,'Model 1'!G$18:G$67)=0,"",SUMIF('Model 1'!L$18:L$67,'Item Prices &amp; Rates'!D48,'Model 1'!G$18:G$67))</f>
        <v/>
      </c>
      <c r="K48" s="72" t="str">
        <f>IF(SUMIF('Model 2'!L$18:L$67,'Item Prices &amp; Rates'!D48,'Model 2'!G$18:G$67)=0,"",SUMIF('Model 2'!L$18:L$67,'Item Prices &amp; Rates'!D48,'Model 2'!G$18:G$67))</f>
        <v/>
      </c>
      <c r="L48" s="73"/>
    </row>
    <row r="49" spans="1:12" s="55" customFormat="1" ht="19.95" customHeight="1" x14ac:dyDescent="0.25">
      <c r="A49" s="187"/>
      <c r="B49" s="190"/>
      <c r="C49" s="54"/>
      <c r="D49" s="68">
        <f t="shared" si="0"/>
        <v>30</v>
      </c>
      <c r="E49" s="165" t="s">
        <v>90</v>
      </c>
      <c r="F49" s="167" t="s">
        <v>204</v>
      </c>
      <c r="G49" s="169" t="s">
        <v>15</v>
      </c>
      <c r="H49" s="163">
        <v>1000</v>
      </c>
      <c r="I49" s="71">
        <f>IF(H49="","",IF(L$14="","Please choose a currency in cell "&amp;ADDRESS(ROW(L$14),COLUMN(L$14),4),IF(L$14=Calculations!P$8,IF(H49="","",'Item Prices &amp; Rates'!H49),IF('Item Prices &amp; Rates'!L$13="","Please fill in exchange rate!",IF(H49="","",'Item Prices &amp; Rates'!H49*'Item Prices &amp; Rates'!L$13)))))</f>
        <v>1000</v>
      </c>
      <c r="J49" s="72" t="str">
        <f>IF(SUMIF('Model 1'!L$18:L$67,'Item Prices &amp; Rates'!D49,'Model 1'!G$18:G$67)=0,"",SUMIF('Model 1'!L$18:L$67,'Item Prices &amp; Rates'!D49,'Model 1'!G$18:G$67))</f>
        <v/>
      </c>
      <c r="K49" s="72">
        <f>IF(SUMIF('Model 2'!L$18:L$67,'Item Prices &amp; Rates'!D49,'Model 2'!G$18:G$67)=0,"",SUMIF('Model 2'!L$18:L$67,'Item Prices &amp; Rates'!D49,'Model 2'!G$18:G$67))</f>
        <v>15</v>
      </c>
      <c r="L49" s="73"/>
    </row>
    <row r="50" spans="1:12" s="55" customFormat="1" ht="19.95" customHeight="1" x14ac:dyDescent="0.25">
      <c r="A50" s="188"/>
      <c r="B50" s="190"/>
      <c r="C50" s="54"/>
      <c r="D50" s="68">
        <f t="shared" si="0"/>
        <v>31</v>
      </c>
      <c r="E50" s="165" t="s">
        <v>90</v>
      </c>
      <c r="F50" s="167" t="s">
        <v>205</v>
      </c>
      <c r="G50" s="169" t="s">
        <v>15</v>
      </c>
      <c r="H50" s="163">
        <v>20</v>
      </c>
      <c r="I50" s="71">
        <f>IF(H50="","",IF(L$14="","Please choose a currency in cell "&amp;ADDRESS(ROW(L$14),COLUMN(L$14),4),IF(L$14=Calculations!P$8,IF(H50="","",'Item Prices &amp; Rates'!H50),IF('Item Prices &amp; Rates'!L$13="","Please fill in exchange rate!",IF(H50="","",'Item Prices &amp; Rates'!H50*'Item Prices &amp; Rates'!L$13)))))</f>
        <v>20</v>
      </c>
      <c r="J50" s="72" t="str">
        <f>IF(SUMIF('Model 1'!L$18:L$67,'Item Prices &amp; Rates'!D50,'Model 1'!G$18:G$67)=0,"",SUMIF('Model 1'!L$18:L$67,'Item Prices &amp; Rates'!D50,'Model 1'!G$18:G$67))</f>
        <v/>
      </c>
      <c r="K50" s="72">
        <f>IF(SUMIF('Model 2'!L$18:L$67,'Item Prices &amp; Rates'!D50,'Model 2'!G$18:G$67)=0,"",SUMIF('Model 2'!L$18:L$67,'Item Prices &amp; Rates'!D50,'Model 2'!G$18:G$67))</f>
        <v>270</v>
      </c>
      <c r="L50" s="73"/>
    </row>
    <row r="51" spans="1:12" s="55" customFormat="1" ht="19.95" customHeight="1" x14ac:dyDescent="0.25">
      <c r="A51" s="187"/>
      <c r="B51" s="190"/>
      <c r="C51" s="54"/>
      <c r="D51" s="68">
        <f t="shared" si="0"/>
        <v>32</v>
      </c>
      <c r="E51" s="165" t="s">
        <v>90</v>
      </c>
      <c r="F51" s="167" t="s">
        <v>206</v>
      </c>
      <c r="G51" s="169" t="s">
        <v>169</v>
      </c>
      <c r="H51" s="163">
        <v>1000</v>
      </c>
      <c r="I51" s="71">
        <f>IF(H51="","",IF(L$14="","Please choose a currency in cell "&amp;ADDRESS(ROW(L$14),COLUMN(L$14),4),IF(L$14=Calculations!P$8,IF(H51="","",'Item Prices &amp; Rates'!H51),IF('Item Prices &amp; Rates'!L$13="","Please fill in exchange rate!",IF(H51="","",'Item Prices &amp; Rates'!H51*'Item Prices &amp; Rates'!L$13)))))</f>
        <v>1000</v>
      </c>
      <c r="J51" s="72" t="str">
        <f>IF(SUMIF('Model 1'!L$18:L$67,'Item Prices &amp; Rates'!D51,'Model 1'!G$18:G$67)=0,"",SUMIF('Model 1'!L$18:L$67,'Item Prices &amp; Rates'!D51,'Model 1'!G$18:G$67))</f>
        <v/>
      </c>
      <c r="K51" s="72">
        <f>IF(SUMIF('Model 2'!L$18:L$67,'Item Prices &amp; Rates'!D51,'Model 2'!G$18:G$67)=0,"",SUMIF('Model 2'!L$18:L$67,'Item Prices &amp; Rates'!D51,'Model 2'!G$18:G$67))</f>
        <v>5</v>
      </c>
      <c r="L51" s="73"/>
    </row>
    <row r="52" spans="1:12" s="55" customFormat="1" ht="19.95" customHeight="1" x14ac:dyDescent="0.25">
      <c r="A52" s="187"/>
      <c r="B52" s="190"/>
      <c r="C52" s="54"/>
      <c r="D52" s="68">
        <f t="shared" si="0"/>
        <v>33</v>
      </c>
      <c r="E52" s="165" t="s">
        <v>90</v>
      </c>
      <c r="F52" s="167" t="s">
        <v>207</v>
      </c>
      <c r="G52" s="169" t="s">
        <v>168</v>
      </c>
      <c r="H52" s="163">
        <v>100</v>
      </c>
      <c r="I52" s="71">
        <f>IF(H52="","",IF(L$14="","Please choose a currency in cell "&amp;ADDRESS(ROW(L$14),COLUMN(L$14),4),IF(L$14=Calculations!P$8,IF(H52="","",'Item Prices &amp; Rates'!H52),IF('Item Prices &amp; Rates'!L$13="","Please fill in exchange rate!",IF(H52="","",'Item Prices &amp; Rates'!H52*'Item Prices &amp; Rates'!L$13)))))</f>
        <v>100</v>
      </c>
      <c r="J52" s="72" t="str">
        <f>IF(SUMIF('Model 1'!L$18:L$67,'Item Prices &amp; Rates'!D52,'Model 1'!G$18:G$67)=0,"",SUMIF('Model 1'!L$18:L$67,'Item Prices &amp; Rates'!D52,'Model 1'!G$18:G$67))</f>
        <v/>
      </c>
      <c r="K52" s="72">
        <f>IF(SUMIF('Model 2'!L$18:L$67,'Item Prices &amp; Rates'!D52,'Model 2'!G$18:G$67)=0,"",SUMIF('Model 2'!L$18:L$67,'Item Prices &amp; Rates'!D52,'Model 2'!G$18:G$67))</f>
        <v>15</v>
      </c>
      <c r="L52" s="73"/>
    </row>
    <row r="53" spans="1:12" s="55" customFormat="1" ht="19.95" customHeight="1" x14ac:dyDescent="0.25">
      <c r="A53" s="187"/>
      <c r="B53" s="190"/>
      <c r="C53" s="54"/>
      <c r="D53" s="68">
        <f t="shared" si="0"/>
        <v>34</v>
      </c>
      <c r="E53" s="165" t="s">
        <v>90</v>
      </c>
      <c r="F53" s="167" t="s">
        <v>208</v>
      </c>
      <c r="G53" s="169" t="s">
        <v>168</v>
      </c>
      <c r="H53" s="163">
        <v>150</v>
      </c>
      <c r="I53" s="71">
        <f>IF(H53="","",IF(L$14="","Please choose a currency in cell "&amp;ADDRESS(ROW(L$14),COLUMN(L$14),4),IF(L$14=Calculations!P$8,IF(H53="","",'Item Prices &amp; Rates'!H53),IF('Item Prices &amp; Rates'!L$13="","Please fill in exchange rate!",IF(H53="","",'Item Prices &amp; Rates'!H53*'Item Prices &amp; Rates'!L$13)))))</f>
        <v>150</v>
      </c>
      <c r="J53" s="72" t="str">
        <f>IF(SUMIF('Model 1'!L$18:L$67,'Item Prices &amp; Rates'!D53,'Model 1'!G$18:G$67)=0,"",SUMIF('Model 1'!L$18:L$67,'Item Prices &amp; Rates'!D53,'Model 1'!G$18:G$67))</f>
        <v/>
      </c>
      <c r="K53" s="72">
        <f>IF(SUMIF('Model 2'!L$18:L$67,'Item Prices &amp; Rates'!D53,'Model 2'!G$18:G$67)=0,"",SUMIF('Model 2'!L$18:L$67,'Item Prices &amp; Rates'!D53,'Model 2'!G$18:G$67))</f>
        <v>3</v>
      </c>
      <c r="L53" s="73"/>
    </row>
    <row r="54" spans="1:12" s="55" customFormat="1" ht="19.95" customHeight="1" x14ac:dyDescent="0.25">
      <c r="A54" s="187"/>
      <c r="B54" s="190"/>
      <c r="C54" s="54"/>
      <c r="D54" s="68">
        <f t="shared" si="0"/>
        <v>35</v>
      </c>
      <c r="E54" s="165" t="s">
        <v>90</v>
      </c>
      <c r="F54" s="167" t="s">
        <v>209</v>
      </c>
      <c r="G54" s="169" t="s">
        <v>15</v>
      </c>
      <c r="H54" s="163">
        <v>2000</v>
      </c>
      <c r="I54" s="71">
        <f>IF(H54="","",IF(L$14="","Please choose a currency in cell "&amp;ADDRESS(ROW(L$14),COLUMN(L$14),4),IF(L$14=Calculations!P$8,IF(H54="","",'Item Prices &amp; Rates'!H54),IF('Item Prices &amp; Rates'!L$13="","Please fill in exchange rate!",IF(H54="","",'Item Prices &amp; Rates'!H54*'Item Prices &amp; Rates'!L$13)))))</f>
        <v>2000</v>
      </c>
      <c r="J54" s="72" t="str">
        <f>IF(SUMIF('Model 1'!L$18:L$67,'Item Prices &amp; Rates'!D54,'Model 1'!G$18:G$67)=0,"",SUMIF('Model 1'!L$18:L$67,'Item Prices &amp; Rates'!D54,'Model 1'!G$18:G$67))</f>
        <v/>
      </c>
      <c r="K54" s="72">
        <f>IF(SUMIF('Model 2'!L$18:L$67,'Item Prices &amp; Rates'!D54,'Model 2'!G$18:G$67)=0,"",SUMIF('Model 2'!L$18:L$67,'Item Prices &amp; Rates'!D54,'Model 2'!G$18:G$67))</f>
        <v>1</v>
      </c>
      <c r="L54" s="73"/>
    </row>
    <row r="55" spans="1:12" s="55" customFormat="1" ht="19.95" customHeight="1" x14ac:dyDescent="0.25">
      <c r="A55" s="187"/>
      <c r="B55" s="190"/>
      <c r="C55" s="54"/>
      <c r="D55" s="68">
        <f t="shared" si="0"/>
        <v>36</v>
      </c>
      <c r="E55" s="165" t="s">
        <v>90</v>
      </c>
      <c r="F55" s="167" t="s">
        <v>210</v>
      </c>
      <c r="G55" s="169" t="s">
        <v>169</v>
      </c>
      <c r="H55" s="163">
        <v>1000</v>
      </c>
      <c r="I55" s="71">
        <f>IF(H55="","",IF(L$14="","Please choose a currency in cell "&amp;ADDRESS(ROW(L$14),COLUMN(L$14),4),IF(L$14=Calculations!P$8,IF(H55="","",'Item Prices &amp; Rates'!H55),IF('Item Prices &amp; Rates'!L$13="","Please fill in exchange rate!",IF(H55="","",'Item Prices &amp; Rates'!H55*'Item Prices &amp; Rates'!L$13)))))</f>
        <v>1000</v>
      </c>
      <c r="J55" s="72" t="str">
        <f>IF(SUMIF('Model 1'!L$18:L$67,'Item Prices &amp; Rates'!D55,'Model 1'!G$18:G$67)=0,"",SUMIF('Model 1'!L$18:L$67,'Item Prices &amp; Rates'!D55,'Model 1'!G$18:G$67))</f>
        <v/>
      </c>
      <c r="K55" s="72">
        <f>IF(SUMIF('Model 2'!L$18:L$67,'Item Prices &amp; Rates'!D55,'Model 2'!G$18:G$67)=0,"",SUMIF('Model 2'!L$18:L$67,'Item Prices &amp; Rates'!D55,'Model 2'!G$18:G$67))</f>
        <v>3</v>
      </c>
      <c r="L55" s="73"/>
    </row>
    <row r="56" spans="1:12" s="55" customFormat="1" ht="19.95" customHeight="1" x14ac:dyDescent="0.25">
      <c r="A56" s="187"/>
      <c r="B56" s="190"/>
      <c r="C56" s="54"/>
      <c r="D56" s="68">
        <f t="shared" si="0"/>
        <v>37</v>
      </c>
      <c r="E56" s="165" t="s">
        <v>90</v>
      </c>
      <c r="F56" s="167" t="s">
        <v>211</v>
      </c>
      <c r="G56" s="169" t="s">
        <v>168</v>
      </c>
      <c r="H56" s="163">
        <v>100</v>
      </c>
      <c r="I56" s="71">
        <f>IF(H56="","",IF(L$14="","Please choose a currency in cell "&amp;ADDRESS(ROW(L$14),COLUMN(L$14),4),IF(L$14=Calculations!P$8,IF(H56="","",'Item Prices &amp; Rates'!H56),IF('Item Prices &amp; Rates'!L$13="","Please fill in exchange rate!",IF(H56="","",'Item Prices &amp; Rates'!H56*'Item Prices &amp; Rates'!L$13)))))</f>
        <v>100</v>
      </c>
      <c r="J56" s="72" t="str">
        <f>IF(SUMIF('Model 1'!L$18:L$67,'Item Prices &amp; Rates'!D56,'Model 1'!G$18:G$67)=0,"",SUMIF('Model 1'!L$18:L$67,'Item Prices &amp; Rates'!D56,'Model 1'!G$18:G$67))</f>
        <v/>
      </c>
      <c r="K56" s="72">
        <f>IF(SUMIF('Model 2'!L$18:L$67,'Item Prices &amp; Rates'!D56,'Model 2'!G$18:G$67)=0,"",SUMIF('Model 2'!L$18:L$67,'Item Prices &amp; Rates'!D56,'Model 2'!G$18:G$67))</f>
        <v>8</v>
      </c>
      <c r="L56" s="73"/>
    </row>
    <row r="57" spans="1:12" s="55" customFormat="1" ht="19.95" customHeight="1" x14ac:dyDescent="0.25">
      <c r="A57" s="187"/>
      <c r="B57" s="190"/>
      <c r="C57" s="54"/>
      <c r="D57" s="68">
        <f t="shared" si="0"/>
        <v>38</v>
      </c>
      <c r="E57" s="165" t="s">
        <v>90</v>
      </c>
      <c r="F57" s="167" t="s">
        <v>212</v>
      </c>
      <c r="G57" s="169" t="s">
        <v>168</v>
      </c>
      <c r="H57" s="163">
        <v>150</v>
      </c>
      <c r="I57" s="71">
        <f>IF(H57="","",IF(L$14="","Please choose a currency in cell "&amp;ADDRESS(ROW(L$14),COLUMN(L$14),4),IF(L$14=Calculations!P$8,IF(H57="","",'Item Prices &amp; Rates'!H57),IF('Item Prices &amp; Rates'!L$13="","Please fill in exchange rate!",IF(H57="","",'Item Prices &amp; Rates'!H57*'Item Prices &amp; Rates'!L$13)))))</f>
        <v>150</v>
      </c>
      <c r="J57" s="72" t="str">
        <f>IF(SUMIF('Model 1'!L$18:L$67,'Item Prices &amp; Rates'!D57,'Model 1'!G$18:G$67)=0,"",SUMIF('Model 1'!L$18:L$67,'Item Prices &amp; Rates'!D57,'Model 1'!G$18:G$67))</f>
        <v/>
      </c>
      <c r="K57" s="72">
        <f>IF(SUMIF('Model 2'!L$18:L$67,'Item Prices &amp; Rates'!D57,'Model 2'!G$18:G$67)=0,"",SUMIF('Model 2'!L$18:L$67,'Item Prices &amp; Rates'!D57,'Model 2'!G$18:G$67))</f>
        <v>4</v>
      </c>
      <c r="L57" s="73"/>
    </row>
    <row r="58" spans="1:12" s="55" customFormat="1" ht="19.95" customHeight="1" x14ac:dyDescent="0.25">
      <c r="A58" s="187"/>
      <c r="B58" s="190"/>
      <c r="C58" s="54"/>
      <c r="D58" s="68">
        <f t="shared" si="0"/>
        <v>39</v>
      </c>
      <c r="E58" s="165" t="s">
        <v>90</v>
      </c>
      <c r="F58" s="167" t="s">
        <v>213</v>
      </c>
      <c r="G58" s="169" t="s">
        <v>15</v>
      </c>
      <c r="H58" s="163">
        <v>25</v>
      </c>
      <c r="I58" s="71">
        <f>IF(H58="","",IF(L$14="","Please choose a currency in cell "&amp;ADDRESS(ROW(L$14),COLUMN(L$14),4),IF(L$14=Calculations!P$8,IF(H58="","",'Item Prices &amp; Rates'!H58),IF('Item Prices &amp; Rates'!L$13="","Please fill in exchange rate!",IF(H58="","",'Item Prices &amp; Rates'!H58*'Item Prices &amp; Rates'!L$13)))))</f>
        <v>25</v>
      </c>
      <c r="J58" s="72" t="str">
        <f>IF(SUMIF('Model 1'!L$18:L$67,'Item Prices &amp; Rates'!D58,'Model 1'!G$18:G$67)=0,"",SUMIF('Model 1'!L$18:L$67,'Item Prices &amp; Rates'!D58,'Model 1'!G$18:G$67))</f>
        <v/>
      </c>
      <c r="K58" s="72">
        <f>IF(SUMIF('Model 2'!L$18:L$67,'Item Prices &amp; Rates'!D58,'Model 2'!G$18:G$67)=0,"",SUMIF('Model 2'!L$18:L$67,'Item Prices &amp; Rates'!D58,'Model 2'!G$18:G$67))</f>
        <v>40</v>
      </c>
      <c r="L58" s="73"/>
    </row>
    <row r="59" spans="1:12" s="55" customFormat="1" ht="19.95" customHeight="1" x14ac:dyDescent="0.25">
      <c r="A59" s="187"/>
      <c r="B59" s="190"/>
      <c r="C59" s="54"/>
      <c r="D59" s="68">
        <f t="shared" si="0"/>
        <v>40</v>
      </c>
      <c r="E59" s="165" t="s">
        <v>90</v>
      </c>
      <c r="F59" s="167" t="s">
        <v>214</v>
      </c>
      <c r="G59" s="169" t="s">
        <v>15</v>
      </c>
      <c r="H59" s="163">
        <v>600</v>
      </c>
      <c r="I59" s="71">
        <f>IF(H59="","",IF(L$14="","Please choose a currency in cell "&amp;ADDRESS(ROW(L$14),COLUMN(L$14),4),IF(L$14=Calculations!P$8,IF(H59="","",'Item Prices &amp; Rates'!H59),IF('Item Prices &amp; Rates'!L$13="","Please fill in exchange rate!",IF(H59="","",'Item Prices &amp; Rates'!H59*'Item Prices &amp; Rates'!L$13)))))</f>
        <v>600</v>
      </c>
      <c r="J59" s="72" t="str">
        <f>IF(SUMIF('Model 1'!L$18:L$67,'Item Prices &amp; Rates'!D59,'Model 1'!G$18:G$67)=0,"",SUMIF('Model 1'!L$18:L$67,'Item Prices &amp; Rates'!D59,'Model 1'!G$18:G$67))</f>
        <v/>
      </c>
      <c r="K59" s="72">
        <f>IF(SUMIF('Model 2'!L$18:L$67,'Item Prices &amp; Rates'!D59,'Model 2'!G$18:G$67)=0,"",SUMIF('Model 2'!L$18:L$67,'Item Prices &amp; Rates'!D59,'Model 2'!G$18:G$67))</f>
        <v>1</v>
      </c>
      <c r="L59" s="73"/>
    </row>
    <row r="60" spans="1:12" s="55" customFormat="1" ht="19.95" customHeight="1" x14ac:dyDescent="0.25">
      <c r="A60" s="187"/>
      <c r="B60" s="190"/>
      <c r="C60" s="54"/>
      <c r="D60" s="68">
        <f t="shared" si="0"/>
        <v>41</v>
      </c>
      <c r="E60" s="165" t="s">
        <v>90</v>
      </c>
      <c r="F60" s="167" t="s">
        <v>215</v>
      </c>
      <c r="G60" s="169" t="s">
        <v>15</v>
      </c>
      <c r="H60" s="163">
        <v>800</v>
      </c>
      <c r="I60" s="71">
        <f>IF(H60="","",IF(L$14="","Please choose a currency in cell "&amp;ADDRESS(ROW(L$14),COLUMN(L$14),4),IF(L$14=Calculations!P$8,IF(H60="","",'Item Prices &amp; Rates'!H60),IF('Item Prices &amp; Rates'!L$13="","Please fill in exchange rate!",IF(H60="","",'Item Prices &amp; Rates'!H60*'Item Prices &amp; Rates'!L$13)))))</f>
        <v>800</v>
      </c>
      <c r="J60" s="72" t="str">
        <f>IF(SUMIF('Model 1'!L$18:L$67,'Item Prices &amp; Rates'!D60,'Model 1'!G$18:G$67)=0,"",SUMIF('Model 1'!L$18:L$67,'Item Prices &amp; Rates'!D60,'Model 1'!G$18:G$67))</f>
        <v/>
      </c>
      <c r="K60" s="72">
        <f>IF(SUMIF('Model 2'!L$18:L$67,'Item Prices &amp; Rates'!D60,'Model 2'!G$18:G$67)=0,"",SUMIF('Model 2'!L$18:L$67,'Item Prices &amp; Rates'!D60,'Model 2'!G$18:G$67))</f>
        <v>2</v>
      </c>
      <c r="L60" s="73"/>
    </row>
    <row r="61" spans="1:12" s="55" customFormat="1" ht="19.95" customHeight="1" x14ac:dyDescent="0.25">
      <c r="A61" s="187"/>
      <c r="B61" s="190"/>
      <c r="C61" s="54"/>
      <c r="D61" s="68">
        <f t="shared" si="0"/>
        <v>42</v>
      </c>
      <c r="E61" s="165" t="s">
        <v>90</v>
      </c>
      <c r="F61" s="167" t="s">
        <v>216</v>
      </c>
      <c r="G61" s="169" t="s">
        <v>169</v>
      </c>
      <c r="H61" s="163">
        <v>1000</v>
      </c>
      <c r="I61" s="71">
        <f>IF(H61="","",IF(L$14="","Please choose a currency in cell "&amp;ADDRESS(ROW(L$14),COLUMN(L$14),4),IF(L$14=Calculations!P$8,IF(H61="","",'Item Prices &amp; Rates'!H61),IF('Item Prices &amp; Rates'!L$13="","Please fill in exchange rate!",IF(H61="","",'Item Prices &amp; Rates'!H61*'Item Prices &amp; Rates'!L$13)))))</f>
        <v>1000</v>
      </c>
      <c r="J61" s="72" t="str">
        <f>IF(SUMIF('Model 1'!L$18:L$67,'Item Prices &amp; Rates'!D61,'Model 1'!G$18:G$67)=0,"",SUMIF('Model 1'!L$18:L$67,'Item Prices &amp; Rates'!D61,'Model 1'!G$18:G$67))</f>
        <v/>
      </c>
      <c r="K61" s="72">
        <f>IF(SUMIF('Model 2'!L$18:L$67,'Item Prices &amp; Rates'!D61,'Model 2'!G$18:G$67)=0,"",SUMIF('Model 2'!L$18:L$67,'Item Prices &amp; Rates'!D61,'Model 2'!G$18:G$67))</f>
        <v>1</v>
      </c>
      <c r="L61" s="73"/>
    </row>
    <row r="62" spans="1:12" s="55" customFormat="1" ht="19.95" customHeight="1" x14ac:dyDescent="0.25">
      <c r="A62" s="187"/>
      <c r="B62" s="190"/>
      <c r="C62" s="54"/>
      <c r="D62" s="68">
        <f t="shared" si="0"/>
        <v>43</v>
      </c>
      <c r="E62" s="165" t="s">
        <v>90</v>
      </c>
      <c r="F62" s="167" t="s">
        <v>217</v>
      </c>
      <c r="G62" s="169" t="s">
        <v>168</v>
      </c>
      <c r="H62" s="163">
        <v>100</v>
      </c>
      <c r="I62" s="71">
        <f>IF(H62="","",IF(L$14="","Please choose a currency in cell "&amp;ADDRESS(ROW(L$14),COLUMN(L$14),4),IF(L$14=Calculations!P$8,IF(H62="","",'Item Prices &amp; Rates'!H62),IF('Item Prices &amp; Rates'!L$13="","Please fill in exchange rate!",IF(H62="","",'Item Prices &amp; Rates'!H62*'Item Prices &amp; Rates'!L$13)))))</f>
        <v>100</v>
      </c>
      <c r="J62" s="72" t="str">
        <f>IF(SUMIF('Model 1'!L$18:L$67,'Item Prices &amp; Rates'!D62,'Model 1'!G$18:G$67)=0,"",SUMIF('Model 1'!L$18:L$67,'Item Prices &amp; Rates'!D62,'Model 1'!G$18:G$67))</f>
        <v/>
      </c>
      <c r="K62" s="72">
        <f>IF(SUMIF('Model 2'!L$18:L$67,'Item Prices &amp; Rates'!D62,'Model 2'!G$18:G$67)=0,"",SUMIF('Model 2'!L$18:L$67,'Item Prices &amp; Rates'!D62,'Model 2'!G$18:G$67))</f>
        <v>2</v>
      </c>
      <c r="L62" s="73"/>
    </row>
    <row r="63" spans="1:12" s="55" customFormat="1" ht="19.95" customHeight="1" x14ac:dyDescent="0.25">
      <c r="A63" s="187"/>
      <c r="B63" s="190"/>
      <c r="C63" s="54"/>
      <c r="D63" s="68">
        <f t="shared" si="0"/>
        <v>44</v>
      </c>
      <c r="E63" s="165" t="s">
        <v>90</v>
      </c>
      <c r="F63" s="167" t="s">
        <v>218</v>
      </c>
      <c r="G63" s="169" t="s">
        <v>170</v>
      </c>
      <c r="H63" s="163">
        <v>70</v>
      </c>
      <c r="I63" s="71">
        <f>IF(H63="","",IF(L$14="","Please choose a currency in cell "&amp;ADDRESS(ROW(L$14),COLUMN(L$14),4),IF(L$14=Calculations!P$8,IF(H63="","",'Item Prices &amp; Rates'!H63),IF('Item Prices &amp; Rates'!L$13="","Please fill in exchange rate!",IF(H63="","",'Item Prices &amp; Rates'!H63*'Item Prices &amp; Rates'!L$13)))))</f>
        <v>70</v>
      </c>
      <c r="J63" s="72" t="str">
        <f>IF(SUMIF('Model 1'!L$18:L$67,'Item Prices &amp; Rates'!D63,'Model 1'!G$18:G$67)=0,"",SUMIF('Model 1'!L$18:L$67,'Item Prices &amp; Rates'!D63,'Model 1'!G$18:G$67))</f>
        <v/>
      </c>
      <c r="K63" s="72">
        <f>IF(SUMIF('Model 2'!L$18:L$67,'Item Prices &amp; Rates'!D63,'Model 2'!G$18:G$67)=0,"",SUMIF('Model 2'!L$18:L$67,'Item Prices &amp; Rates'!D63,'Model 2'!G$18:G$67))</f>
        <v>10</v>
      </c>
      <c r="L63" s="73"/>
    </row>
    <row r="64" spans="1:12" s="55" customFormat="1" ht="19.95" customHeight="1" x14ac:dyDescent="0.25">
      <c r="A64" s="187"/>
      <c r="B64" s="190"/>
      <c r="C64" s="54"/>
      <c r="D64" s="68">
        <f t="shared" si="0"/>
        <v>45</v>
      </c>
      <c r="E64" s="165" t="s">
        <v>90</v>
      </c>
      <c r="F64" s="167" t="s">
        <v>219</v>
      </c>
      <c r="G64" s="169" t="s">
        <v>15</v>
      </c>
      <c r="H64" s="163">
        <v>70</v>
      </c>
      <c r="I64" s="71">
        <f>IF(H64="","",IF(L$14="","Please choose a currency in cell "&amp;ADDRESS(ROW(L$14),COLUMN(L$14),4),IF(L$14=Calculations!P$8,IF(H64="","",'Item Prices &amp; Rates'!H64),IF('Item Prices &amp; Rates'!L$13="","Please fill in exchange rate!",IF(H64="","",'Item Prices &amp; Rates'!H64*'Item Prices &amp; Rates'!L$13)))))</f>
        <v>70</v>
      </c>
      <c r="J64" s="72" t="str">
        <f>IF(SUMIF('Model 1'!L$18:L$67,'Item Prices &amp; Rates'!D64,'Model 1'!G$18:G$67)=0,"",SUMIF('Model 1'!L$18:L$67,'Item Prices &amp; Rates'!D64,'Model 1'!G$18:G$67))</f>
        <v/>
      </c>
      <c r="K64" s="72">
        <f>IF(SUMIF('Model 2'!L$18:L$67,'Item Prices &amp; Rates'!D64,'Model 2'!G$18:G$67)=0,"",SUMIF('Model 2'!L$18:L$67,'Item Prices &amp; Rates'!D64,'Model 2'!G$18:G$67))</f>
        <v>1</v>
      </c>
      <c r="L64" s="73"/>
    </row>
    <row r="65" spans="1:12" s="55" customFormat="1" ht="19.95" customHeight="1" x14ac:dyDescent="0.25">
      <c r="A65" s="187"/>
      <c r="B65" s="190"/>
      <c r="C65" s="54"/>
      <c r="D65" s="68">
        <f t="shared" si="0"/>
        <v>46</v>
      </c>
      <c r="E65" s="165" t="s">
        <v>90</v>
      </c>
      <c r="F65" s="167" t="s">
        <v>220</v>
      </c>
      <c r="G65" s="169" t="s">
        <v>167</v>
      </c>
      <c r="H65" s="163">
        <v>20</v>
      </c>
      <c r="I65" s="71">
        <f>IF(H65="","",IF(L$14="","Please choose a currency in cell "&amp;ADDRESS(ROW(L$14),COLUMN(L$14),4),IF(L$14=Calculations!P$8,IF(H65="","",'Item Prices &amp; Rates'!H65),IF('Item Prices &amp; Rates'!L$13="","Please fill in exchange rate!",IF(H65="","",'Item Prices &amp; Rates'!H65*'Item Prices &amp; Rates'!L$13)))))</f>
        <v>20</v>
      </c>
      <c r="J65" s="72" t="str">
        <f>IF(SUMIF('Model 1'!L$18:L$67,'Item Prices &amp; Rates'!D65,'Model 1'!G$18:G$67)=0,"",SUMIF('Model 1'!L$18:L$67,'Item Prices &amp; Rates'!D65,'Model 1'!G$18:G$67))</f>
        <v/>
      </c>
      <c r="K65" s="72">
        <f>IF(SUMIF('Model 2'!L$18:L$67,'Item Prices &amp; Rates'!D65,'Model 2'!G$18:G$67)=0,"",SUMIF('Model 2'!L$18:L$67,'Item Prices &amp; Rates'!D65,'Model 2'!G$18:G$67))</f>
        <v>1</v>
      </c>
      <c r="L65" s="73"/>
    </row>
    <row r="66" spans="1:12" s="55" customFormat="1" ht="19.95" customHeight="1" x14ac:dyDescent="0.25">
      <c r="A66" s="187"/>
      <c r="B66" s="190"/>
      <c r="C66" s="54"/>
      <c r="D66" s="68">
        <f t="shared" si="0"/>
        <v>47</v>
      </c>
      <c r="E66" s="165" t="s">
        <v>90</v>
      </c>
      <c r="F66" s="167" t="s">
        <v>221</v>
      </c>
      <c r="G66" s="169" t="s">
        <v>15</v>
      </c>
      <c r="H66" s="163">
        <v>20</v>
      </c>
      <c r="I66" s="71">
        <f>IF(H66="","",IF(L$14="","Please choose a currency in cell "&amp;ADDRESS(ROW(L$14),COLUMN(L$14),4),IF(L$14=Calculations!P$8,IF(H66="","",'Item Prices &amp; Rates'!H66),IF('Item Prices &amp; Rates'!L$13="","Please fill in exchange rate!",IF(H66="","",'Item Prices &amp; Rates'!H66*'Item Prices &amp; Rates'!L$13)))))</f>
        <v>20</v>
      </c>
      <c r="J66" s="72" t="str">
        <f>IF(SUMIF('Model 1'!L$18:L$67,'Item Prices &amp; Rates'!D66,'Model 1'!G$18:G$67)=0,"",SUMIF('Model 1'!L$18:L$67,'Item Prices &amp; Rates'!D66,'Model 1'!G$18:G$67))</f>
        <v/>
      </c>
      <c r="K66" s="72">
        <f>IF(SUMIF('Model 2'!L$18:L$67,'Item Prices &amp; Rates'!D66,'Model 2'!G$18:G$67)=0,"",SUMIF('Model 2'!L$18:L$67,'Item Prices &amp; Rates'!D66,'Model 2'!G$18:G$67))</f>
        <v>150</v>
      </c>
      <c r="L66" s="73"/>
    </row>
    <row r="67" spans="1:12" s="55" customFormat="1" ht="19.95" customHeight="1" x14ac:dyDescent="0.25">
      <c r="A67" s="187"/>
      <c r="B67" s="190"/>
      <c r="C67" s="54"/>
      <c r="D67" s="68">
        <f t="shared" ref="D67:D76" si="1">IF(F67="","",ROW(D67)-ROW(D$20)+1)</f>
        <v>48</v>
      </c>
      <c r="E67" s="165" t="s">
        <v>90</v>
      </c>
      <c r="F67" s="167" t="s">
        <v>222</v>
      </c>
      <c r="G67" s="169" t="s">
        <v>169</v>
      </c>
      <c r="H67" s="163">
        <v>1000</v>
      </c>
      <c r="I67" s="71">
        <f>IF(H67="","",IF(L$14="","Please choose a currency in cell "&amp;ADDRESS(ROW(L$14),COLUMN(L$14),4),IF(L$14=Calculations!P$8,IF(H67="","",'Item Prices &amp; Rates'!H67),IF('Item Prices &amp; Rates'!L$13="","Please fill in exchange rate!",IF(H67="","",'Item Prices &amp; Rates'!H67*'Item Prices &amp; Rates'!L$13)))))</f>
        <v>1000</v>
      </c>
      <c r="J67" s="72" t="str">
        <f>IF(SUMIF('Model 1'!L$18:L$67,'Item Prices &amp; Rates'!D67,'Model 1'!G$18:G$67)=0,"",SUMIF('Model 1'!L$18:L$67,'Item Prices &amp; Rates'!D67,'Model 1'!G$18:G$67))</f>
        <v/>
      </c>
      <c r="K67" s="72">
        <f>IF(SUMIF('Model 2'!L$18:L$67,'Item Prices &amp; Rates'!D67,'Model 2'!G$18:G$67)=0,"",SUMIF('Model 2'!L$18:L$67,'Item Prices &amp; Rates'!D67,'Model 2'!G$18:G$67))</f>
        <v>4</v>
      </c>
      <c r="L67" s="73"/>
    </row>
    <row r="68" spans="1:12" s="55" customFormat="1" ht="19.95" customHeight="1" x14ac:dyDescent="0.25">
      <c r="A68" s="187"/>
      <c r="B68" s="190"/>
      <c r="C68" s="54"/>
      <c r="D68" s="68">
        <f t="shared" si="1"/>
        <v>49</v>
      </c>
      <c r="E68" s="165" t="s">
        <v>90</v>
      </c>
      <c r="F68" s="167" t="s">
        <v>223</v>
      </c>
      <c r="G68" s="169" t="s">
        <v>168</v>
      </c>
      <c r="H68" s="163">
        <v>100</v>
      </c>
      <c r="I68" s="71">
        <f>IF(H68="","",IF(L$14="","Please choose a currency in cell "&amp;ADDRESS(ROW(L$14),COLUMN(L$14),4),IF(L$14=Calculations!P$8,IF(H68="","",'Item Prices &amp; Rates'!H68),IF('Item Prices &amp; Rates'!L$13="","Please fill in exchange rate!",IF(H68="","",'Item Prices &amp; Rates'!H68*'Item Prices &amp; Rates'!L$13)))))</f>
        <v>100</v>
      </c>
      <c r="J68" s="72" t="str">
        <f>IF(SUMIF('Model 1'!L$18:L$67,'Item Prices &amp; Rates'!D68,'Model 1'!G$18:G$67)=0,"",SUMIF('Model 1'!L$18:L$67,'Item Prices &amp; Rates'!D68,'Model 1'!G$18:G$67))</f>
        <v/>
      </c>
      <c r="K68" s="72">
        <f>IF(SUMIF('Model 2'!L$18:L$67,'Item Prices &amp; Rates'!D68,'Model 2'!G$18:G$67)=0,"",SUMIF('Model 2'!L$18:L$67,'Item Prices &amp; Rates'!D68,'Model 2'!G$18:G$67))</f>
        <v>16</v>
      </c>
      <c r="L68" s="73"/>
    </row>
    <row r="69" spans="1:12" s="55" customFormat="1" ht="19.95" customHeight="1" x14ac:dyDescent="0.25">
      <c r="A69" s="14"/>
      <c r="B69" s="190"/>
      <c r="C69" s="54"/>
      <c r="D69" s="68">
        <f t="shared" si="1"/>
        <v>50</v>
      </c>
      <c r="E69" s="165" t="s">
        <v>90</v>
      </c>
      <c r="F69" s="167" t="s">
        <v>224</v>
      </c>
      <c r="G69" s="169" t="s">
        <v>15</v>
      </c>
      <c r="H69" s="163">
        <v>4300</v>
      </c>
      <c r="I69" s="71">
        <f>IF(H69="","",IF(L$14="","Please choose a currency in cell "&amp;ADDRESS(ROW(L$14),COLUMN(L$14),4),IF(L$14=Calculations!P$8,IF(H69="","",'Item Prices &amp; Rates'!H69),IF('Item Prices &amp; Rates'!L$13="","Please fill in exchange rate!",IF(H69="","",'Item Prices &amp; Rates'!H69*'Item Prices &amp; Rates'!L$13)))))</f>
        <v>4300</v>
      </c>
      <c r="J69" s="72" t="str">
        <f>IF(SUMIF('Model 1'!L$18:L$67,'Item Prices &amp; Rates'!D69,'Model 1'!G$18:G$67)=0,"",SUMIF('Model 1'!L$18:L$67,'Item Prices &amp; Rates'!D69,'Model 1'!G$18:G$67))</f>
        <v/>
      </c>
      <c r="K69" s="72">
        <f>IF(SUMIF('Model 2'!L$18:L$67,'Item Prices &amp; Rates'!D69,'Model 2'!G$18:G$67)=0,"",SUMIF('Model 2'!L$18:L$67,'Item Prices &amp; Rates'!D69,'Model 2'!G$18:G$67))</f>
        <v>1</v>
      </c>
      <c r="L69" s="73"/>
    </row>
    <row r="70" spans="1:12" s="55" customFormat="1" ht="19.95" customHeight="1" x14ac:dyDescent="0.25">
      <c r="A70" s="14"/>
      <c r="B70" s="190"/>
      <c r="C70" s="54"/>
      <c r="D70" s="68">
        <f t="shared" si="1"/>
        <v>51</v>
      </c>
      <c r="E70" s="165" t="s">
        <v>90</v>
      </c>
      <c r="F70" s="167" t="s">
        <v>225</v>
      </c>
      <c r="G70" s="169" t="s">
        <v>15</v>
      </c>
      <c r="H70" s="163">
        <v>30</v>
      </c>
      <c r="I70" s="71">
        <f>IF(H70="","",IF(L$14="","Please choose a currency in cell "&amp;ADDRESS(ROW(L$14),COLUMN(L$14),4),IF(L$14=Calculations!P$8,IF(H70="","",'Item Prices &amp; Rates'!H70),IF('Item Prices &amp; Rates'!L$13="","Please fill in exchange rate!",IF(H70="","",'Item Prices &amp; Rates'!H70*'Item Prices &amp; Rates'!L$13)))))</f>
        <v>30</v>
      </c>
      <c r="J70" s="72" t="str">
        <f>IF(SUMIF('Model 1'!L$18:L$67,'Item Prices &amp; Rates'!D70,'Model 1'!G$18:G$67)=0,"",SUMIF('Model 1'!L$18:L$67,'Item Prices &amp; Rates'!D70,'Model 1'!G$18:G$67))</f>
        <v/>
      </c>
      <c r="K70" s="72">
        <f>IF(SUMIF('Model 2'!L$18:L$67,'Item Prices &amp; Rates'!D70,'Model 2'!G$18:G$67)=0,"",SUMIF('Model 2'!L$18:L$67,'Item Prices &amp; Rates'!D70,'Model 2'!G$18:G$67))</f>
        <v>20</v>
      </c>
      <c r="L70" s="73"/>
    </row>
    <row r="71" spans="1:12" s="55" customFormat="1" ht="19.95" customHeight="1" x14ac:dyDescent="0.25">
      <c r="A71" s="14"/>
      <c r="B71" s="190"/>
      <c r="C71" s="54"/>
      <c r="D71" s="68">
        <f t="shared" si="1"/>
        <v>52</v>
      </c>
      <c r="E71" s="165" t="s">
        <v>90</v>
      </c>
      <c r="F71" s="167" t="s">
        <v>226</v>
      </c>
      <c r="G71" s="169" t="s">
        <v>15</v>
      </c>
      <c r="H71" s="163">
        <v>40</v>
      </c>
      <c r="I71" s="71">
        <f>IF(H71="","",IF(L$14="","Please choose a currency in cell "&amp;ADDRESS(ROW(L$14),COLUMN(L$14),4),IF(L$14=Calculations!P$8,IF(H71="","",'Item Prices &amp; Rates'!H71),IF('Item Prices &amp; Rates'!L$13="","Please fill in exchange rate!",IF(H71="","",'Item Prices &amp; Rates'!H71*'Item Prices &amp; Rates'!L$13)))))</f>
        <v>40</v>
      </c>
      <c r="J71" s="72" t="str">
        <f>IF(SUMIF('Model 1'!L$18:L$67,'Item Prices &amp; Rates'!D71,'Model 1'!G$18:G$67)=0,"",SUMIF('Model 1'!L$18:L$67,'Item Prices &amp; Rates'!D71,'Model 1'!G$18:G$67))</f>
        <v/>
      </c>
      <c r="K71" s="72">
        <f>IF(SUMIF('Model 2'!L$18:L$67,'Item Prices &amp; Rates'!D71,'Model 2'!G$18:G$67)=0,"",SUMIF('Model 2'!L$18:L$67,'Item Prices &amp; Rates'!D71,'Model 2'!G$18:G$67))</f>
        <v>25</v>
      </c>
      <c r="L71" s="73"/>
    </row>
    <row r="72" spans="1:12" s="55" customFormat="1" ht="19.95" customHeight="1" x14ac:dyDescent="0.25">
      <c r="A72" s="14"/>
      <c r="B72" s="190"/>
      <c r="C72" s="54"/>
      <c r="D72" s="68">
        <f t="shared" si="1"/>
        <v>53</v>
      </c>
      <c r="E72" s="165" t="s">
        <v>90</v>
      </c>
      <c r="F72" s="167" t="s">
        <v>227</v>
      </c>
      <c r="G72" s="169" t="s">
        <v>15</v>
      </c>
      <c r="H72" s="163">
        <v>600</v>
      </c>
      <c r="I72" s="71">
        <f>IF(H72="","",IF(L$14="","Please choose a currency in cell "&amp;ADDRESS(ROW(L$14),COLUMN(L$14),4),IF(L$14=Calculations!P$8,IF(H72="","",'Item Prices &amp; Rates'!H72),IF('Item Prices &amp; Rates'!L$13="","Please fill in exchange rate!",IF(H72="","",'Item Prices &amp; Rates'!H72*'Item Prices &amp; Rates'!L$13)))))</f>
        <v>600</v>
      </c>
      <c r="J72" s="72" t="str">
        <f>IF(SUMIF('Model 1'!L$18:L$67,'Item Prices &amp; Rates'!D72,'Model 1'!G$18:G$67)=0,"",SUMIF('Model 1'!L$18:L$67,'Item Prices &amp; Rates'!D72,'Model 1'!G$18:G$67))</f>
        <v/>
      </c>
      <c r="K72" s="72">
        <f>IF(SUMIF('Model 2'!L$18:L$67,'Item Prices &amp; Rates'!D72,'Model 2'!G$18:G$67)=0,"",SUMIF('Model 2'!L$18:L$67,'Item Prices &amp; Rates'!D72,'Model 2'!G$18:G$67))</f>
        <v>2</v>
      </c>
      <c r="L72" s="73"/>
    </row>
    <row r="73" spans="1:12" s="55" customFormat="1" ht="19.95" customHeight="1" x14ac:dyDescent="0.25">
      <c r="A73" s="14"/>
      <c r="B73" s="190"/>
      <c r="C73" s="54"/>
      <c r="D73" s="68">
        <f t="shared" si="1"/>
        <v>54</v>
      </c>
      <c r="E73" s="165" t="s">
        <v>90</v>
      </c>
      <c r="F73" s="167" t="s">
        <v>228</v>
      </c>
      <c r="G73" s="169" t="s">
        <v>11</v>
      </c>
      <c r="H73" s="163">
        <v>200</v>
      </c>
      <c r="I73" s="71">
        <f>IF(H73="","",IF(L$14="","Please choose a currency in cell "&amp;ADDRESS(ROW(L$14),COLUMN(L$14),4),IF(L$14=Calculations!P$8,IF(H73="","",'Item Prices &amp; Rates'!H73),IF('Item Prices &amp; Rates'!L$13="","Please fill in exchange rate!",IF(H73="","",'Item Prices &amp; Rates'!H73*'Item Prices &amp; Rates'!L$13)))))</f>
        <v>200</v>
      </c>
      <c r="J73" s="72" t="str">
        <f>IF(SUMIF('Model 1'!L$18:L$67,'Item Prices &amp; Rates'!D73,'Model 1'!G$18:G$67)=0,"",SUMIF('Model 1'!L$18:L$67,'Item Prices &amp; Rates'!D73,'Model 1'!G$18:G$67))</f>
        <v/>
      </c>
      <c r="K73" s="72">
        <f>IF(SUMIF('Model 2'!L$18:L$67,'Item Prices &amp; Rates'!D73,'Model 2'!G$18:G$67)=0,"",SUMIF('Model 2'!L$18:L$67,'Item Prices &amp; Rates'!D73,'Model 2'!G$18:G$67))</f>
        <v>0.5</v>
      </c>
      <c r="L73" s="73"/>
    </row>
    <row r="74" spans="1:12" s="55" customFormat="1" ht="19.95" customHeight="1" x14ac:dyDescent="0.25">
      <c r="A74" s="14"/>
      <c r="B74" s="190"/>
      <c r="C74" s="54"/>
      <c r="D74" s="68">
        <f t="shared" si="1"/>
        <v>55</v>
      </c>
      <c r="E74" s="165" t="s">
        <v>90</v>
      </c>
      <c r="F74" s="167" t="s">
        <v>229</v>
      </c>
      <c r="G74" s="169" t="s">
        <v>11</v>
      </c>
      <c r="H74" s="163">
        <v>130</v>
      </c>
      <c r="I74" s="71">
        <f>IF(H74="","",IF(L$14="","Please choose a currency in cell "&amp;ADDRESS(ROW(L$14),COLUMN(L$14),4),IF(L$14=Calculations!P$8,IF(H74="","",'Item Prices &amp; Rates'!H74),IF('Item Prices &amp; Rates'!L$13="","Please fill in exchange rate!",IF(H74="","",'Item Prices &amp; Rates'!H74*'Item Prices &amp; Rates'!L$13)))))</f>
        <v>130</v>
      </c>
      <c r="J74" s="72" t="str">
        <f>IF(SUMIF('Model 1'!L$18:L$67,'Item Prices &amp; Rates'!D74,'Model 1'!G$18:G$67)=0,"",SUMIF('Model 1'!L$18:L$67,'Item Prices &amp; Rates'!D74,'Model 1'!G$18:G$67))</f>
        <v/>
      </c>
      <c r="K74" s="72">
        <f>IF(SUMIF('Model 2'!L$18:L$67,'Item Prices &amp; Rates'!D74,'Model 2'!G$18:G$67)=0,"",SUMIF('Model 2'!L$18:L$67,'Item Prices &amp; Rates'!D74,'Model 2'!G$18:G$67))</f>
        <v>0.5</v>
      </c>
      <c r="L74" s="73"/>
    </row>
    <row r="75" spans="1:12" s="55" customFormat="1" ht="19.95" customHeight="1" x14ac:dyDescent="0.25">
      <c r="A75" s="14"/>
      <c r="B75" s="190"/>
      <c r="C75" s="54"/>
      <c r="D75" s="68">
        <f t="shared" si="1"/>
        <v>56</v>
      </c>
      <c r="E75" s="165" t="s">
        <v>64</v>
      </c>
      <c r="F75" s="167" t="s">
        <v>189</v>
      </c>
      <c r="G75" s="169" t="s">
        <v>66</v>
      </c>
      <c r="H75" s="163">
        <v>800</v>
      </c>
      <c r="I75" s="71">
        <f>IF(H75="","",IF(L$14="","Please choose a currency in cell "&amp;ADDRESS(ROW(L$14),COLUMN(L$14),4),IF(L$14=Calculations!P$8,IF(H75="","",'Item Prices &amp; Rates'!H75),IF('Item Prices &amp; Rates'!L$13="","Please fill in exchange rate!",IF(H75="","",'Item Prices &amp; Rates'!H75*'Item Prices &amp; Rates'!L$13)))))</f>
        <v>800</v>
      </c>
      <c r="J75" s="72" t="str">
        <f>IF(SUMIF('Model 1'!L$18:L$67,'Item Prices &amp; Rates'!D75,'Model 1'!G$18:G$67)=0,"",SUMIF('Model 1'!L$18:L$67,'Item Prices &amp; Rates'!D75,'Model 1'!G$18:G$67))</f>
        <v/>
      </c>
      <c r="K75" s="72">
        <f>IF(SUMIF('Model 2'!L$18:L$67,'Item Prices &amp; Rates'!D75,'Model 2'!G$18:G$67)=0,"",SUMIF('Model 2'!L$18:L$67,'Item Prices &amp; Rates'!D75,'Model 2'!G$18:G$67))</f>
        <v>8</v>
      </c>
      <c r="L75" s="73"/>
    </row>
    <row r="76" spans="1:12" s="55" customFormat="1" ht="19.95" customHeight="1" x14ac:dyDescent="0.25">
      <c r="A76" s="14"/>
      <c r="B76" s="190"/>
      <c r="C76" s="54"/>
      <c r="D76" s="68">
        <f t="shared" si="1"/>
        <v>57</v>
      </c>
      <c r="E76" s="165" t="s">
        <v>64</v>
      </c>
      <c r="F76" s="167" t="s">
        <v>190</v>
      </c>
      <c r="G76" s="169" t="s">
        <v>66</v>
      </c>
      <c r="H76" s="163">
        <v>350</v>
      </c>
      <c r="I76" s="71">
        <f>IF(H76="","",IF(L$14="","Please choose a currency in cell "&amp;ADDRESS(ROW(L$14),COLUMN(L$14),4),IF(L$14=Calculations!P$8,IF(H76="","",'Item Prices &amp; Rates'!H76),IF('Item Prices &amp; Rates'!L$13="","Please fill in exchange rate!",IF(H76="","",'Item Prices &amp; Rates'!H76*'Item Prices &amp; Rates'!L$13)))))</f>
        <v>350</v>
      </c>
      <c r="J76" s="72" t="str">
        <f>IF(SUMIF('Model 1'!L$18:L$67,'Item Prices &amp; Rates'!D76,'Model 1'!G$18:G$67)=0,"",SUMIF('Model 1'!L$18:L$67,'Item Prices &amp; Rates'!D76,'Model 1'!G$18:G$67))</f>
        <v/>
      </c>
      <c r="K76" s="72">
        <f>IF(SUMIF('Model 2'!L$18:L$67,'Item Prices &amp; Rates'!D76,'Model 2'!G$18:G$67)=0,"",SUMIF('Model 2'!L$18:L$67,'Item Prices &amp; Rates'!D76,'Model 2'!G$18:G$67))</f>
        <v>10</v>
      </c>
      <c r="L76" s="73"/>
    </row>
    <row r="77" spans="1:12" s="55" customFormat="1" ht="19.95" customHeight="1" x14ac:dyDescent="0.25">
      <c r="A77" s="14"/>
      <c r="B77" s="190"/>
      <c r="C77" s="54"/>
      <c r="D77" s="74" t="str">
        <f>IF(F77="","",ROW(D77)-ROW(D$20)+1)</f>
        <v/>
      </c>
      <c r="E77" s="75"/>
      <c r="F77" s="76"/>
      <c r="G77" s="77"/>
      <c r="H77" s="78"/>
      <c r="I77" s="79" t="str">
        <f>IF(H77="","",IF(L$14="","Please choose a currency in cell "&amp;ADDRESS(ROW(L$14),COLUMN(L$14),4),IF(L$14=Calculations!P$8,IF(H77="","",'Item Prices &amp; Rates'!H77),IF('Item Prices &amp; Rates'!L$13="","Please fill in exchange rate!",IF(H77="","",'Item Prices &amp; Rates'!H77*'Item Prices &amp; Rates'!L$13)))))</f>
        <v/>
      </c>
      <c r="J77" s="80" t="str">
        <f>IF(SUMIF('Model 1'!L$18:L$67,'Item Prices &amp; Rates'!D77,'Model 1'!G$18:G$67)=0,"",SUMIF('Model 1'!L$18:L$67,'Item Prices &amp; Rates'!D77,'Model 1'!G$18:G$67))</f>
        <v/>
      </c>
      <c r="K77" s="80" t="str">
        <f>IF(SUMIF('Model 2'!L$18:L$67,'Item Prices &amp; Rates'!D77,'Model 2'!G$18:G$67)=0,"",SUMIF('Model 2'!L$18:L$67,'Item Prices &amp; Rates'!D77,'Model 2'!G$18:G$67))</f>
        <v/>
      </c>
      <c r="L77" s="81"/>
    </row>
  </sheetData>
  <sheetProtection password="CC3D" sheet="1" objects="1" scenarios="1"/>
  <mergeCells count="25">
    <mergeCell ref="J17:K17"/>
    <mergeCell ref="D2:K2"/>
    <mergeCell ref="H14:K14"/>
    <mergeCell ref="H13:K13"/>
    <mergeCell ref="H12:K12"/>
    <mergeCell ref="H11:K11"/>
    <mergeCell ref="D6:F6"/>
    <mergeCell ref="H6:I6"/>
    <mergeCell ref="J6:K6"/>
    <mergeCell ref="J7:K7"/>
    <mergeCell ref="J8:K8"/>
    <mergeCell ref="H7:I8"/>
    <mergeCell ref="G17:I17"/>
    <mergeCell ref="D17:F17"/>
    <mergeCell ref="D7:E7"/>
    <mergeCell ref="D8:E8"/>
    <mergeCell ref="D13:E13"/>
    <mergeCell ref="D14:E14"/>
    <mergeCell ref="D15:E15"/>
    <mergeCell ref="H15:K15"/>
    <mergeCell ref="D9:E9"/>
    <mergeCell ref="D10:E10"/>
    <mergeCell ref="D11:E11"/>
    <mergeCell ref="D12:E12"/>
    <mergeCell ref="H10:L10"/>
  </mergeCells>
  <conditionalFormatting sqref="L13">
    <cfRule type="expression" dxfId="0" priority="1">
      <formula>NOT(ISBLANK(L12))</formula>
    </cfRule>
  </conditionalFormatting>
  <dataValidations disablePrompts="1" count="8">
    <dataValidation type="date" allowBlank="1" showInputMessage="1" showErrorMessage="1" error="Please enter a date between 01.01.1900 and 01.01.2100!" sqref="G11 L15">
      <formula1>1</formula1>
      <formula2>73051</formula2>
    </dataValidation>
    <dataValidation type="decimal" operator="greaterThan" allowBlank="1" showInputMessage="1" showErrorMessage="1" error="Please enter a number that is greater than zero." sqref="L13">
      <formula1>0</formula1>
    </dataValidation>
    <dataValidation type="list" showInputMessage="1" showErrorMessage="1" error="This is a dropdown list. Please select a currency!_x000a_Use &quot;Delete&quot; (and not &quot;Backspace&quot;) to undo list selections." prompt="Please select a currency from the dropdown list!" sqref="L11">
      <formula1>CurrenciesListIndex</formula1>
    </dataValidation>
    <dataValidation type="list" showInputMessage="1" showErrorMessage="1" error="This is a dropdown list. Please select a currency!_x000a_Use &quot;Delete&quot; (and not &quot;Backspace&quot;) to undo list selections." prompt="Please select a currency from the dropdown list (optional)!" sqref="L12">
      <formula1>CurrenciesListIndex</formula1>
    </dataValidation>
    <dataValidation type="decimal" operator="greaterThanOrEqual" allowBlank="1" showInputMessage="1" showErrorMessage="1" error="Please enter a number greater than or equal to 0." sqref="H20:H77">
      <formula1>0</formula1>
    </dataValidation>
    <dataValidation type="list" allowBlank="1" showInputMessage="1" showErrorMessage="1" error="This is a dropdown list. Please select a unit!" prompt="Please select a unit from the dropdown list!" sqref="G20:G77">
      <formula1>UnitsListIndex</formula1>
    </dataValidation>
    <dataValidation type="list" errorStyle="information" allowBlank="1" showInputMessage="1" showErrorMessage="1" error="This is a dropdown list. Please select a country!" prompt="Please select a country from the dropdown list!" sqref="F9">
      <formula1>CountriesListIndex</formula1>
    </dataValidation>
    <dataValidation type="list" allowBlank="1" showInputMessage="1" showErrorMessage="1" error="This is a dropdown list. Please select a category!_x000a_Use &quot;Delete&quot; (and not &quot;Backspace&quot;) to undo list selections." prompt="Please select a category from the dropdown list!" sqref="E20:E77">
      <formula1>CategoriesListIndex</formula1>
    </dataValidation>
  </dataValidations>
  <hyperlinks>
    <hyperlink ref="F12" r:id="rId1"/>
    <hyperlink ref="F13" r:id="rId2"/>
  </hyperlinks>
  <printOptions horizontalCentered="1" verticalCentered="1"/>
  <pageMargins left="0.70866141732283472" right="0.70866141732283472" top="0.74803149606299213" bottom="0.74803149606299213" header="0.31496062992125984" footer="0.31496062992125984"/>
  <headerFooter>
    <oddFooter>&amp;C&amp;D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error="This is a dropdown list. Please select a currency!_x000a_Use &quot;Delete&quot; (and not &quot;Backspace&quot;) to undo list selections." prompt="Please select a currency from the dropdown list!">
          <x14:formula1>
            <xm:f>Calculations!$P$8:$P$9</xm:f>
          </x14:formula1>
          <xm:sqref>L14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9"/>
  <sheetViews>
    <sheetView workbookViewId="0"/>
  </sheetViews>
  <sheetFormatPr defaultColWidth="11.296875" defaultRowHeight="13.8" x14ac:dyDescent="0.25"/>
  <cols>
    <col min="1" max="1" width="7" style="14" customWidth="1"/>
    <col min="2" max="2" width="0.59765625" style="35" customWidth="1"/>
    <col min="3" max="3" width="4.3984375" style="38" customWidth="1"/>
    <col min="4" max="4" width="23" style="38" bestFit="1" customWidth="1"/>
    <col min="5" max="5" width="49.3984375" style="38" bestFit="1" customWidth="1"/>
    <col min="6" max="8" width="16.59765625" style="38" customWidth="1"/>
    <col min="9" max="9" width="34" style="111" bestFit="1" customWidth="1"/>
    <col min="10" max="10" width="34" style="38" bestFit="1" customWidth="1"/>
    <col min="11" max="13" width="12.09765625" style="38" hidden="1" customWidth="1"/>
    <col min="14" max="14" width="45.3984375" style="38" bestFit="1" customWidth="1"/>
    <col min="15" max="16384" width="11.296875" style="38"/>
  </cols>
  <sheetData>
    <row r="1" spans="1:14" ht="21" customHeight="1" x14ac:dyDescent="0.25">
      <c r="B1" s="190"/>
    </row>
    <row r="2" spans="1:14" ht="49.95" customHeight="1" x14ac:dyDescent="0.25">
      <c r="B2" s="190"/>
      <c r="C2" s="37"/>
      <c r="D2" s="268" t="str">
        <f ca="1">ReadMe!$D$2&amp;": "&amp;Calculations!P30</f>
        <v>Sanitation Costing Tool: Model 1</v>
      </c>
      <c r="E2" s="268"/>
      <c r="F2" s="268"/>
      <c r="G2" s="194"/>
      <c r="H2" s="194"/>
      <c r="I2" s="194"/>
      <c r="J2" s="194"/>
      <c r="K2" s="194"/>
      <c r="L2" s="194"/>
      <c r="M2" s="194"/>
      <c r="N2" s="194"/>
    </row>
    <row r="3" spans="1:14" ht="16.95" customHeight="1" x14ac:dyDescent="0.25">
      <c r="A3" s="35"/>
      <c r="B3" s="190"/>
      <c r="D3" s="189"/>
      <c r="I3" s="38"/>
    </row>
    <row r="4" spans="1:14" ht="4.05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ht="22.95" customHeight="1" x14ac:dyDescent="0.25">
      <c r="A5" s="190"/>
      <c r="B5" s="190"/>
    </row>
    <row r="6" spans="1:14" s="55" customFormat="1" ht="25.05" customHeight="1" x14ac:dyDescent="0.25">
      <c r="A6" s="190"/>
      <c r="B6" s="190"/>
      <c r="D6" s="245" t="s">
        <v>115</v>
      </c>
      <c r="E6" s="247"/>
      <c r="I6" s="112"/>
      <c r="K6" s="113" t="s">
        <v>88</v>
      </c>
      <c r="L6" s="113" t="s">
        <v>88</v>
      </c>
      <c r="M6" s="113" t="s">
        <v>88</v>
      </c>
      <c r="N6" s="57"/>
    </row>
    <row r="7" spans="1:14" s="63" customFormat="1" ht="19.95" customHeight="1" x14ac:dyDescent="0.25">
      <c r="A7" s="14"/>
      <c r="B7" s="190"/>
      <c r="D7" s="114" t="s">
        <v>116</v>
      </c>
      <c r="E7" s="96" t="s">
        <v>172</v>
      </c>
      <c r="F7" s="95"/>
      <c r="I7" s="115"/>
      <c r="N7" s="108"/>
    </row>
    <row r="8" spans="1:14" s="63" customFormat="1" ht="19.95" customHeight="1" x14ac:dyDescent="0.25">
      <c r="A8" s="187"/>
      <c r="B8" s="190"/>
      <c r="D8" s="116" t="s">
        <v>7</v>
      </c>
      <c r="E8" s="97"/>
      <c r="F8" s="95"/>
      <c r="I8" s="115"/>
      <c r="N8" s="108"/>
    </row>
    <row r="9" spans="1:14" s="63" customFormat="1" ht="19.95" customHeight="1" x14ac:dyDescent="0.25">
      <c r="A9" s="186"/>
      <c r="B9" s="190"/>
      <c r="D9" s="116" t="s">
        <v>5</v>
      </c>
      <c r="E9" s="97" t="s">
        <v>27</v>
      </c>
      <c r="F9" s="95"/>
      <c r="I9" s="115"/>
      <c r="K9" s="117"/>
      <c r="L9" s="117"/>
      <c r="M9" s="117"/>
      <c r="N9" s="117"/>
    </row>
    <row r="10" spans="1:14" s="55" customFormat="1" ht="25.05" customHeight="1" x14ac:dyDescent="0.25">
      <c r="A10" s="187"/>
      <c r="B10" s="190"/>
      <c r="D10" s="118" t="s">
        <v>8</v>
      </c>
      <c r="E10" s="56"/>
      <c r="F10" s="119"/>
      <c r="G10" s="245" t="s">
        <v>97</v>
      </c>
      <c r="H10" s="246"/>
      <c r="I10" s="246"/>
      <c r="J10" s="247"/>
      <c r="K10" s="57"/>
      <c r="L10" s="57"/>
      <c r="M10" s="57"/>
      <c r="N10" s="57"/>
    </row>
    <row r="11" spans="1:14" s="63" customFormat="1" ht="19.95" customHeight="1" x14ac:dyDescent="0.25">
      <c r="A11" s="187"/>
      <c r="B11" s="190"/>
      <c r="D11" s="116" t="s">
        <v>9</v>
      </c>
      <c r="E11" s="159"/>
      <c r="F11" s="120"/>
      <c r="G11" s="256" t="s">
        <v>89</v>
      </c>
      <c r="H11" s="263"/>
      <c r="I11" s="257"/>
      <c r="J11" s="121" t="s">
        <v>84</v>
      </c>
      <c r="K11" s="122"/>
      <c r="L11" s="122"/>
      <c r="M11" s="122"/>
      <c r="N11" s="108"/>
    </row>
    <row r="12" spans="1:14" s="63" customFormat="1" ht="19.95" customHeight="1" x14ac:dyDescent="0.25">
      <c r="A12" s="187"/>
      <c r="B12" s="190"/>
      <c r="D12" s="116" t="s">
        <v>10</v>
      </c>
      <c r="E12" s="170" t="s">
        <v>173</v>
      </c>
      <c r="F12" s="95"/>
      <c r="G12" s="264"/>
      <c r="H12" s="265"/>
      <c r="I12" s="266"/>
      <c r="J12" s="123" t="s">
        <v>85</v>
      </c>
      <c r="K12" s="122"/>
      <c r="L12" s="122"/>
      <c r="M12" s="122"/>
      <c r="N12" s="108"/>
    </row>
    <row r="13" spans="1:14" s="63" customFormat="1" ht="19.95" customHeight="1" x14ac:dyDescent="0.25">
      <c r="A13" s="187"/>
      <c r="B13" s="190"/>
      <c r="D13" s="124"/>
      <c r="E13" s="98"/>
      <c r="F13" s="95"/>
      <c r="G13" s="258"/>
      <c r="H13" s="267"/>
      <c r="I13" s="259"/>
      <c r="J13" s="125" t="s">
        <v>107</v>
      </c>
      <c r="K13" s="122"/>
      <c r="L13" s="122"/>
      <c r="M13" s="122"/>
      <c r="N13" s="108"/>
    </row>
    <row r="14" spans="1:14" s="39" customFormat="1" x14ac:dyDescent="0.25">
      <c r="A14" s="187"/>
      <c r="B14" s="190"/>
      <c r="I14" s="126"/>
    </row>
    <row r="15" spans="1:14" s="55" customFormat="1" ht="25.05" customHeight="1" x14ac:dyDescent="0.25">
      <c r="A15" s="187"/>
      <c r="B15" s="190"/>
      <c r="D15" s="245" t="s">
        <v>119</v>
      </c>
      <c r="E15" s="246"/>
      <c r="F15" s="246"/>
      <c r="G15" s="246"/>
      <c r="H15" s="246"/>
      <c r="I15" s="246"/>
      <c r="J15" s="247"/>
      <c r="N15" s="191" t="s">
        <v>83</v>
      </c>
    </row>
    <row r="16" spans="1:14" s="63" customFormat="1" ht="19.95" customHeight="1" x14ac:dyDescent="0.25">
      <c r="A16" s="187"/>
      <c r="B16" s="190"/>
      <c r="D16" s="82" t="str">
        <f>'Dropdown Lists'!L13</f>
        <v>Component (Element)</v>
      </c>
      <c r="E16" s="89" t="s">
        <v>148</v>
      </c>
      <c r="F16" s="89" t="str">
        <f>'Dropdown Lists'!H13</f>
        <v>Item Category</v>
      </c>
      <c r="G16" s="82" t="s">
        <v>118</v>
      </c>
      <c r="H16" s="82" t="str">
        <f>'Dropdown Lists'!J13</f>
        <v>Unit</v>
      </c>
      <c r="I16" s="127" t="s">
        <v>149</v>
      </c>
      <c r="J16" s="128" t="s">
        <v>150</v>
      </c>
      <c r="K16" s="63" t="s">
        <v>96</v>
      </c>
      <c r="L16" s="63" t="s">
        <v>94</v>
      </c>
      <c r="M16" s="63" t="s">
        <v>95</v>
      </c>
      <c r="N16" s="91"/>
    </row>
    <row r="17" spans="1:14" s="63" customFormat="1" ht="19.95" customHeight="1" x14ac:dyDescent="0.25">
      <c r="A17" s="14"/>
      <c r="B17" s="190"/>
      <c r="D17" s="93"/>
      <c r="E17" s="129"/>
      <c r="F17" s="130"/>
      <c r="G17" s="131"/>
      <c r="H17" s="132"/>
      <c r="I17" s="133" t="str">
        <f>J17</f>
        <v>Kenya: Kenyan shilling (KES)</v>
      </c>
      <c r="J17" s="134" t="str">
        <f>IF(IF('Item Prices &amp; Rates'!L14=Calculations!P8,'Item Prices &amp; Rates'!L11,IF('Item Prices &amp; Rates'!L14=Calculations!P9,'Item Prices &amp; Rates'!L12,""))=0,"",IF('Item Prices &amp; Rates'!L14=Calculations!P8,'Item Prices &amp; Rates'!L11,IF('Item Prices &amp; Rates'!L14=Calculations!P9,'Item Prices &amp; Rates'!L12,"")))</f>
        <v>Kenya: Kenyan shilling (KES)</v>
      </c>
      <c r="N17" s="93"/>
    </row>
    <row r="18" spans="1:14" s="55" customFormat="1" ht="19.95" customHeight="1" x14ac:dyDescent="0.25">
      <c r="A18" s="14"/>
      <c r="B18" s="190"/>
      <c r="D18" s="171" t="s">
        <v>81</v>
      </c>
      <c r="E18" s="174" t="s">
        <v>233</v>
      </c>
      <c r="F18" s="66" t="str">
        <f>IF(E18="","",VLOOKUP('Model 1'!E18,Calculations!B$8:H$107,4,FALSE))</f>
        <v>Material</v>
      </c>
      <c r="G18" s="175">
        <v>107</v>
      </c>
      <c r="H18" s="135" t="str">
        <f>IF(E18="","",VLOOKUP('Model 1'!E18,Calculations!B$8:H$107,6,FALSE))</f>
        <v>pieces</v>
      </c>
      <c r="I18" s="65">
        <f>IF(E18="","",VLOOKUP('Model 1'!E18,Calculations!B$8:H$107,7,FALSE))</f>
        <v>40</v>
      </c>
      <c r="J18" s="136">
        <f>IF(OR(G18="",I18=""),"",G18*I18)</f>
        <v>4280</v>
      </c>
      <c r="K18" s="137">
        <f>IF(D18="","",VLOOKUP(D18,Calculations!U$8:V$107,2,))</f>
        <v>1002</v>
      </c>
      <c r="L18" s="137">
        <f>IF(E18="","",VLOOKUP(E18,Calculations!B$8:J$107,3,))</f>
        <v>1</v>
      </c>
      <c r="M18" s="137">
        <f>IF(F18="","",VLOOKUP(F18,Calculations!R$8:S$107,2,))</f>
        <v>2001</v>
      </c>
      <c r="N18" s="99"/>
    </row>
    <row r="19" spans="1:14" s="55" customFormat="1" ht="19.95" customHeight="1" x14ac:dyDescent="0.25">
      <c r="A19" s="187"/>
      <c r="B19" s="190"/>
      <c r="D19" s="172" t="s">
        <v>81</v>
      </c>
      <c r="E19" s="173" t="s">
        <v>234</v>
      </c>
      <c r="F19" s="72" t="str">
        <f>IF(E19="","",VLOOKUP('Model 1'!E19,Calculations!B$8:H$107,4,FALSE))</f>
        <v>Material incl. transport</v>
      </c>
      <c r="G19" s="176">
        <f>1.3*(0.39+0.51)</f>
        <v>1.1700000000000002</v>
      </c>
      <c r="H19" s="138" t="str">
        <f>IF(E19="","",VLOOKUP('Model 1'!E19,Calculations!B$8:H$107,6,FALSE))</f>
        <v>tons</v>
      </c>
      <c r="I19" s="71">
        <f>IF(E19="","",VLOOKUP('Model 1'!E19,Calculations!B$8:H$107,7,FALSE))</f>
        <v>860</v>
      </c>
      <c r="J19" s="139">
        <f t="shared" ref="J19:J67" si="0">IF(OR(G19="",I19=""),"",G19*I19)</f>
        <v>1006.2000000000002</v>
      </c>
      <c r="K19" s="140">
        <f>IF(D19="","",VLOOKUP(D19,Calculations!U$8:V$107,2,))</f>
        <v>1002</v>
      </c>
      <c r="L19" s="140">
        <f>IF(E19="","",VLOOKUP(E19,Calculations!B$8:J$107,3,))</f>
        <v>2</v>
      </c>
      <c r="M19" s="140">
        <f>IF(F19="","",VLOOKUP(F19,Calculations!R$8:S$107,2,))</f>
        <v>2002</v>
      </c>
      <c r="N19" s="101"/>
    </row>
    <row r="20" spans="1:14" s="55" customFormat="1" ht="19.95" customHeight="1" x14ac:dyDescent="0.25">
      <c r="A20" s="187"/>
      <c r="B20" s="190"/>
      <c r="D20" s="172" t="s">
        <v>81</v>
      </c>
      <c r="E20" s="173" t="s">
        <v>234</v>
      </c>
      <c r="F20" s="72" t="str">
        <f>IF(E20="","",VLOOKUP('Model 1'!E20,Calculations!B$8:H$107,4,FALSE))</f>
        <v>Material incl. transport</v>
      </c>
      <c r="G20" s="176">
        <f>1.3*0.44</f>
        <v>0.57200000000000006</v>
      </c>
      <c r="H20" s="138" t="str">
        <f>IF(E20="","",VLOOKUP('Model 1'!E20,Calculations!B$8:H$107,6,FALSE))</f>
        <v>tons</v>
      </c>
      <c r="I20" s="71">
        <f>IF(E20="","",VLOOKUP('Model 1'!E20,Calculations!B$8:H$107,7,FALSE))</f>
        <v>860</v>
      </c>
      <c r="J20" s="139">
        <f t="shared" si="0"/>
        <v>491.92000000000007</v>
      </c>
      <c r="K20" s="140">
        <f>IF(D20="","",VLOOKUP(D20,Calculations!U$8:V$107,2,))</f>
        <v>1002</v>
      </c>
      <c r="L20" s="140">
        <f>IF(E20="","",VLOOKUP(E20,Calculations!B$8:J$107,3,))</f>
        <v>2</v>
      </c>
      <c r="M20" s="140">
        <f>IF(F20="","",VLOOKUP(F20,Calculations!R$8:S$107,2,))</f>
        <v>2002</v>
      </c>
      <c r="N20" s="101"/>
    </row>
    <row r="21" spans="1:14" s="55" customFormat="1" ht="19.95" customHeight="1" x14ac:dyDescent="0.25">
      <c r="A21" s="187"/>
      <c r="B21" s="190"/>
      <c r="D21" s="172" t="s">
        <v>81</v>
      </c>
      <c r="E21" s="173" t="s">
        <v>235</v>
      </c>
      <c r="F21" s="72" t="str">
        <f>IF(E21="","",VLOOKUP('Model 1'!E21,Calculations!B$8:H$107,4,FALSE))</f>
        <v>Material incl. transport</v>
      </c>
      <c r="G21" s="176">
        <f>1.1*(2.28+2.99)</f>
        <v>5.7969999999999997</v>
      </c>
      <c r="H21" s="138" t="str">
        <f>IF(E21="","",VLOOKUP('Model 1'!E21,Calculations!B$8:H$107,6,FALSE))</f>
        <v>bags of 50 kg</v>
      </c>
      <c r="I21" s="71">
        <f>IF(E21="","",VLOOKUP('Model 1'!E21,Calculations!B$8:H$107,7,FALSE))</f>
        <v>770</v>
      </c>
      <c r="J21" s="139">
        <f t="shared" si="0"/>
        <v>4463.6899999999996</v>
      </c>
      <c r="K21" s="140">
        <f>IF(D21="","",VLOOKUP(D21,Calculations!U$8:V$107,2,))</f>
        <v>1002</v>
      </c>
      <c r="L21" s="140">
        <f>IF(E21="","",VLOOKUP(E21,Calculations!B$8:J$107,3,))</f>
        <v>4</v>
      </c>
      <c r="M21" s="140">
        <f>IF(F21="","",VLOOKUP(F21,Calculations!R$8:S$107,2,))</f>
        <v>2002</v>
      </c>
      <c r="N21" s="101"/>
    </row>
    <row r="22" spans="1:14" s="55" customFormat="1" ht="19.95" customHeight="1" x14ac:dyDescent="0.25">
      <c r="A22" s="14"/>
      <c r="B22" s="190"/>
      <c r="D22" s="172" t="s">
        <v>81</v>
      </c>
      <c r="E22" s="173" t="s">
        <v>235</v>
      </c>
      <c r="F22" s="72" t="str">
        <f>IF(E22="","",VLOOKUP('Model 1'!E22,Calculations!B$8:H$107,4,FALSE))</f>
        <v>Material incl. transport</v>
      </c>
      <c r="G22" s="176">
        <f>1.1*2.58</f>
        <v>2.8380000000000005</v>
      </c>
      <c r="H22" s="138" t="str">
        <f>IF(E22="","",VLOOKUP('Model 1'!E22,Calculations!B$8:H$107,6,FALSE))</f>
        <v>bags of 50 kg</v>
      </c>
      <c r="I22" s="71">
        <f>IF(E22="","",VLOOKUP('Model 1'!E22,Calculations!B$8:H$107,7,FALSE))</f>
        <v>770</v>
      </c>
      <c r="J22" s="139">
        <f t="shared" si="0"/>
        <v>2185.2600000000002</v>
      </c>
      <c r="K22" s="140">
        <f>IF(D22="","",VLOOKUP(D22,Calculations!U$8:V$107,2,))</f>
        <v>1002</v>
      </c>
      <c r="L22" s="140">
        <f>IF(E22="","",VLOOKUP(E22,Calculations!B$8:J$107,3,))</f>
        <v>4</v>
      </c>
      <c r="M22" s="140">
        <f>IF(F22="","",VLOOKUP(F22,Calculations!R$8:S$107,2,))</f>
        <v>2002</v>
      </c>
      <c r="N22" s="101"/>
    </row>
    <row r="23" spans="1:14" s="55" customFormat="1" ht="19.95" customHeight="1" x14ac:dyDescent="0.25">
      <c r="A23" s="14"/>
      <c r="B23" s="190"/>
      <c r="D23" s="172" t="s">
        <v>81</v>
      </c>
      <c r="E23" s="173" t="s">
        <v>236</v>
      </c>
      <c r="F23" s="72" t="str">
        <f>IF(E23="","",VLOOKUP('Model 1'!E23,Calculations!B$8:H$107,4,FALSE))</f>
        <v>Material</v>
      </c>
      <c r="G23" s="176">
        <v>7.37</v>
      </c>
      <c r="H23" s="138" t="str">
        <f>IF(E23="","",VLOOKUP('Model 1'!E23,Calculations!B$8:H$107,6,FALSE))</f>
        <v>m2</v>
      </c>
      <c r="I23" s="71">
        <f>IF(E23="","",VLOOKUP('Model 1'!E23,Calculations!B$8:H$107,7,FALSE))</f>
        <v>420</v>
      </c>
      <c r="J23" s="139">
        <f t="shared" si="0"/>
        <v>3095.4</v>
      </c>
      <c r="K23" s="140">
        <f>IF(D23="","",VLOOKUP(D23,Calculations!U$8:V$107,2,))</f>
        <v>1002</v>
      </c>
      <c r="L23" s="140">
        <f>IF(E23="","",VLOOKUP(E23,Calculations!B$8:J$107,3,))</f>
        <v>6</v>
      </c>
      <c r="M23" s="140">
        <f>IF(F23="","",VLOOKUP(F23,Calculations!R$8:S$107,2,))</f>
        <v>2001</v>
      </c>
      <c r="N23" s="101"/>
    </row>
    <row r="24" spans="1:14" s="55" customFormat="1" ht="19.95" customHeight="1" x14ac:dyDescent="0.25">
      <c r="A24" s="187"/>
      <c r="B24" s="190"/>
      <c r="D24" s="172" t="s">
        <v>81</v>
      </c>
      <c r="E24" s="173" t="s">
        <v>237</v>
      </c>
      <c r="F24" s="72" t="str">
        <f>IF(E24="","",VLOOKUP('Model 1'!E24,Calculations!B$8:H$107,4,FALSE))</f>
        <v>Material</v>
      </c>
      <c r="G24" s="176">
        <f>1.05*18.35</f>
        <v>19.267500000000002</v>
      </c>
      <c r="H24" s="138" t="str">
        <f>IF(E24="","",VLOOKUP('Model 1'!E24,Calculations!B$8:H$107,6,FALSE))</f>
        <v>m</v>
      </c>
      <c r="I24" s="71">
        <f>IF(E24="","",VLOOKUP('Model 1'!E24,Calculations!B$8:H$107,7,FALSE))</f>
        <v>116.67</v>
      </c>
      <c r="J24" s="139">
        <f t="shared" si="0"/>
        <v>2247.9392250000001</v>
      </c>
      <c r="K24" s="140">
        <f>IF(D24="","",VLOOKUP(D24,Calculations!U$8:V$107,2,))</f>
        <v>1002</v>
      </c>
      <c r="L24" s="140">
        <f>IF(E24="","",VLOOKUP(E24,Calculations!B$8:J$107,3,))</f>
        <v>7</v>
      </c>
      <c r="M24" s="140">
        <f>IF(F24="","",VLOOKUP(F24,Calculations!R$8:S$107,2,))</f>
        <v>2001</v>
      </c>
      <c r="N24" s="101"/>
    </row>
    <row r="25" spans="1:14" s="55" customFormat="1" ht="19.95" customHeight="1" x14ac:dyDescent="0.25">
      <c r="A25" s="14"/>
      <c r="B25" s="190"/>
      <c r="D25" s="172" t="s">
        <v>81</v>
      </c>
      <c r="E25" s="173" t="s">
        <v>238</v>
      </c>
      <c r="F25" s="72" t="str">
        <f>IF(E25="","",VLOOKUP('Model 1'!E25,Calculations!B$8:H$107,4,FALSE))</f>
        <v>Material</v>
      </c>
      <c r="G25" s="176">
        <f>1.05*4.85</f>
        <v>5.0925000000000002</v>
      </c>
      <c r="H25" s="138" t="str">
        <f>IF(E25="","",VLOOKUP('Model 1'!E25,Calculations!B$8:H$107,6,FALSE))</f>
        <v>m</v>
      </c>
      <c r="I25" s="71">
        <f>IF(E25="","",VLOOKUP('Model 1'!E25,Calculations!B$8:H$107,7,FALSE))</f>
        <v>250</v>
      </c>
      <c r="J25" s="139">
        <f t="shared" si="0"/>
        <v>1273.125</v>
      </c>
      <c r="K25" s="140">
        <f>IF(D25="","",VLOOKUP(D25,Calculations!U$8:V$107,2,))</f>
        <v>1002</v>
      </c>
      <c r="L25" s="140">
        <f>IF(E25="","",VLOOKUP(E25,Calculations!B$8:J$107,3,))</f>
        <v>8</v>
      </c>
      <c r="M25" s="140">
        <f>IF(F25="","",VLOOKUP(F25,Calculations!R$8:S$107,2,))</f>
        <v>2001</v>
      </c>
      <c r="N25" s="101"/>
    </row>
    <row r="26" spans="1:14" s="55" customFormat="1" ht="19.95" customHeight="1" x14ac:dyDescent="0.25">
      <c r="A26" s="14"/>
      <c r="B26" s="190"/>
      <c r="D26" s="172" t="s">
        <v>81</v>
      </c>
      <c r="E26" s="173" t="s">
        <v>239</v>
      </c>
      <c r="F26" s="72" t="str">
        <f>IF(E26="","",VLOOKUP('Model 1'!E26,Calculations!B$8:H$107,4,FALSE))</f>
        <v>Material</v>
      </c>
      <c r="G26" s="176">
        <f>1.05*2</f>
        <v>2.1</v>
      </c>
      <c r="H26" s="138" t="str">
        <f>IF(E26="","",VLOOKUP('Model 1'!E26,Calculations!B$8:H$107,6,FALSE))</f>
        <v>pieces</v>
      </c>
      <c r="I26" s="71">
        <f>IF(E26="","",VLOOKUP('Model 1'!E26,Calculations!B$8:H$107,7,FALSE))</f>
        <v>150</v>
      </c>
      <c r="J26" s="139">
        <f t="shared" si="0"/>
        <v>315</v>
      </c>
      <c r="K26" s="140">
        <f>IF(D26="","",VLOOKUP(D26,Calculations!U$8:V$107,2,))</f>
        <v>1002</v>
      </c>
      <c r="L26" s="140">
        <f>IF(E26="","",VLOOKUP(E26,Calculations!B$8:J$107,3,))</f>
        <v>9</v>
      </c>
      <c r="M26" s="140">
        <f>IF(F26="","",VLOOKUP(F26,Calculations!R$8:S$107,2,))</f>
        <v>2001</v>
      </c>
      <c r="N26" s="101"/>
    </row>
    <row r="27" spans="1:14" s="55" customFormat="1" ht="19.95" customHeight="1" x14ac:dyDescent="0.25">
      <c r="A27" s="14"/>
      <c r="B27" s="190"/>
      <c r="D27" s="172" t="s">
        <v>81</v>
      </c>
      <c r="E27" s="173" t="s">
        <v>240</v>
      </c>
      <c r="F27" s="72" t="str">
        <f>IF(E27="","",VLOOKUP('Model 1'!E27,Calculations!B$8:H$107,4,FALSE))</f>
        <v>Material</v>
      </c>
      <c r="G27" s="176">
        <f>1.05*1</f>
        <v>1.05</v>
      </c>
      <c r="H27" s="138" t="str">
        <f>IF(E27="","",VLOOKUP('Model 1'!E27,Calculations!B$8:H$107,6,FALSE))</f>
        <v>pieces</v>
      </c>
      <c r="I27" s="71">
        <f>IF(E27="","",VLOOKUP('Model 1'!E27,Calculations!B$8:H$107,7,FALSE))</f>
        <v>180</v>
      </c>
      <c r="J27" s="139">
        <f t="shared" si="0"/>
        <v>189</v>
      </c>
      <c r="K27" s="140">
        <f>IF(D27="","",VLOOKUP(D27,Calculations!U$8:V$107,2,))</f>
        <v>1002</v>
      </c>
      <c r="L27" s="140">
        <f>IF(E27="","",VLOOKUP(E27,Calculations!B$8:J$107,3,))</f>
        <v>10</v>
      </c>
      <c r="M27" s="140">
        <f>IF(F27="","",VLOOKUP(F27,Calculations!R$8:S$107,2,))</f>
        <v>2001</v>
      </c>
      <c r="N27" s="101"/>
    </row>
    <row r="28" spans="1:14" s="55" customFormat="1" ht="19.95" customHeight="1" x14ac:dyDescent="0.25">
      <c r="A28" s="14"/>
      <c r="B28" s="190"/>
      <c r="D28" s="172" t="s">
        <v>81</v>
      </c>
      <c r="E28" s="173" t="s">
        <v>241</v>
      </c>
      <c r="F28" s="72" t="str">
        <f>IF(E28="","",VLOOKUP('Model 1'!E28,Calculations!B$8:H$107,4,FALSE))</f>
        <v>Material</v>
      </c>
      <c r="G28" s="176">
        <f>1.05*1.7</f>
        <v>1.7849999999999999</v>
      </c>
      <c r="H28" s="138" t="str">
        <f>IF(E28="","",VLOOKUP('Model 1'!E28,Calculations!B$8:H$107,6,FALSE))</f>
        <v>m2</v>
      </c>
      <c r="I28" s="71">
        <f>IF(E28="","",VLOOKUP('Model 1'!E28,Calculations!B$8:H$107,7,FALSE))</f>
        <v>420</v>
      </c>
      <c r="J28" s="139">
        <f t="shared" si="0"/>
        <v>749.69999999999993</v>
      </c>
      <c r="K28" s="140">
        <f>IF(D28="","",VLOOKUP(D28,Calculations!U$8:V$107,2,))</f>
        <v>1002</v>
      </c>
      <c r="L28" s="140">
        <f>IF(E28="","",VLOOKUP(E28,Calculations!B$8:J$107,3,))</f>
        <v>11</v>
      </c>
      <c r="M28" s="140">
        <f>IF(F28="","",VLOOKUP(F28,Calculations!R$8:S$107,2,))</f>
        <v>2001</v>
      </c>
      <c r="N28" s="101"/>
    </row>
    <row r="29" spans="1:14" s="55" customFormat="1" ht="19.95" customHeight="1" x14ac:dyDescent="0.25">
      <c r="A29" s="14"/>
      <c r="B29" s="190"/>
      <c r="D29" s="172" t="s">
        <v>81</v>
      </c>
      <c r="E29" s="173" t="s">
        <v>242</v>
      </c>
      <c r="F29" s="72" t="str">
        <f>IF(E29="","",VLOOKUP('Model 1'!E29,Calculations!B$8:H$107,4,FALSE))</f>
        <v>Material</v>
      </c>
      <c r="G29" s="176">
        <f>1.05*2</f>
        <v>2.1</v>
      </c>
      <c r="H29" s="138" t="str">
        <f>IF(E29="","",VLOOKUP('Model 1'!E29,Calculations!B$8:H$107,6,FALSE))</f>
        <v>pieces</v>
      </c>
      <c r="I29" s="71">
        <f>IF(E29="","",VLOOKUP('Model 1'!E29,Calculations!B$8:H$107,7,FALSE))</f>
        <v>1000</v>
      </c>
      <c r="J29" s="139">
        <f t="shared" si="0"/>
        <v>2100</v>
      </c>
      <c r="K29" s="140">
        <f>IF(D29="","",VLOOKUP(D29,Calculations!U$8:V$107,2,))</f>
        <v>1002</v>
      </c>
      <c r="L29" s="140">
        <f>IF(E29="","",VLOOKUP(E29,Calculations!B$8:J$107,3,))</f>
        <v>12</v>
      </c>
      <c r="M29" s="140">
        <f>IF(F29="","",VLOOKUP(F29,Calculations!R$8:S$107,2,))</f>
        <v>2001</v>
      </c>
      <c r="N29" s="101"/>
    </row>
    <row r="30" spans="1:14" s="55" customFormat="1" ht="19.95" customHeight="1" x14ac:dyDescent="0.25">
      <c r="A30" s="14"/>
      <c r="B30" s="190"/>
      <c r="D30" s="172" t="s">
        <v>81</v>
      </c>
      <c r="E30" s="173" t="s">
        <v>243</v>
      </c>
      <c r="F30" s="72" t="str">
        <f>IF(E30="","",VLOOKUP('Model 1'!E30,Calculations!B$8:H$107,4,FALSE))</f>
        <v>Material</v>
      </c>
      <c r="G30" s="176">
        <f>1.05*2.7</f>
        <v>2.8350000000000004</v>
      </c>
      <c r="H30" s="138" t="str">
        <f>IF(E30="","",VLOOKUP('Model 1'!E30,Calculations!B$8:H$107,6,FALSE))</f>
        <v>m</v>
      </c>
      <c r="I30" s="71">
        <f>IF(E30="","",VLOOKUP('Model 1'!E30,Calculations!B$8:H$107,7,FALSE))</f>
        <v>250</v>
      </c>
      <c r="J30" s="139">
        <f t="shared" si="0"/>
        <v>708.75000000000011</v>
      </c>
      <c r="K30" s="140">
        <f>IF(D30="","",VLOOKUP(D30,Calculations!U$8:V$107,2,))</f>
        <v>1002</v>
      </c>
      <c r="L30" s="140">
        <f>IF(E30="","",VLOOKUP(E30,Calculations!B$8:J$107,3,))</f>
        <v>13</v>
      </c>
      <c r="M30" s="140">
        <f>IF(F30="","",VLOOKUP(F30,Calculations!R$8:S$107,2,))</f>
        <v>2001</v>
      </c>
      <c r="N30" s="101"/>
    </row>
    <row r="31" spans="1:14" s="55" customFormat="1" ht="19.95" customHeight="1" x14ac:dyDescent="0.25">
      <c r="A31" s="187"/>
      <c r="B31" s="190"/>
      <c r="D31" s="172" t="s">
        <v>81</v>
      </c>
      <c r="E31" s="173" t="s">
        <v>244</v>
      </c>
      <c r="F31" s="72" t="str">
        <f>IF(E31="","",VLOOKUP('Model 1'!E31,Calculations!B$8:H$107,4,FALSE))</f>
        <v>Material</v>
      </c>
      <c r="G31" s="176">
        <v>3</v>
      </c>
      <c r="H31" s="138" t="str">
        <f>IF(E31="","",VLOOKUP('Model 1'!E31,Calculations!B$8:H$107,6,FALSE))</f>
        <v>m</v>
      </c>
      <c r="I31" s="71">
        <f>IF(E31="","",VLOOKUP('Model 1'!E31,Calculations!B$8:H$107,7,FALSE))</f>
        <v>166.67</v>
      </c>
      <c r="J31" s="139">
        <f t="shared" ref="J31:J66" si="1">IF(OR(G31="",I31=""),"",G31*I31)</f>
        <v>500.01</v>
      </c>
      <c r="K31" s="140">
        <f>IF(D31="","",VLOOKUP(D31,Calculations!U$8:V$107,2,))</f>
        <v>1002</v>
      </c>
      <c r="L31" s="140">
        <f>IF(E31="","",VLOOKUP(E31,Calculations!B$8:J$107,3,))</f>
        <v>14</v>
      </c>
      <c r="M31" s="140">
        <f>IF(F31="","",VLOOKUP(F31,Calculations!R$8:S$107,2,))</f>
        <v>2001</v>
      </c>
      <c r="N31" s="101"/>
    </row>
    <row r="32" spans="1:14" s="55" customFormat="1" ht="19.95" customHeight="1" x14ac:dyDescent="0.25">
      <c r="A32" s="187"/>
      <c r="B32" s="190"/>
      <c r="D32" s="172" t="s">
        <v>81</v>
      </c>
      <c r="E32" s="173" t="s">
        <v>245</v>
      </c>
      <c r="F32" s="72" t="str">
        <f>IF(E32="","",VLOOKUP('Model 1'!E32,Calculations!B$8:H$107,4,FALSE))</f>
        <v>Labour</v>
      </c>
      <c r="G32" s="176">
        <v>5</v>
      </c>
      <c r="H32" s="138" t="str">
        <f>IF(E32="","",VLOOKUP('Model 1'!E32,Calculations!B$8:H$107,6,FALSE))</f>
        <v>days</v>
      </c>
      <c r="I32" s="71">
        <f>IF(E32="","",VLOOKUP('Model 1'!E32,Calculations!B$8:H$107,7,FALSE))</f>
        <v>800</v>
      </c>
      <c r="J32" s="139">
        <f t="shared" si="1"/>
        <v>4000</v>
      </c>
      <c r="K32" s="140">
        <f>IF(D32="","",VLOOKUP(D32,Calculations!U$8:V$107,2,))</f>
        <v>1002</v>
      </c>
      <c r="L32" s="140">
        <f>IF(E32="","",VLOOKUP(E32,Calculations!B$8:J$107,3,))</f>
        <v>15</v>
      </c>
      <c r="M32" s="140">
        <f>IF(F32="","",VLOOKUP(F32,Calculations!R$8:S$107,2,))</f>
        <v>2003</v>
      </c>
      <c r="N32" s="101"/>
    </row>
    <row r="33" spans="1:14" s="55" customFormat="1" ht="19.95" customHeight="1" x14ac:dyDescent="0.25">
      <c r="A33" s="187"/>
      <c r="B33" s="190"/>
      <c r="D33" s="172" t="s">
        <v>81</v>
      </c>
      <c r="E33" s="173" t="s">
        <v>246</v>
      </c>
      <c r="F33" s="72" t="str">
        <f>IF(E33="","",VLOOKUP('Model 1'!E33,Calculations!B$8:H$107,4,FALSE))</f>
        <v>Labour</v>
      </c>
      <c r="G33" s="176">
        <v>7.5</v>
      </c>
      <c r="H33" s="138" t="str">
        <f>IF(E33="","",VLOOKUP('Model 1'!E33,Calculations!B$8:H$107,6,FALSE))</f>
        <v>days</v>
      </c>
      <c r="I33" s="71">
        <f>IF(E33="","",VLOOKUP('Model 1'!E33,Calculations!B$8:H$107,7,FALSE))</f>
        <v>500</v>
      </c>
      <c r="J33" s="139">
        <f t="shared" si="1"/>
        <v>3750</v>
      </c>
      <c r="K33" s="140">
        <f>IF(D33="","",VLOOKUP(D33,Calculations!U$8:V$107,2,))</f>
        <v>1002</v>
      </c>
      <c r="L33" s="140">
        <f>IF(E33="","",VLOOKUP(E33,Calculations!B$8:J$107,3,))</f>
        <v>16</v>
      </c>
      <c r="M33" s="140">
        <f>IF(F33="","",VLOOKUP(F33,Calculations!R$8:S$107,2,))</f>
        <v>2003</v>
      </c>
      <c r="N33" s="101"/>
    </row>
    <row r="34" spans="1:14" s="55" customFormat="1" ht="19.95" customHeight="1" x14ac:dyDescent="0.25">
      <c r="A34" s="188"/>
      <c r="B34" s="190"/>
      <c r="D34" s="172" t="s">
        <v>80</v>
      </c>
      <c r="E34" s="173" t="s">
        <v>247</v>
      </c>
      <c r="F34" s="72" t="str">
        <f>IF(E34="","",VLOOKUP('Model 1'!E34,Calculations!B$8:H$107,4,FALSE))</f>
        <v>Material incl. transport</v>
      </c>
      <c r="G34" s="176">
        <v>183</v>
      </c>
      <c r="H34" s="138" t="str">
        <f>IF(E34="","",VLOOKUP('Model 1'!E34,Calculations!B$8:H$107,6,FALSE))</f>
        <v>pieces</v>
      </c>
      <c r="I34" s="71">
        <f>IF(E34="","",VLOOKUP('Model 1'!E34,Calculations!B$8:H$107,7,FALSE))</f>
        <v>40</v>
      </c>
      <c r="J34" s="139">
        <f t="shared" si="1"/>
        <v>7320</v>
      </c>
      <c r="K34" s="140">
        <f>IF(D34="","",VLOOKUP(D34,Calculations!U$8:V$107,2,))</f>
        <v>1001</v>
      </c>
      <c r="L34" s="140">
        <f>IF(E34="","",VLOOKUP(E34,Calculations!B$8:J$107,3,))</f>
        <v>17</v>
      </c>
      <c r="M34" s="140">
        <f>IF(F34="","",VLOOKUP(F34,Calculations!R$8:S$107,2,))</f>
        <v>2002</v>
      </c>
      <c r="N34" s="101"/>
    </row>
    <row r="35" spans="1:14" s="55" customFormat="1" ht="19.95" customHeight="1" x14ac:dyDescent="0.25">
      <c r="A35" s="188"/>
      <c r="B35" s="190"/>
      <c r="D35" s="172" t="s">
        <v>80</v>
      </c>
      <c r="E35" s="173" t="s">
        <v>234</v>
      </c>
      <c r="F35" s="72" t="str">
        <f>IF(E35="","",VLOOKUP('Model 1'!E35,Calculations!B$8:H$107,4,FALSE))</f>
        <v>Material incl. transport</v>
      </c>
      <c r="G35" s="176">
        <v>2.31</v>
      </c>
      <c r="H35" s="138" t="str">
        <f>IF(E35="","",VLOOKUP('Model 1'!E35,Calculations!B$8:H$107,6,FALSE))</f>
        <v>tons</v>
      </c>
      <c r="I35" s="71">
        <f>IF(E35="","",VLOOKUP('Model 1'!E35,Calculations!B$8:H$107,7,FALSE))</f>
        <v>860</v>
      </c>
      <c r="J35" s="139">
        <f t="shared" si="1"/>
        <v>1986.6000000000001</v>
      </c>
      <c r="K35" s="140">
        <f>IF(D35="","",VLOOKUP(D35,Calculations!U$8:V$107,2,))</f>
        <v>1001</v>
      </c>
      <c r="L35" s="140">
        <f>IF(E35="","",VLOOKUP(E35,Calculations!B$8:J$107,3,))</f>
        <v>2</v>
      </c>
      <c r="M35" s="140">
        <f>IF(F35="","",VLOOKUP(F35,Calculations!R$8:S$107,2,))</f>
        <v>2002</v>
      </c>
      <c r="N35" s="101"/>
    </row>
    <row r="36" spans="1:14" s="55" customFormat="1" ht="19.95" customHeight="1" x14ac:dyDescent="0.25">
      <c r="A36" s="188"/>
      <c r="B36" s="190"/>
      <c r="D36" s="172" t="s">
        <v>80</v>
      </c>
      <c r="E36" s="173" t="s">
        <v>248</v>
      </c>
      <c r="F36" s="72" t="str">
        <f>IF(E36="","",VLOOKUP('Model 1'!E36,Calculations!B$8:H$107,4,FALSE))</f>
        <v>Material incl. transport</v>
      </c>
      <c r="G36" s="176">
        <v>0.61</v>
      </c>
      <c r="H36" s="138" t="str">
        <f>IF(E36="","",VLOOKUP('Model 1'!E36,Calculations!B$8:H$107,6,FALSE))</f>
        <v>tons</v>
      </c>
      <c r="I36" s="71">
        <f>IF(E36="","",VLOOKUP('Model 1'!E36,Calculations!B$8:H$107,7,FALSE))</f>
        <v>1000</v>
      </c>
      <c r="J36" s="139">
        <f t="shared" si="1"/>
        <v>610</v>
      </c>
      <c r="K36" s="140">
        <f>IF(D36="","",VLOOKUP(D36,Calculations!U$8:V$107,2,))</f>
        <v>1001</v>
      </c>
      <c r="L36" s="140">
        <f>IF(E36="","",VLOOKUP(E36,Calculations!B$8:J$107,3,))</f>
        <v>18</v>
      </c>
      <c r="M36" s="140">
        <f>IF(F36="","",VLOOKUP(F36,Calculations!R$8:S$107,2,))</f>
        <v>2002</v>
      </c>
      <c r="N36" s="101"/>
    </row>
    <row r="37" spans="1:14" s="55" customFormat="1" ht="19.95" customHeight="1" x14ac:dyDescent="0.25">
      <c r="A37" s="188"/>
      <c r="B37" s="190"/>
      <c r="D37" s="172" t="s">
        <v>80</v>
      </c>
      <c r="E37" s="173" t="s">
        <v>235</v>
      </c>
      <c r="F37" s="72" t="str">
        <f>IF(E37="","",VLOOKUP('Model 1'!E37,Calculations!B$8:H$107,4,FALSE))</f>
        <v>Material incl. transport</v>
      </c>
      <c r="G37" s="176">
        <v>13</v>
      </c>
      <c r="H37" s="138" t="str">
        <f>IF(E37="","",VLOOKUP('Model 1'!E37,Calculations!B$8:H$107,6,FALSE))</f>
        <v>bags of 50 kg</v>
      </c>
      <c r="I37" s="71">
        <f>IF(E37="","",VLOOKUP('Model 1'!E37,Calculations!B$8:H$107,7,FALSE))</f>
        <v>770</v>
      </c>
      <c r="J37" s="139">
        <f t="shared" si="1"/>
        <v>10010</v>
      </c>
      <c r="K37" s="140">
        <f>IF(D37="","",VLOOKUP(D37,Calculations!U$8:V$107,2,))</f>
        <v>1001</v>
      </c>
      <c r="L37" s="140">
        <f>IF(E37="","",VLOOKUP(E37,Calculations!B$8:J$107,3,))</f>
        <v>4</v>
      </c>
      <c r="M37" s="140">
        <f>IF(F37="","",VLOOKUP(F37,Calculations!R$8:S$107,2,))</f>
        <v>2002</v>
      </c>
      <c r="N37" s="101"/>
    </row>
    <row r="38" spans="1:14" s="55" customFormat="1" ht="19.95" customHeight="1" x14ac:dyDescent="0.25">
      <c r="A38" s="188"/>
      <c r="B38" s="190"/>
      <c r="D38" s="172" t="s">
        <v>80</v>
      </c>
      <c r="E38" s="173" t="s">
        <v>249</v>
      </c>
      <c r="F38" s="72" t="str">
        <f>IF(E38="","",VLOOKUP('Model 1'!E38,Calculations!B$8:H$107,4,FALSE))</f>
        <v>Material</v>
      </c>
      <c r="G38" s="176">
        <v>5</v>
      </c>
      <c r="H38" s="138" t="str">
        <f>IF(E38="","",VLOOKUP('Model 1'!E38,Calculations!B$8:H$107,6,FALSE))</f>
        <v>bags of 50 kg</v>
      </c>
      <c r="I38" s="71">
        <f>IF(E38="","",VLOOKUP('Model 1'!E38,Calculations!B$8:H$107,7,FALSE))</f>
        <v>160</v>
      </c>
      <c r="J38" s="139">
        <f t="shared" si="1"/>
        <v>800</v>
      </c>
      <c r="K38" s="140">
        <f>IF(D38="","",VLOOKUP(D38,Calculations!U$8:V$107,2,))</f>
        <v>1001</v>
      </c>
      <c r="L38" s="140">
        <f>IF(E38="","",VLOOKUP(E38,Calculations!B$8:J$107,3,))</f>
        <v>19</v>
      </c>
      <c r="M38" s="140">
        <f>IF(F38="","",VLOOKUP(F38,Calculations!R$8:S$107,2,))</f>
        <v>2001</v>
      </c>
      <c r="N38" s="101"/>
    </row>
    <row r="39" spans="1:14" s="55" customFormat="1" ht="19.95" customHeight="1" x14ac:dyDescent="0.25">
      <c r="A39" s="187"/>
      <c r="B39" s="190"/>
      <c r="D39" s="172" t="s">
        <v>80</v>
      </c>
      <c r="E39" s="173" t="s">
        <v>250</v>
      </c>
      <c r="F39" s="72" t="str">
        <f>IF(E39="","",VLOOKUP('Model 1'!E39,Calculations!B$8:H$107,4,FALSE))</f>
        <v>Material</v>
      </c>
      <c r="G39" s="176">
        <v>0</v>
      </c>
      <c r="H39" s="138" t="str">
        <f>IF(E39="","",VLOOKUP('Model 1'!E39,Calculations!B$8:H$107,6,FALSE))</f>
        <v>pieces</v>
      </c>
      <c r="I39" s="71">
        <f>IF(E39="","",VLOOKUP('Model 1'!E39,Calculations!B$8:H$107,7,FALSE))</f>
        <v>7000</v>
      </c>
      <c r="J39" s="139">
        <f t="shared" si="1"/>
        <v>0</v>
      </c>
      <c r="K39" s="140">
        <f>IF(D39="","",VLOOKUP(D39,Calculations!U$8:V$107,2,))</f>
        <v>1001</v>
      </c>
      <c r="L39" s="140">
        <f>IF(E39="","",VLOOKUP(E39,Calculations!B$8:J$107,3,))</f>
        <v>20</v>
      </c>
      <c r="M39" s="140">
        <f>IF(F39="","",VLOOKUP(F39,Calculations!R$8:S$107,2,))</f>
        <v>2001</v>
      </c>
      <c r="N39" s="101"/>
    </row>
    <row r="40" spans="1:14" s="55" customFormat="1" ht="19.95" customHeight="1" x14ac:dyDescent="0.25">
      <c r="A40" s="188"/>
      <c r="B40" s="190"/>
      <c r="D40" s="172" t="s">
        <v>80</v>
      </c>
      <c r="E40" s="173" t="s">
        <v>251</v>
      </c>
      <c r="F40" s="72" t="str">
        <f>IF(E40="","",VLOOKUP('Model 1'!E40,Calculations!B$8:H$107,4,FALSE))</f>
        <v>Material incl. transport</v>
      </c>
      <c r="G40" s="176">
        <v>0.67</v>
      </c>
      <c r="H40" s="138" t="str">
        <f>IF(E40="","",VLOOKUP('Model 1'!E40,Calculations!B$8:H$107,6,FALSE))</f>
        <v>pieces</v>
      </c>
      <c r="I40" s="71">
        <f>IF(E40="","",VLOOKUP('Model 1'!E40,Calculations!B$8:H$107,7,FALSE))</f>
        <v>1160</v>
      </c>
      <c r="J40" s="139">
        <f t="shared" si="1"/>
        <v>777.2</v>
      </c>
      <c r="K40" s="140">
        <f>IF(D40="","",VLOOKUP(D40,Calculations!U$8:V$107,2,))</f>
        <v>1001</v>
      </c>
      <c r="L40" s="140">
        <f>IF(E40="","",VLOOKUP(E40,Calculations!B$8:J$107,3,))</f>
        <v>21</v>
      </c>
      <c r="M40" s="140">
        <f>IF(F40="","",VLOOKUP(F40,Calculations!R$8:S$107,2,))</f>
        <v>2002</v>
      </c>
      <c r="N40" s="101"/>
    </row>
    <row r="41" spans="1:14" s="55" customFormat="1" ht="19.95" customHeight="1" x14ac:dyDescent="0.25">
      <c r="A41" s="188"/>
      <c r="B41" s="190"/>
      <c r="D41" s="172" t="s">
        <v>80</v>
      </c>
      <c r="E41" s="173" t="s">
        <v>252</v>
      </c>
      <c r="F41" s="72" t="str">
        <f>IF(E41="","",VLOOKUP('Model 1'!E41,Calculations!B$8:H$107,4,FALSE))</f>
        <v>Material</v>
      </c>
      <c r="G41" s="176">
        <v>5.8</v>
      </c>
      <c r="H41" s="138" t="str">
        <f>IF(E41="","",VLOOKUP('Model 1'!E41,Calculations!B$8:H$107,6,FALSE))</f>
        <v>m</v>
      </c>
      <c r="I41" s="71">
        <f>IF(E41="","",VLOOKUP('Model 1'!E41,Calculations!B$8:H$107,7,FALSE))</f>
        <v>116.67</v>
      </c>
      <c r="J41" s="139">
        <f t="shared" si="1"/>
        <v>676.68600000000004</v>
      </c>
      <c r="K41" s="140">
        <f>IF(D41="","",VLOOKUP(D41,Calculations!U$8:V$107,2,))</f>
        <v>1001</v>
      </c>
      <c r="L41" s="140">
        <f>IF(E41="","",VLOOKUP(E41,Calculations!B$8:J$107,3,))</f>
        <v>22</v>
      </c>
      <c r="M41" s="140">
        <f>IF(F41="","",VLOOKUP(F41,Calculations!R$8:S$107,2,))</f>
        <v>2001</v>
      </c>
      <c r="N41" s="101"/>
    </row>
    <row r="42" spans="1:14" s="55" customFormat="1" ht="19.95" customHeight="1" x14ac:dyDescent="0.25">
      <c r="A42" s="14"/>
      <c r="B42" s="190"/>
      <c r="D42" s="172" t="s">
        <v>80</v>
      </c>
      <c r="E42" s="173" t="s">
        <v>253</v>
      </c>
      <c r="F42" s="72" t="str">
        <f>IF(E42="","",VLOOKUP('Model 1'!E42,Calculations!B$8:H$107,4,FALSE))</f>
        <v>Material</v>
      </c>
      <c r="G42" s="176">
        <v>0.5</v>
      </c>
      <c r="H42" s="138" t="str">
        <f>IF(E42="","",VLOOKUP('Model 1'!E42,Calculations!B$8:H$107,6,FALSE))</f>
        <v>kg</v>
      </c>
      <c r="I42" s="71">
        <f>IF(E42="","",VLOOKUP('Model 1'!E42,Calculations!B$8:H$107,7,FALSE))</f>
        <v>120</v>
      </c>
      <c r="J42" s="139">
        <f t="shared" si="1"/>
        <v>60</v>
      </c>
      <c r="K42" s="140">
        <f>IF(D42="","",VLOOKUP(D42,Calculations!U$8:V$107,2,))</f>
        <v>1001</v>
      </c>
      <c r="L42" s="140">
        <f>IF(E42="","",VLOOKUP(E42,Calculations!B$8:J$107,3,))</f>
        <v>23</v>
      </c>
      <c r="M42" s="140">
        <f>IF(F42="","",VLOOKUP(F42,Calculations!R$8:S$107,2,))</f>
        <v>2001</v>
      </c>
      <c r="N42" s="101"/>
    </row>
    <row r="43" spans="1:14" s="55" customFormat="1" ht="19.95" customHeight="1" x14ac:dyDescent="0.25">
      <c r="A43" s="14"/>
      <c r="B43" s="190"/>
      <c r="D43" s="172" t="s">
        <v>80</v>
      </c>
      <c r="E43" s="173" t="s">
        <v>254</v>
      </c>
      <c r="F43" s="72" t="str">
        <f>IF(E43="","",VLOOKUP('Model 1'!E43,Calculations!B$8:H$107,4,FALSE))</f>
        <v>Material</v>
      </c>
      <c r="G43" s="176">
        <v>2</v>
      </c>
      <c r="H43" s="138" t="str">
        <f>IF(E43="","",VLOOKUP('Model 1'!E43,Calculations!B$8:H$107,6,FALSE))</f>
        <v>m2</v>
      </c>
      <c r="I43" s="71">
        <f>IF(E43="","",VLOOKUP('Model 1'!E43,Calculations!B$8:H$107,7,FALSE))</f>
        <v>80</v>
      </c>
      <c r="J43" s="139">
        <f t="shared" si="1"/>
        <v>160</v>
      </c>
      <c r="K43" s="140">
        <f>IF(D43="","",VLOOKUP(D43,Calculations!U$8:V$107,2,))</f>
        <v>1001</v>
      </c>
      <c r="L43" s="140">
        <f>IF(E43="","",VLOOKUP(E43,Calculations!B$8:J$107,3,))</f>
        <v>24</v>
      </c>
      <c r="M43" s="140">
        <f>IF(F43="","",VLOOKUP(F43,Calculations!R$8:S$107,2,))</f>
        <v>2001</v>
      </c>
      <c r="N43" s="101"/>
    </row>
    <row r="44" spans="1:14" s="55" customFormat="1" ht="19.95" customHeight="1" x14ac:dyDescent="0.25">
      <c r="A44" s="14"/>
      <c r="B44" s="190"/>
      <c r="D44" s="172" t="s">
        <v>80</v>
      </c>
      <c r="E44" s="173" t="s">
        <v>255</v>
      </c>
      <c r="F44" s="72" t="str">
        <f>IF(E44="","",VLOOKUP('Model 1'!E44,Calculations!B$8:H$107,4,FALSE))</f>
        <v>Material</v>
      </c>
      <c r="G44" s="176">
        <v>7</v>
      </c>
      <c r="H44" s="138" t="str">
        <f>IF(E44="","",VLOOKUP('Model 1'!E44,Calculations!B$8:H$107,6,FALSE))</f>
        <v>drum</v>
      </c>
      <c r="I44" s="71">
        <f>IF(E44="","",VLOOKUP('Model 1'!E44,Calculations!B$8:H$107,7,FALSE))</f>
        <v>130</v>
      </c>
      <c r="J44" s="139">
        <f t="shared" si="1"/>
        <v>910</v>
      </c>
      <c r="K44" s="140">
        <f>IF(D44="","",VLOOKUP(D44,Calculations!U$8:V$107,2,))</f>
        <v>1001</v>
      </c>
      <c r="L44" s="140">
        <f>IF(E44="","",VLOOKUP(E44,Calculations!B$8:J$107,3,))</f>
        <v>25</v>
      </c>
      <c r="M44" s="140">
        <f>IF(F44="","",VLOOKUP(F44,Calculations!R$8:S$107,2,))</f>
        <v>2001</v>
      </c>
      <c r="N44" s="101"/>
    </row>
    <row r="45" spans="1:14" s="55" customFormat="1" ht="19.95" customHeight="1" x14ac:dyDescent="0.25">
      <c r="A45" s="14"/>
      <c r="B45" s="190"/>
      <c r="D45" s="172" t="s">
        <v>80</v>
      </c>
      <c r="E45" s="173" t="s">
        <v>256</v>
      </c>
      <c r="F45" s="72" t="str">
        <f>IF(E45="","",VLOOKUP('Model 1'!E45,Calculations!B$8:H$107,4,FALSE))</f>
        <v>Labour</v>
      </c>
      <c r="G45" s="176">
        <v>6.37</v>
      </c>
      <c r="H45" s="138" t="str">
        <f>IF(E45="","",VLOOKUP('Model 1'!E45,Calculations!B$8:H$107,6,FALSE))</f>
        <v>m3</v>
      </c>
      <c r="I45" s="71">
        <f>IF(E45="","",VLOOKUP('Model 1'!E45,Calculations!B$8:H$107,7,FALSE))</f>
        <v>900</v>
      </c>
      <c r="J45" s="139">
        <f t="shared" si="1"/>
        <v>5733</v>
      </c>
      <c r="K45" s="140">
        <f>IF(D45="","",VLOOKUP(D45,Calculations!U$8:V$107,2,))</f>
        <v>1001</v>
      </c>
      <c r="L45" s="140">
        <f>IF(E45="","",VLOOKUP(E45,Calculations!B$8:J$107,3,))</f>
        <v>26</v>
      </c>
      <c r="M45" s="140">
        <f>IF(F45="","",VLOOKUP(F45,Calculations!R$8:S$107,2,))</f>
        <v>2003</v>
      </c>
      <c r="N45" s="101"/>
    </row>
    <row r="46" spans="1:14" s="55" customFormat="1" ht="19.95" customHeight="1" x14ac:dyDescent="0.25">
      <c r="A46" s="14"/>
      <c r="B46" s="190"/>
      <c r="D46" s="172" t="s">
        <v>80</v>
      </c>
      <c r="E46" s="173" t="s">
        <v>245</v>
      </c>
      <c r="F46" s="72" t="str">
        <f>IF(E46="","",VLOOKUP('Model 1'!E46,Calculations!B$8:H$107,4,FALSE))</f>
        <v>Labour</v>
      </c>
      <c r="G46" s="176">
        <v>6</v>
      </c>
      <c r="H46" s="138" t="str">
        <f>IF(E46="","",VLOOKUP('Model 1'!E46,Calculations!B$8:H$107,6,FALSE))</f>
        <v>days</v>
      </c>
      <c r="I46" s="71">
        <f>IF(E46="","",VLOOKUP('Model 1'!E46,Calculations!B$8:H$107,7,FALSE))</f>
        <v>800</v>
      </c>
      <c r="J46" s="139">
        <f t="shared" si="1"/>
        <v>4800</v>
      </c>
      <c r="K46" s="140">
        <f>IF(D46="","",VLOOKUP(D46,Calculations!U$8:V$107,2,))</f>
        <v>1001</v>
      </c>
      <c r="L46" s="140">
        <f>IF(E46="","",VLOOKUP(E46,Calculations!B$8:J$107,3,))</f>
        <v>15</v>
      </c>
      <c r="M46" s="140">
        <f>IF(F46="","",VLOOKUP(F46,Calculations!R$8:S$107,2,))</f>
        <v>2003</v>
      </c>
      <c r="N46" s="101"/>
    </row>
    <row r="47" spans="1:14" s="55" customFormat="1" ht="19.95" customHeight="1" x14ac:dyDescent="0.25">
      <c r="A47" s="14"/>
      <c r="B47" s="190"/>
      <c r="D47" s="172" t="s">
        <v>80</v>
      </c>
      <c r="E47" s="173" t="s">
        <v>246</v>
      </c>
      <c r="F47" s="72" t="str">
        <f>IF(E47="","",VLOOKUP('Model 1'!E47,Calculations!B$8:H$107,4,FALSE))</f>
        <v>Labour</v>
      </c>
      <c r="G47" s="176">
        <v>8</v>
      </c>
      <c r="H47" s="138" t="str">
        <f>IF(E47="","",VLOOKUP('Model 1'!E47,Calculations!B$8:H$107,6,FALSE))</f>
        <v>days</v>
      </c>
      <c r="I47" s="71">
        <f>IF(E47="","",VLOOKUP('Model 1'!E47,Calculations!B$8:H$107,7,FALSE))</f>
        <v>500</v>
      </c>
      <c r="J47" s="139">
        <f t="shared" si="1"/>
        <v>4000</v>
      </c>
      <c r="K47" s="140">
        <f>IF(D47="","",VLOOKUP(D47,Calculations!U$8:V$107,2,))</f>
        <v>1001</v>
      </c>
      <c r="L47" s="140">
        <f>IF(E47="","",VLOOKUP(E47,Calculations!B$8:J$107,3,))</f>
        <v>16</v>
      </c>
      <c r="M47" s="140">
        <f>IF(F47="","",VLOOKUP(F47,Calculations!R$8:S$107,2,))</f>
        <v>2003</v>
      </c>
      <c r="N47" s="101"/>
    </row>
    <row r="48" spans="1:14" s="55" customFormat="1" ht="19.95" customHeight="1" x14ac:dyDescent="0.25">
      <c r="A48" s="187"/>
      <c r="B48" s="190"/>
      <c r="D48" s="172" t="s">
        <v>80</v>
      </c>
      <c r="E48" s="173" t="s">
        <v>257</v>
      </c>
      <c r="F48" s="72" t="str">
        <f>IF(E48="","",VLOOKUP('Model 1'!E48,Calculations!B$8:H$107,4,FALSE))</f>
        <v>Unknown</v>
      </c>
      <c r="G48" s="176">
        <v>1</v>
      </c>
      <c r="H48" s="138" t="str">
        <f>IF(E48="","",VLOOKUP('Model 1'!E48,Calculations!B$8:H$107,6,FALSE))</f>
        <v>pieces</v>
      </c>
      <c r="I48" s="71">
        <f>IF(E48="","",VLOOKUP('Model 1'!E48,Calculations!B$8:H$107,7,FALSE))</f>
        <v>9000</v>
      </c>
      <c r="J48" s="139">
        <f t="shared" si="1"/>
        <v>9000</v>
      </c>
      <c r="K48" s="140">
        <f>IF(D48="","",VLOOKUP(D48,Calculations!U$8:V$107,2,))</f>
        <v>1001</v>
      </c>
      <c r="L48" s="140">
        <f>IF(E48="","",VLOOKUP(E48,Calculations!B$8:J$107,3,))</f>
        <v>27</v>
      </c>
      <c r="M48" s="140">
        <f>IF(F48="","",VLOOKUP(F48,Calculations!R$8:S$107,2,))</f>
        <v>2004</v>
      </c>
      <c r="N48" s="101"/>
    </row>
    <row r="49" spans="1:14" s="55" customFormat="1" ht="19.95" customHeight="1" x14ac:dyDescent="0.25">
      <c r="A49" s="187"/>
      <c r="B49" s="190"/>
      <c r="D49" s="172" t="s">
        <v>80</v>
      </c>
      <c r="E49" s="173" t="s">
        <v>258</v>
      </c>
      <c r="F49" s="72" t="str">
        <f>IF(E49="","",VLOOKUP('Model 1'!E49,Calculations!B$8:H$107,4,FALSE))</f>
        <v>Unknown</v>
      </c>
      <c r="G49" s="176">
        <v>1</v>
      </c>
      <c r="H49" s="138" t="str">
        <f>IF(E49="","",VLOOKUP('Model 1'!E49,Calculations!B$8:H$107,6,FALSE))</f>
        <v>pieces</v>
      </c>
      <c r="I49" s="71">
        <f>IF(E49="","",VLOOKUP('Model 1'!E49,Calculations!B$8:H$107,7,FALSE))</f>
        <v>31632.13</v>
      </c>
      <c r="J49" s="139">
        <f t="shared" si="1"/>
        <v>31632.13</v>
      </c>
      <c r="K49" s="140">
        <f>IF(D49="","",VLOOKUP(D49,Calculations!U$8:V$107,2,))</f>
        <v>1001</v>
      </c>
      <c r="L49" s="140">
        <f>IF(E49="","",VLOOKUP(E49,Calculations!B$8:J$107,3,))</f>
        <v>28</v>
      </c>
      <c r="M49" s="140">
        <f>IF(F49="","",VLOOKUP(F49,Calculations!R$8:S$107,2,))</f>
        <v>2004</v>
      </c>
      <c r="N49" s="101"/>
    </row>
    <row r="50" spans="1:14" s="55" customFormat="1" ht="19.95" customHeight="1" x14ac:dyDescent="0.25">
      <c r="A50" s="188"/>
      <c r="B50" s="190"/>
      <c r="D50" s="69"/>
      <c r="E50" s="70"/>
      <c r="F50" s="72" t="str">
        <f>IF(E50="","",VLOOKUP('Model 1'!E50,Calculations!B$8:H$107,4,FALSE))</f>
        <v/>
      </c>
      <c r="G50" s="100"/>
      <c r="H50" s="138" t="str">
        <f>IF(E50="","",VLOOKUP('Model 1'!E50,Calculations!B$8:H$107,6,FALSE))</f>
        <v/>
      </c>
      <c r="I50" s="71" t="str">
        <f>IF(E50="","",VLOOKUP('Model 1'!E50,Calculations!B$8:H$107,7,FALSE))</f>
        <v/>
      </c>
      <c r="J50" s="139" t="str">
        <f t="shared" si="1"/>
        <v/>
      </c>
      <c r="K50" s="140" t="str">
        <f>IF(D50="","",VLOOKUP(D50,Calculations!U$8:V$107,2,))</f>
        <v/>
      </c>
      <c r="L50" s="140" t="str">
        <f>IF(E50="","",VLOOKUP(E50,Calculations!B$8:J$107,3,))</f>
        <v/>
      </c>
      <c r="M50" s="140" t="str">
        <f>IF(F50="","",VLOOKUP(F50,Calculations!R$8:S$107,2,))</f>
        <v/>
      </c>
      <c r="N50" s="101"/>
    </row>
    <row r="51" spans="1:14" s="55" customFormat="1" ht="19.95" customHeight="1" x14ac:dyDescent="0.25">
      <c r="A51" s="187"/>
      <c r="B51" s="190"/>
      <c r="D51" s="69"/>
      <c r="E51" s="70"/>
      <c r="F51" s="72" t="str">
        <f>IF(E51="","",VLOOKUP('Model 1'!E51,Calculations!B$8:H$107,4,FALSE))</f>
        <v/>
      </c>
      <c r="G51" s="100"/>
      <c r="H51" s="138" t="str">
        <f>IF(E51="","",VLOOKUP('Model 1'!E51,Calculations!B$8:H$107,6,FALSE))</f>
        <v/>
      </c>
      <c r="I51" s="71" t="str">
        <f>IF(E51="","",VLOOKUP('Model 1'!E51,Calculations!B$8:H$107,7,FALSE))</f>
        <v/>
      </c>
      <c r="J51" s="139" t="str">
        <f t="shared" si="1"/>
        <v/>
      </c>
      <c r="K51" s="140" t="str">
        <f>IF(D51="","",VLOOKUP(D51,Calculations!U$8:V$107,2,))</f>
        <v/>
      </c>
      <c r="L51" s="140" t="str">
        <f>IF(E51="","",VLOOKUP(E51,Calculations!B$8:J$107,3,))</f>
        <v/>
      </c>
      <c r="M51" s="140" t="str">
        <f>IF(F51="","",VLOOKUP(F51,Calculations!R$8:S$107,2,))</f>
        <v/>
      </c>
      <c r="N51" s="101"/>
    </row>
    <row r="52" spans="1:14" s="55" customFormat="1" ht="19.95" customHeight="1" x14ac:dyDescent="0.25">
      <c r="A52" s="187"/>
      <c r="B52" s="190"/>
      <c r="D52" s="69"/>
      <c r="E52" s="70"/>
      <c r="F52" s="72" t="str">
        <f>IF(E52="","",VLOOKUP('Model 1'!E52,Calculations!B$8:H$107,4,FALSE))</f>
        <v/>
      </c>
      <c r="G52" s="100"/>
      <c r="H52" s="138" t="str">
        <f>IF(E52="","",VLOOKUP('Model 1'!E52,Calculations!B$8:H$107,6,FALSE))</f>
        <v/>
      </c>
      <c r="I52" s="71" t="str">
        <f>IF(E52="","",VLOOKUP('Model 1'!E52,Calculations!B$8:H$107,7,FALSE))</f>
        <v/>
      </c>
      <c r="J52" s="139" t="str">
        <f t="shared" si="1"/>
        <v/>
      </c>
      <c r="K52" s="140" t="str">
        <f>IF(D52="","",VLOOKUP(D52,Calculations!U$8:V$107,2,))</f>
        <v/>
      </c>
      <c r="L52" s="140" t="str">
        <f>IF(E52="","",VLOOKUP(E52,Calculations!B$8:J$107,3,))</f>
        <v/>
      </c>
      <c r="M52" s="140" t="str">
        <f>IF(F52="","",VLOOKUP(F52,Calculations!R$8:S$107,2,))</f>
        <v/>
      </c>
      <c r="N52" s="101"/>
    </row>
    <row r="53" spans="1:14" s="55" customFormat="1" ht="19.95" customHeight="1" x14ac:dyDescent="0.25">
      <c r="A53" s="187"/>
      <c r="B53" s="190"/>
      <c r="D53" s="69"/>
      <c r="E53" s="70"/>
      <c r="F53" s="72" t="str">
        <f>IF(E53="","",VLOOKUP('Model 1'!E53,Calculations!B$8:H$107,4,FALSE))</f>
        <v/>
      </c>
      <c r="G53" s="100"/>
      <c r="H53" s="138" t="str">
        <f>IF(E53="","",VLOOKUP('Model 1'!E53,Calculations!B$8:H$107,6,FALSE))</f>
        <v/>
      </c>
      <c r="I53" s="71" t="str">
        <f>IF(E53="","",VLOOKUP('Model 1'!E53,Calculations!B$8:H$107,7,FALSE))</f>
        <v/>
      </c>
      <c r="J53" s="139" t="str">
        <f t="shared" si="1"/>
        <v/>
      </c>
      <c r="K53" s="140" t="str">
        <f>IF(D53="","",VLOOKUP(D53,Calculations!U$8:V$107,2,))</f>
        <v/>
      </c>
      <c r="L53" s="140" t="str">
        <f>IF(E53="","",VLOOKUP(E53,Calculations!B$8:J$107,3,))</f>
        <v/>
      </c>
      <c r="M53" s="140" t="str">
        <f>IF(F53="","",VLOOKUP(F53,Calculations!R$8:S$107,2,))</f>
        <v/>
      </c>
      <c r="N53" s="101"/>
    </row>
    <row r="54" spans="1:14" s="55" customFormat="1" ht="19.95" customHeight="1" x14ac:dyDescent="0.25">
      <c r="A54" s="187"/>
      <c r="B54" s="190"/>
      <c r="D54" s="69"/>
      <c r="E54" s="70"/>
      <c r="F54" s="72" t="str">
        <f>IF(E54="","",VLOOKUP('Model 1'!E54,Calculations!B$8:H$107,4,FALSE))</f>
        <v/>
      </c>
      <c r="G54" s="100"/>
      <c r="H54" s="138" t="str">
        <f>IF(E54="","",VLOOKUP('Model 1'!E54,Calculations!B$8:H$107,6,FALSE))</f>
        <v/>
      </c>
      <c r="I54" s="71" t="str">
        <f>IF(E54="","",VLOOKUP('Model 1'!E54,Calculations!B$8:H$107,7,FALSE))</f>
        <v/>
      </c>
      <c r="J54" s="139" t="str">
        <f t="shared" si="1"/>
        <v/>
      </c>
      <c r="K54" s="140" t="str">
        <f>IF(D54="","",VLOOKUP(D54,Calculations!U$8:V$107,2,))</f>
        <v/>
      </c>
      <c r="L54" s="140" t="str">
        <f>IF(E54="","",VLOOKUP(E54,Calculations!B$8:J$107,3,))</f>
        <v/>
      </c>
      <c r="M54" s="140" t="str">
        <f>IF(F54="","",VLOOKUP(F54,Calculations!R$8:S$107,2,))</f>
        <v/>
      </c>
      <c r="N54" s="101"/>
    </row>
    <row r="55" spans="1:14" s="55" customFormat="1" ht="19.95" customHeight="1" x14ac:dyDescent="0.25">
      <c r="A55" s="187"/>
      <c r="B55" s="190"/>
      <c r="D55" s="69"/>
      <c r="E55" s="70"/>
      <c r="F55" s="72" t="str">
        <f>IF(E55="","",VLOOKUP('Model 1'!E55,Calculations!B$8:H$107,4,FALSE))</f>
        <v/>
      </c>
      <c r="G55" s="100"/>
      <c r="H55" s="138" t="str">
        <f>IF(E55="","",VLOOKUP('Model 1'!E55,Calculations!B$8:H$107,6,FALSE))</f>
        <v/>
      </c>
      <c r="I55" s="71" t="str">
        <f>IF(E55="","",VLOOKUP('Model 1'!E55,Calculations!B$8:H$107,7,FALSE))</f>
        <v/>
      </c>
      <c r="J55" s="139" t="str">
        <f t="shared" si="1"/>
        <v/>
      </c>
      <c r="K55" s="140" t="str">
        <f>IF(D55="","",VLOOKUP(D55,Calculations!U$8:V$107,2,))</f>
        <v/>
      </c>
      <c r="L55" s="140" t="str">
        <f>IF(E55="","",VLOOKUP(E55,Calculations!B$8:J$107,3,))</f>
        <v/>
      </c>
      <c r="M55" s="140" t="str">
        <f>IF(F55="","",VLOOKUP(F55,Calculations!R$8:S$107,2,))</f>
        <v/>
      </c>
      <c r="N55" s="101"/>
    </row>
    <row r="56" spans="1:14" s="55" customFormat="1" ht="19.95" customHeight="1" x14ac:dyDescent="0.25">
      <c r="A56" s="187"/>
      <c r="B56" s="190"/>
      <c r="D56" s="69"/>
      <c r="E56" s="70"/>
      <c r="F56" s="72" t="str">
        <f>IF(E56="","",VLOOKUP('Model 1'!E56,Calculations!B$8:H$107,4,FALSE))</f>
        <v/>
      </c>
      <c r="G56" s="100"/>
      <c r="H56" s="138" t="str">
        <f>IF(E56="","",VLOOKUP('Model 1'!E56,Calculations!B$8:H$107,6,FALSE))</f>
        <v/>
      </c>
      <c r="I56" s="71" t="str">
        <f>IF(E56="","",VLOOKUP('Model 1'!E56,Calculations!B$8:H$107,7,FALSE))</f>
        <v/>
      </c>
      <c r="J56" s="139" t="str">
        <f t="shared" si="1"/>
        <v/>
      </c>
      <c r="K56" s="140" t="str">
        <f>IF(D56="","",VLOOKUP(D56,Calculations!U$8:V$107,2,))</f>
        <v/>
      </c>
      <c r="L56" s="140" t="str">
        <f>IF(E56="","",VLOOKUP(E56,Calculations!B$8:J$107,3,))</f>
        <v/>
      </c>
      <c r="M56" s="140" t="str">
        <f>IF(F56="","",VLOOKUP(F56,Calculations!R$8:S$107,2,))</f>
        <v/>
      </c>
      <c r="N56" s="101"/>
    </row>
    <row r="57" spans="1:14" s="55" customFormat="1" ht="19.95" customHeight="1" x14ac:dyDescent="0.25">
      <c r="A57" s="187"/>
      <c r="B57" s="190"/>
      <c r="D57" s="69"/>
      <c r="E57" s="70"/>
      <c r="F57" s="72" t="str">
        <f>IF(E57="","",VLOOKUP('Model 1'!E57,Calculations!B$8:H$107,4,FALSE))</f>
        <v/>
      </c>
      <c r="G57" s="100"/>
      <c r="H57" s="138" t="str">
        <f>IF(E57="","",VLOOKUP('Model 1'!E57,Calculations!B$8:H$107,6,FALSE))</f>
        <v/>
      </c>
      <c r="I57" s="71" t="str">
        <f>IF(E57="","",VLOOKUP('Model 1'!E57,Calculations!B$8:H$107,7,FALSE))</f>
        <v/>
      </c>
      <c r="J57" s="139" t="str">
        <f t="shared" si="1"/>
        <v/>
      </c>
      <c r="K57" s="140" t="str">
        <f>IF(D57="","",VLOOKUP(D57,Calculations!U$8:V$107,2,))</f>
        <v/>
      </c>
      <c r="L57" s="140" t="str">
        <f>IF(E57="","",VLOOKUP(E57,Calculations!B$8:J$107,3,))</f>
        <v/>
      </c>
      <c r="M57" s="140" t="str">
        <f>IF(F57="","",VLOOKUP(F57,Calculations!R$8:S$107,2,))</f>
        <v/>
      </c>
      <c r="N57" s="101"/>
    </row>
    <row r="58" spans="1:14" s="55" customFormat="1" ht="19.95" customHeight="1" x14ac:dyDescent="0.25">
      <c r="A58" s="187"/>
      <c r="B58" s="190"/>
      <c r="D58" s="69"/>
      <c r="E58" s="70"/>
      <c r="F58" s="72" t="str">
        <f>IF(E58="","",VLOOKUP('Model 1'!E58,Calculations!B$8:H$107,4,FALSE))</f>
        <v/>
      </c>
      <c r="G58" s="100"/>
      <c r="H58" s="138" t="str">
        <f>IF(E58="","",VLOOKUP('Model 1'!E58,Calculations!B$8:H$107,6,FALSE))</f>
        <v/>
      </c>
      <c r="I58" s="71" t="str">
        <f>IF(E58="","",VLOOKUP('Model 1'!E58,Calculations!B$8:H$107,7,FALSE))</f>
        <v/>
      </c>
      <c r="J58" s="139" t="str">
        <f t="shared" si="1"/>
        <v/>
      </c>
      <c r="K58" s="140" t="str">
        <f>IF(D58="","",VLOOKUP(D58,Calculations!U$8:V$107,2,))</f>
        <v/>
      </c>
      <c r="L58" s="140" t="str">
        <f>IF(E58="","",VLOOKUP(E58,Calculations!B$8:J$107,3,))</f>
        <v/>
      </c>
      <c r="M58" s="140" t="str">
        <f>IF(F58="","",VLOOKUP(F58,Calculations!R$8:S$107,2,))</f>
        <v/>
      </c>
      <c r="N58" s="101"/>
    </row>
    <row r="59" spans="1:14" s="55" customFormat="1" ht="19.95" customHeight="1" x14ac:dyDescent="0.25">
      <c r="A59" s="187"/>
      <c r="B59" s="190"/>
      <c r="D59" s="69"/>
      <c r="E59" s="70"/>
      <c r="F59" s="72" t="str">
        <f>IF(E59="","",VLOOKUP('Model 1'!E59,Calculations!B$8:H$107,4,FALSE))</f>
        <v/>
      </c>
      <c r="G59" s="100"/>
      <c r="H59" s="138" t="str">
        <f>IF(E59="","",VLOOKUP('Model 1'!E59,Calculations!B$8:H$107,6,FALSE))</f>
        <v/>
      </c>
      <c r="I59" s="71" t="str">
        <f>IF(E59="","",VLOOKUP('Model 1'!E59,Calculations!B$8:H$107,7,FALSE))</f>
        <v/>
      </c>
      <c r="J59" s="139" t="str">
        <f t="shared" si="1"/>
        <v/>
      </c>
      <c r="K59" s="140" t="str">
        <f>IF(D59="","",VLOOKUP(D59,Calculations!U$8:V$107,2,))</f>
        <v/>
      </c>
      <c r="L59" s="140" t="str">
        <f>IF(E59="","",VLOOKUP(E59,Calculations!B$8:J$107,3,))</f>
        <v/>
      </c>
      <c r="M59" s="140" t="str">
        <f>IF(F59="","",VLOOKUP(F59,Calculations!R$8:S$107,2,))</f>
        <v/>
      </c>
      <c r="N59" s="101"/>
    </row>
    <row r="60" spans="1:14" s="55" customFormat="1" ht="19.95" customHeight="1" x14ac:dyDescent="0.25">
      <c r="A60" s="187"/>
      <c r="B60" s="190"/>
      <c r="D60" s="69"/>
      <c r="E60" s="70"/>
      <c r="F60" s="72" t="str">
        <f>IF(E60="","",VLOOKUP('Model 1'!E60,Calculations!B$8:H$107,4,FALSE))</f>
        <v/>
      </c>
      <c r="G60" s="100"/>
      <c r="H60" s="138" t="str">
        <f>IF(E60="","",VLOOKUP('Model 1'!E60,Calculations!B$8:H$107,6,FALSE))</f>
        <v/>
      </c>
      <c r="I60" s="71" t="str">
        <f>IF(E60="","",VLOOKUP('Model 1'!E60,Calculations!B$8:H$107,7,FALSE))</f>
        <v/>
      </c>
      <c r="J60" s="139" t="str">
        <f t="shared" si="1"/>
        <v/>
      </c>
      <c r="K60" s="140" t="str">
        <f>IF(D60="","",VLOOKUP(D60,Calculations!U$8:V$107,2,))</f>
        <v/>
      </c>
      <c r="L60" s="140" t="str">
        <f>IF(E60="","",VLOOKUP(E60,Calculations!B$8:J$107,3,))</f>
        <v/>
      </c>
      <c r="M60" s="140" t="str">
        <f>IF(F60="","",VLOOKUP(F60,Calculations!R$8:S$107,2,))</f>
        <v/>
      </c>
      <c r="N60" s="101"/>
    </row>
    <row r="61" spans="1:14" s="55" customFormat="1" ht="19.95" customHeight="1" x14ac:dyDescent="0.25">
      <c r="A61" s="187"/>
      <c r="B61" s="190"/>
      <c r="D61" s="69"/>
      <c r="E61" s="70"/>
      <c r="F61" s="72" t="str">
        <f>IF(E61="","",VLOOKUP('Model 1'!E61,Calculations!B$8:H$107,4,FALSE))</f>
        <v/>
      </c>
      <c r="G61" s="100"/>
      <c r="H61" s="138" t="str">
        <f>IF(E61="","",VLOOKUP('Model 1'!E61,Calculations!B$8:H$107,6,FALSE))</f>
        <v/>
      </c>
      <c r="I61" s="71" t="str">
        <f>IF(E61="","",VLOOKUP('Model 1'!E61,Calculations!B$8:H$107,7,FALSE))</f>
        <v/>
      </c>
      <c r="J61" s="139" t="str">
        <f t="shared" si="1"/>
        <v/>
      </c>
      <c r="K61" s="140" t="str">
        <f>IF(D61="","",VLOOKUP(D61,Calculations!U$8:V$107,2,))</f>
        <v/>
      </c>
      <c r="L61" s="140" t="str">
        <f>IF(E61="","",VLOOKUP(E61,Calculations!B$8:J$107,3,))</f>
        <v/>
      </c>
      <c r="M61" s="140" t="str">
        <f>IF(F61="","",VLOOKUP(F61,Calculations!R$8:S$107,2,))</f>
        <v/>
      </c>
      <c r="N61" s="101"/>
    </row>
    <row r="62" spans="1:14" s="55" customFormat="1" ht="19.95" customHeight="1" x14ac:dyDescent="0.25">
      <c r="A62" s="187"/>
      <c r="B62" s="190"/>
      <c r="D62" s="69"/>
      <c r="E62" s="70"/>
      <c r="F62" s="72" t="str">
        <f>IF(E62="","",VLOOKUP('Model 1'!E62,Calculations!B$8:H$107,4,FALSE))</f>
        <v/>
      </c>
      <c r="G62" s="100"/>
      <c r="H62" s="138" t="str">
        <f>IF(E62="","",VLOOKUP('Model 1'!E62,Calculations!B$8:H$107,6,FALSE))</f>
        <v/>
      </c>
      <c r="I62" s="71" t="str">
        <f>IF(E62="","",VLOOKUP('Model 1'!E62,Calculations!B$8:H$107,7,FALSE))</f>
        <v/>
      </c>
      <c r="J62" s="139" t="str">
        <f t="shared" si="1"/>
        <v/>
      </c>
      <c r="K62" s="140" t="str">
        <f>IF(D62="","",VLOOKUP(D62,Calculations!U$8:V$107,2,))</f>
        <v/>
      </c>
      <c r="L62" s="140" t="str">
        <f>IF(E62="","",VLOOKUP(E62,Calculations!B$8:J$107,3,))</f>
        <v/>
      </c>
      <c r="M62" s="140" t="str">
        <f>IF(F62="","",VLOOKUP(F62,Calculations!R$8:S$107,2,))</f>
        <v/>
      </c>
      <c r="N62" s="101"/>
    </row>
    <row r="63" spans="1:14" s="55" customFormat="1" ht="19.95" customHeight="1" x14ac:dyDescent="0.25">
      <c r="A63" s="187"/>
      <c r="B63" s="190"/>
      <c r="D63" s="69"/>
      <c r="E63" s="70"/>
      <c r="F63" s="72" t="str">
        <f>IF(E63="","",VLOOKUP('Model 1'!E63,Calculations!B$8:H$107,4,FALSE))</f>
        <v/>
      </c>
      <c r="G63" s="100"/>
      <c r="H63" s="138" t="str">
        <f>IF(E63="","",VLOOKUP('Model 1'!E63,Calculations!B$8:H$107,6,FALSE))</f>
        <v/>
      </c>
      <c r="I63" s="71" t="str">
        <f>IF(E63="","",VLOOKUP('Model 1'!E63,Calculations!B$8:H$107,7,FALSE))</f>
        <v/>
      </c>
      <c r="J63" s="139" t="str">
        <f t="shared" si="1"/>
        <v/>
      </c>
      <c r="K63" s="140" t="str">
        <f>IF(D63="","",VLOOKUP(D63,Calculations!U$8:V$107,2,))</f>
        <v/>
      </c>
      <c r="L63" s="140" t="str">
        <f>IF(E63="","",VLOOKUP(E63,Calculations!B$8:J$107,3,))</f>
        <v/>
      </c>
      <c r="M63" s="140" t="str">
        <f>IF(F63="","",VLOOKUP(F63,Calculations!R$8:S$107,2,))</f>
        <v/>
      </c>
      <c r="N63" s="101"/>
    </row>
    <row r="64" spans="1:14" s="55" customFormat="1" ht="19.95" customHeight="1" x14ac:dyDescent="0.25">
      <c r="A64" s="187"/>
      <c r="B64" s="190"/>
      <c r="D64" s="69"/>
      <c r="E64" s="70"/>
      <c r="F64" s="72" t="str">
        <f>IF(E64="","",VLOOKUP('Model 1'!E64,Calculations!B$8:H$107,4,FALSE))</f>
        <v/>
      </c>
      <c r="G64" s="100"/>
      <c r="H64" s="138" t="str">
        <f>IF(E64="","",VLOOKUP('Model 1'!E64,Calculations!B$8:H$107,6,FALSE))</f>
        <v/>
      </c>
      <c r="I64" s="71" t="str">
        <f>IF(E64="","",VLOOKUP('Model 1'!E64,Calculations!B$8:H$107,7,FALSE))</f>
        <v/>
      </c>
      <c r="J64" s="139" t="str">
        <f t="shared" si="1"/>
        <v/>
      </c>
      <c r="K64" s="140" t="str">
        <f>IF(D64="","",VLOOKUP(D64,Calculations!U$8:V$107,2,))</f>
        <v/>
      </c>
      <c r="L64" s="140" t="str">
        <f>IF(E64="","",VLOOKUP(E64,Calculations!B$8:J$107,3,))</f>
        <v/>
      </c>
      <c r="M64" s="140" t="str">
        <f>IF(F64="","",VLOOKUP(F64,Calculations!R$8:S$107,2,))</f>
        <v/>
      </c>
      <c r="N64" s="101"/>
    </row>
    <row r="65" spans="1:14" s="55" customFormat="1" ht="19.95" customHeight="1" x14ac:dyDescent="0.25">
      <c r="A65" s="187"/>
      <c r="B65" s="190"/>
      <c r="D65" s="69"/>
      <c r="E65" s="70"/>
      <c r="F65" s="72" t="str">
        <f>IF(E65="","",VLOOKUP('Model 1'!E65,Calculations!B$8:H$107,4,FALSE))</f>
        <v/>
      </c>
      <c r="G65" s="100"/>
      <c r="H65" s="138" t="str">
        <f>IF(E65="","",VLOOKUP('Model 1'!E65,Calculations!B$8:H$107,6,FALSE))</f>
        <v/>
      </c>
      <c r="I65" s="71" t="str">
        <f>IF(E65="","",VLOOKUP('Model 1'!E65,Calculations!B$8:H$107,7,FALSE))</f>
        <v/>
      </c>
      <c r="J65" s="139" t="str">
        <f t="shared" si="1"/>
        <v/>
      </c>
      <c r="K65" s="140" t="str">
        <f>IF(D65="","",VLOOKUP(D65,Calculations!U$8:V$107,2,))</f>
        <v/>
      </c>
      <c r="L65" s="140" t="str">
        <f>IF(E65="","",VLOOKUP(E65,Calculations!B$8:J$107,3,))</f>
        <v/>
      </c>
      <c r="M65" s="140" t="str">
        <f>IF(F65="","",VLOOKUP(F65,Calculations!R$8:S$107,2,))</f>
        <v/>
      </c>
      <c r="N65" s="101"/>
    </row>
    <row r="66" spans="1:14" s="55" customFormat="1" ht="19.95" customHeight="1" x14ac:dyDescent="0.25">
      <c r="A66" s="187"/>
      <c r="B66" s="190"/>
      <c r="D66" s="69"/>
      <c r="E66" s="70"/>
      <c r="F66" s="72" t="str">
        <f>IF(E66="","",VLOOKUP('Model 1'!E66,Calculations!B$8:H$107,4,FALSE))</f>
        <v/>
      </c>
      <c r="G66" s="100"/>
      <c r="H66" s="138" t="str">
        <f>IF(E66="","",VLOOKUP('Model 1'!E66,Calculations!B$8:H$107,6,FALSE))</f>
        <v/>
      </c>
      <c r="I66" s="71" t="str">
        <f>IF(E66="","",VLOOKUP('Model 1'!E66,Calculations!B$8:H$107,7,FALSE))</f>
        <v/>
      </c>
      <c r="J66" s="139" t="str">
        <f t="shared" si="1"/>
        <v/>
      </c>
      <c r="K66" s="140" t="str">
        <f>IF(D66="","",VLOOKUP(D66,Calculations!U$8:V$107,2,))</f>
        <v/>
      </c>
      <c r="L66" s="140" t="str">
        <f>IF(E66="","",VLOOKUP(E66,Calculations!B$8:J$107,3,))</f>
        <v/>
      </c>
      <c r="M66" s="140" t="str">
        <f>IF(F66="","",VLOOKUP(F66,Calculations!R$8:S$107,2,))</f>
        <v/>
      </c>
      <c r="N66" s="101"/>
    </row>
    <row r="67" spans="1:14" s="55" customFormat="1" ht="19.95" customHeight="1" x14ac:dyDescent="0.25">
      <c r="A67" s="187"/>
      <c r="B67" s="190"/>
      <c r="D67" s="75"/>
      <c r="E67" s="77"/>
      <c r="F67" s="80" t="str">
        <f>IF(E67="","",VLOOKUP('Model 1'!E67,Calculations!B$8:H$107,4,FALSE))</f>
        <v/>
      </c>
      <c r="G67" s="102"/>
      <c r="H67" s="141" t="str">
        <f>IF(E67="","",VLOOKUP('Model 1'!E67,Calculations!B$8:H$107,6,FALSE))</f>
        <v/>
      </c>
      <c r="I67" s="79" t="str">
        <f>IF(E67="","",VLOOKUP('Model 1'!E67,Calculations!B$8:H$107,7,FALSE))</f>
        <v/>
      </c>
      <c r="J67" s="142" t="str">
        <f t="shared" si="0"/>
        <v/>
      </c>
      <c r="K67" s="143" t="str">
        <f>IF(D67="","",VLOOKUP(D67,Calculations!U$8:V$107,2,))</f>
        <v/>
      </c>
      <c r="L67" s="143" t="str">
        <f>IF(E67="","",VLOOKUP(E67,Calculations!B$8:J$107,3,))</f>
        <v/>
      </c>
      <c r="M67" s="143" t="str">
        <f>IF(F67="","",VLOOKUP(F67,Calculations!R$8:S$107,2,))</f>
        <v/>
      </c>
      <c r="N67" s="103"/>
    </row>
    <row r="68" spans="1:14" s="144" customFormat="1" ht="30" customHeight="1" thickBot="1" x14ac:dyDescent="0.3">
      <c r="A68" s="187"/>
      <c r="B68" s="190"/>
      <c r="G68" s="145"/>
      <c r="H68" s="146" t="s">
        <v>120</v>
      </c>
      <c r="I68" s="147"/>
      <c r="J68" s="148">
        <f>SUM(J18:J67)</f>
        <v>109831.61022500001</v>
      </c>
      <c r="N68" s="149" t="str">
        <f>IF(J17="","",J17)</f>
        <v>Kenya: Kenyan shilling (KES)</v>
      </c>
    </row>
    <row r="69" spans="1:14" x14ac:dyDescent="0.25">
      <c r="B69" s="190"/>
    </row>
    <row r="70" spans="1:14" x14ac:dyDescent="0.25">
      <c r="B70" s="190"/>
    </row>
    <row r="71" spans="1:14" x14ac:dyDescent="0.25">
      <c r="B71" s="190"/>
    </row>
    <row r="72" spans="1:14" x14ac:dyDescent="0.25">
      <c r="B72" s="190"/>
    </row>
    <row r="73" spans="1:14" x14ac:dyDescent="0.25">
      <c r="B73" s="190"/>
    </row>
    <row r="74" spans="1:14" x14ac:dyDescent="0.25">
      <c r="B74" s="190"/>
    </row>
    <row r="75" spans="1:14" x14ac:dyDescent="0.25">
      <c r="B75" s="190"/>
    </row>
    <row r="76" spans="1:14" x14ac:dyDescent="0.25">
      <c r="B76" s="190"/>
    </row>
    <row r="77" spans="1:14" x14ac:dyDescent="0.25">
      <c r="B77" s="190"/>
    </row>
    <row r="78" spans="1:14" x14ac:dyDescent="0.25">
      <c r="B78" s="190"/>
    </row>
    <row r="79" spans="1:14" x14ac:dyDescent="0.25">
      <c r="B79" s="190"/>
    </row>
    <row r="80" spans="1:14" x14ac:dyDescent="0.25">
      <c r="B80" s="190"/>
    </row>
    <row r="81" spans="2:2" x14ac:dyDescent="0.25">
      <c r="B81" s="190"/>
    </row>
    <row r="82" spans="2:2" x14ac:dyDescent="0.25">
      <c r="B82" s="190"/>
    </row>
    <row r="83" spans="2:2" x14ac:dyDescent="0.25">
      <c r="B83" s="190"/>
    </row>
    <row r="84" spans="2:2" x14ac:dyDescent="0.25">
      <c r="B84" s="190"/>
    </row>
    <row r="85" spans="2:2" x14ac:dyDescent="0.25">
      <c r="B85" s="190"/>
    </row>
    <row r="86" spans="2:2" x14ac:dyDescent="0.25">
      <c r="B86" s="190"/>
    </row>
    <row r="87" spans="2:2" x14ac:dyDescent="0.25">
      <c r="B87" s="190"/>
    </row>
    <row r="88" spans="2:2" x14ac:dyDescent="0.25">
      <c r="B88" s="190"/>
    </row>
    <row r="89" spans="2:2" x14ac:dyDescent="0.25">
      <c r="B89" s="190"/>
    </row>
    <row r="90" spans="2:2" x14ac:dyDescent="0.25">
      <c r="B90" s="190"/>
    </row>
    <row r="91" spans="2:2" x14ac:dyDescent="0.25">
      <c r="B91" s="190"/>
    </row>
    <row r="92" spans="2:2" x14ac:dyDescent="0.25">
      <c r="B92" s="190"/>
    </row>
    <row r="93" spans="2:2" x14ac:dyDescent="0.25">
      <c r="B93" s="190"/>
    </row>
    <row r="94" spans="2:2" x14ac:dyDescent="0.25">
      <c r="B94" s="190"/>
    </row>
    <row r="95" spans="2:2" x14ac:dyDescent="0.25">
      <c r="B95" s="190"/>
    </row>
    <row r="96" spans="2:2" x14ac:dyDescent="0.25">
      <c r="B96" s="190"/>
    </row>
    <row r="97" spans="2:2" x14ac:dyDescent="0.25">
      <c r="B97" s="190"/>
    </row>
    <row r="98" spans="2:2" x14ac:dyDescent="0.25">
      <c r="B98" s="190"/>
    </row>
    <row r="99" spans="2:2" x14ac:dyDescent="0.25">
      <c r="B99" s="190"/>
    </row>
    <row r="100" spans="2:2" x14ac:dyDescent="0.25">
      <c r="B100" s="190"/>
    </row>
    <row r="101" spans="2:2" x14ac:dyDescent="0.25">
      <c r="B101" s="190"/>
    </row>
    <row r="102" spans="2:2" x14ac:dyDescent="0.25">
      <c r="B102" s="190"/>
    </row>
    <row r="103" spans="2:2" x14ac:dyDescent="0.25">
      <c r="B103" s="190"/>
    </row>
    <row r="104" spans="2:2" x14ac:dyDescent="0.25">
      <c r="B104" s="190"/>
    </row>
    <row r="105" spans="2:2" x14ac:dyDescent="0.25">
      <c r="B105" s="190"/>
    </row>
    <row r="106" spans="2:2" x14ac:dyDescent="0.25">
      <c r="B106" s="190"/>
    </row>
    <row r="107" spans="2:2" x14ac:dyDescent="0.25">
      <c r="B107" s="190"/>
    </row>
    <row r="108" spans="2:2" x14ac:dyDescent="0.25">
      <c r="B108" s="190"/>
    </row>
    <row r="109" spans="2:2" x14ac:dyDescent="0.25">
      <c r="B109" s="190"/>
    </row>
    <row r="110" spans="2:2" x14ac:dyDescent="0.25">
      <c r="B110" s="190"/>
    </row>
    <row r="111" spans="2:2" x14ac:dyDescent="0.25">
      <c r="B111" s="190"/>
    </row>
    <row r="112" spans="2:2" x14ac:dyDescent="0.25">
      <c r="B112" s="190"/>
    </row>
    <row r="113" spans="2:2" x14ac:dyDescent="0.25">
      <c r="B113" s="190"/>
    </row>
    <row r="114" spans="2:2" x14ac:dyDescent="0.25">
      <c r="B114" s="190"/>
    </row>
    <row r="115" spans="2:2" x14ac:dyDescent="0.25">
      <c r="B115" s="190"/>
    </row>
    <row r="116" spans="2:2" x14ac:dyDescent="0.25">
      <c r="B116" s="190"/>
    </row>
    <row r="117" spans="2:2" x14ac:dyDescent="0.25">
      <c r="B117" s="190"/>
    </row>
    <row r="118" spans="2:2" x14ac:dyDescent="0.25">
      <c r="B118" s="190"/>
    </row>
    <row r="119" spans="2:2" x14ac:dyDescent="0.25">
      <c r="B119" s="190"/>
    </row>
  </sheetData>
  <sheetProtection password="CC3D" sheet="1" objects="1" scenarios="1"/>
  <dataConsolidate/>
  <mergeCells count="5">
    <mergeCell ref="G10:J10"/>
    <mergeCell ref="G11:I13"/>
    <mergeCell ref="D15:J15"/>
    <mergeCell ref="D6:E6"/>
    <mergeCell ref="D2:F2"/>
  </mergeCells>
  <dataValidations xWindow="1495" yWindow="314" count="5">
    <dataValidation type="decimal" operator="greaterThanOrEqual" allowBlank="1" showInputMessage="1" showErrorMessage="1" error="Please enter a number that is greater than or equal to zero." sqref="G18:G67">
      <formula1>0</formula1>
    </dataValidation>
    <dataValidation type="list" allowBlank="1" showInputMessage="1" showErrorMessage="1" error="This is a dropdown list. Please select an item!" prompt="Please select an item from the dropdown list!" sqref="E18:E67">
      <formula1>ItemListIndex</formula1>
    </dataValidation>
    <dataValidation type="date" allowBlank="1" showInputMessage="1" showErrorMessage="1" error="Please enter a date between 01.01.1900 and 01.01.2100!" sqref="E11:F11">
      <formula1>1</formula1>
      <formula2>73051</formula2>
    </dataValidation>
    <dataValidation type="list" errorStyle="information" allowBlank="1" showInputMessage="1" showErrorMessage="1" error="This is a dropdown list. Please select a country!" prompt="Please select a country from the dropdown list!" sqref="E9">
      <formula1>CountriesListIndex</formula1>
    </dataValidation>
    <dataValidation type="list" allowBlank="1" showInputMessage="1" showErrorMessage="1" error="This is a dropdown list. Please select a component!" prompt="Please select a component from the dropdown list!" sqref="D18:D67">
      <formula1>ComponentsListIndex</formula1>
    </dataValidation>
  </dataValidations>
  <hyperlinks>
    <hyperlink ref="E12" r:id="rId1"/>
  </hyperlinks>
  <printOptions horizontalCentered="1" verticalCentered="1"/>
  <pageMargins left="0.70866141732283472" right="0.70866141732283472" top="0.78740157480314965" bottom="0.78740157480314965" header="0.31496062992125984" footer="0.31496062992125984"/>
  <headerFooter>
    <oddFooter>&amp;C&amp;D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9"/>
  <sheetViews>
    <sheetView workbookViewId="0">
      <selection activeCell="E12" sqref="E12"/>
    </sheetView>
  </sheetViews>
  <sheetFormatPr defaultColWidth="11.296875" defaultRowHeight="13.8" x14ac:dyDescent="0.25"/>
  <cols>
    <col min="1" max="1" width="7" style="14" customWidth="1"/>
    <col min="2" max="2" width="0.59765625" style="35" customWidth="1"/>
    <col min="3" max="3" width="4.3984375" style="38" customWidth="1"/>
    <col min="4" max="4" width="23" style="38" bestFit="1" customWidth="1"/>
    <col min="5" max="5" width="49.3984375" style="38" customWidth="1"/>
    <col min="6" max="8" width="16.59765625" style="38" customWidth="1"/>
    <col min="9" max="9" width="34" style="111" bestFit="1" customWidth="1"/>
    <col min="10" max="10" width="34" style="38" bestFit="1" customWidth="1"/>
    <col min="11" max="13" width="12.09765625" style="38" hidden="1" customWidth="1"/>
    <col min="14" max="14" width="45.3984375" style="38" bestFit="1" customWidth="1"/>
    <col min="15" max="16384" width="11.296875" style="38"/>
  </cols>
  <sheetData>
    <row r="1" spans="1:14" ht="21" customHeight="1" x14ac:dyDescent="0.25">
      <c r="B1" s="190"/>
    </row>
    <row r="2" spans="1:14" ht="49.95" customHeight="1" x14ac:dyDescent="0.25">
      <c r="B2" s="190"/>
      <c r="C2" s="37"/>
      <c r="D2" s="268" t="str">
        <f ca="1">ReadMe!$D$2&amp;": "&amp;Calculations!P31</f>
        <v>Sanitation Costing Tool: Model 2</v>
      </c>
      <c r="E2" s="268"/>
      <c r="F2" s="268"/>
      <c r="G2" s="194"/>
      <c r="H2" s="194"/>
      <c r="I2" s="194"/>
      <c r="J2" s="194"/>
      <c r="K2" s="194"/>
      <c r="L2" s="194"/>
      <c r="M2" s="194"/>
      <c r="N2" s="194"/>
    </row>
    <row r="3" spans="1:14" ht="16.95" customHeight="1" x14ac:dyDescent="0.25">
      <c r="A3" s="35"/>
      <c r="B3" s="190"/>
      <c r="D3" s="189"/>
      <c r="I3" s="38"/>
    </row>
    <row r="4" spans="1:14" ht="4.05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ht="22.95" customHeight="1" x14ac:dyDescent="0.25">
      <c r="A5" s="190"/>
      <c r="B5" s="190"/>
    </row>
    <row r="6" spans="1:14" ht="25.05" customHeight="1" x14ac:dyDescent="0.3">
      <c r="A6" s="190"/>
      <c r="B6" s="190"/>
      <c r="D6" s="245" t="s">
        <v>115</v>
      </c>
      <c r="E6" s="247"/>
      <c r="K6" s="150" t="s">
        <v>88</v>
      </c>
      <c r="L6" s="150" t="s">
        <v>88</v>
      </c>
      <c r="M6" s="150" t="s">
        <v>88</v>
      </c>
      <c r="N6" s="151"/>
    </row>
    <row r="7" spans="1:14" ht="19.95" customHeight="1" x14ac:dyDescent="0.25">
      <c r="B7" s="190"/>
      <c r="D7" s="114" t="s">
        <v>116</v>
      </c>
      <c r="E7" s="96" t="s">
        <v>259</v>
      </c>
      <c r="F7" s="152"/>
      <c r="N7" s="153"/>
    </row>
    <row r="8" spans="1:14" ht="19.95" customHeight="1" x14ac:dyDescent="0.25">
      <c r="A8" s="187"/>
      <c r="B8" s="190"/>
      <c r="D8" s="116" t="s">
        <v>7</v>
      </c>
      <c r="E8" s="97"/>
      <c r="F8" s="152"/>
      <c r="N8" s="153"/>
    </row>
    <row r="9" spans="1:14" ht="19.95" customHeight="1" x14ac:dyDescent="0.25">
      <c r="A9" s="186"/>
      <c r="B9" s="190"/>
      <c r="D9" s="116" t="s">
        <v>5</v>
      </c>
      <c r="E9" s="97" t="s">
        <v>27</v>
      </c>
      <c r="F9" s="152"/>
      <c r="K9" s="57"/>
      <c r="L9" s="57"/>
      <c r="M9" s="57"/>
      <c r="N9" s="57"/>
    </row>
    <row r="10" spans="1:14" ht="25.05" customHeight="1" x14ac:dyDescent="0.25">
      <c r="A10" s="187"/>
      <c r="B10" s="190"/>
      <c r="D10" s="118" t="s">
        <v>8</v>
      </c>
      <c r="E10" s="56"/>
      <c r="F10" s="152"/>
      <c r="G10" s="245" t="s">
        <v>97</v>
      </c>
      <c r="H10" s="246"/>
      <c r="I10" s="246"/>
      <c r="J10" s="247"/>
      <c r="K10" s="57"/>
      <c r="L10" s="57"/>
      <c r="M10" s="57"/>
      <c r="N10" s="57"/>
    </row>
    <row r="11" spans="1:14" ht="19.95" customHeight="1" x14ac:dyDescent="0.25">
      <c r="A11" s="187"/>
      <c r="B11" s="190"/>
      <c r="D11" s="116" t="s">
        <v>9</v>
      </c>
      <c r="E11" s="159">
        <v>2013</v>
      </c>
      <c r="F11" s="154"/>
      <c r="G11" s="256" t="s">
        <v>89</v>
      </c>
      <c r="H11" s="263"/>
      <c r="I11" s="257"/>
      <c r="J11" s="121" t="s">
        <v>84</v>
      </c>
      <c r="K11" s="155"/>
      <c r="L11" s="155"/>
      <c r="M11" s="155"/>
      <c r="N11" s="156"/>
    </row>
    <row r="12" spans="1:14" ht="19.95" customHeight="1" x14ac:dyDescent="0.25">
      <c r="A12" s="187"/>
      <c r="B12" s="190"/>
      <c r="D12" s="116" t="s">
        <v>10</v>
      </c>
      <c r="E12" s="177" t="s">
        <v>174</v>
      </c>
      <c r="F12" s="152"/>
      <c r="G12" s="264"/>
      <c r="H12" s="265"/>
      <c r="I12" s="266"/>
      <c r="J12" s="123" t="s">
        <v>85</v>
      </c>
      <c r="K12" s="155"/>
      <c r="L12" s="155"/>
      <c r="M12" s="155"/>
      <c r="N12" s="156"/>
    </row>
    <row r="13" spans="1:14" ht="19.95" customHeight="1" x14ac:dyDescent="0.25">
      <c r="A13" s="187"/>
      <c r="B13" s="190"/>
      <c r="D13" s="124"/>
      <c r="E13" s="98"/>
      <c r="F13" s="152"/>
      <c r="G13" s="258"/>
      <c r="H13" s="267"/>
      <c r="I13" s="259"/>
      <c r="J13" s="125" t="s">
        <v>107</v>
      </c>
      <c r="K13" s="155"/>
      <c r="L13" s="155"/>
      <c r="M13" s="155"/>
      <c r="N13" s="156"/>
    </row>
    <row r="14" spans="1:14" x14ac:dyDescent="0.25">
      <c r="A14" s="187"/>
      <c r="B14" s="190"/>
    </row>
    <row r="15" spans="1:14" ht="25.05" customHeight="1" x14ac:dyDescent="0.25">
      <c r="A15" s="187"/>
      <c r="B15" s="190"/>
      <c r="D15" s="245" t="s">
        <v>119</v>
      </c>
      <c r="E15" s="246"/>
      <c r="F15" s="246"/>
      <c r="G15" s="246"/>
      <c r="H15" s="246"/>
      <c r="I15" s="246"/>
      <c r="J15" s="247"/>
      <c r="K15" s="55"/>
      <c r="L15" s="55"/>
      <c r="M15" s="55"/>
      <c r="N15" s="192" t="s">
        <v>83</v>
      </c>
    </row>
    <row r="16" spans="1:14" ht="19.95" customHeight="1" x14ac:dyDescent="0.25">
      <c r="A16" s="187"/>
      <c r="B16" s="190"/>
      <c r="D16" s="82" t="str">
        <f>'Dropdown Lists'!L13</f>
        <v>Component (Element)</v>
      </c>
      <c r="E16" s="89" t="s">
        <v>148</v>
      </c>
      <c r="F16" s="89" t="str">
        <f>'Dropdown Lists'!H13</f>
        <v>Item Category</v>
      </c>
      <c r="G16" s="82" t="s">
        <v>118</v>
      </c>
      <c r="H16" s="82" t="str">
        <f>'Dropdown Lists'!J13</f>
        <v>Unit</v>
      </c>
      <c r="I16" s="127" t="s">
        <v>149</v>
      </c>
      <c r="J16" s="128" t="s">
        <v>150</v>
      </c>
      <c r="K16" s="63" t="s">
        <v>96</v>
      </c>
      <c r="L16" s="63" t="s">
        <v>94</v>
      </c>
      <c r="M16" s="63" t="s">
        <v>95</v>
      </c>
      <c r="N16" s="91"/>
    </row>
    <row r="17" spans="1:14" ht="19.95" customHeight="1" x14ac:dyDescent="0.25">
      <c r="B17" s="190"/>
      <c r="D17" s="93"/>
      <c r="E17" s="129"/>
      <c r="F17" s="130"/>
      <c r="G17" s="131"/>
      <c r="H17" s="132"/>
      <c r="I17" s="133" t="str">
        <f>J17</f>
        <v>Kenya: Kenyan shilling (KES)</v>
      </c>
      <c r="J17" s="134" t="str">
        <f>IF(IF('Item Prices &amp; Rates'!L14=Calculations!P8,'Item Prices &amp; Rates'!L11,IF('Item Prices &amp; Rates'!L14=Calculations!P9,'Item Prices &amp; Rates'!L12,""))=0,"",IF('Item Prices &amp; Rates'!L14=Calculations!P8,'Item Prices &amp; Rates'!L11,IF('Item Prices &amp; Rates'!L14=Calculations!P9,'Item Prices &amp; Rates'!L12,"")))</f>
        <v>Kenya: Kenyan shilling (KES)</v>
      </c>
      <c r="K17" s="63"/>
      <c r="L17" s="63"/>
      <c r="M17" s="63"/>
      <c r="N17" s="93"/>
    </row>
    <row r="18" spans="1:14" ht="19.95" customHeight="1" x14ac:dyDescent="0.25">
      <c r="B18" s="190"/>
      <c r="D18" s="180" t="s">
        <v>80</v>
      </c>
      <c r="E18" s="183" t="s">
        <v>260</v>
      </c>
      <c r="F18" s="66" t="str">
        <f>IF(E18="","",VLOOKUP('Model 2'!E18,Calculations!B$8:H$107,4,FALSE))</f>
        <v>Material</v>
      </c>
      <c r="G18" s="178">
        <v>15</v>
      </c>
      <c r="H18" s="135" t="str">
        <f>IF(E18="","",VLOOKUP('Model 2'!E18,Calculations!B$8:H$107,6,FALSE))</f>
        <v>pieces</v>
      </c>
      <c r="I18" s="65">
        <f>IF(E18="","",VLOOKUP('Model 2'!E18,Calculations!B$8:H$107,7,FALSE))</f>
        <v>1000</v>
      </c>
      <c r="J18" s="136">
        <f>IF(OR(G18="",I18=""),"",G18*I18)</f>
        <v>15000</v>
      </c>
      <c r="K18" s="137">
        <f>IF(D18="","",VLOOKUP(D18,Calculations!U$8:V$107,2,))</f>
        <v>1001</v>
      </c>
      <c r="L18" s="137">
        <f>IF(E18="","",VLOOKUP(E18,Calculations!B$8:J$107,3,))</f>
        <v>30</v>
      </c>
      <c r="M18" s="137">
        <f>IF(F18="","",VLOOKUP(F18,Calculations!R$8:S$107,2,))</f>
        <v>2001</v>
      </c>
      <c r="N18" s="99"/>
    </row>
    <row r="19" spans="1:14" ht="19.95" customHeight="1" x14ac:dyDescent="0.25">
      <c r="A19" s="187"/>
      <c r="B19" s="190"/>
      <c r="D19" s="181" t="s">
        <v>80</v>
      </c>
      <c r="E19" s="182" t="s">
        <v>261</v>
      </c>
      <c r="F19" s="72" t="str">
        <f>IF(E19="","",VLOOKUP('Model 2'!E19,Calculations!B$8:H$107,4,FALSE))</f>
        <v>Material</v>
      </c>
      <c r="G19" s="179">
        <v>270</v>
      </c>
      <c r="H19" s="138" t="str">
        <f>IF(E19="","",VLOOKUP('Model 2'!E19,Calculations!B$8:H$107,6,FALSE))</f>
        <v>pieces</v>
      </c>
      <c r="I19" s="71">
        <f>IF(E19="","",VLOOKUP('Model 2'!E19,Calculations!B$8:H$107,7,FALSE))</f>
        <v>20</v>
      </c>
      <c r="J19" s="139">
        <f t="shared" ref="J19:J67" si="0">IF(OR(G19="",I19=""),"",G19*I19)</f>
        <v>5400</v>
      </c>
      <c r="K19" s="140">
        <f>IF(D19="","",VLOOKUP(D19,Calculations!U$8:V$107,2,))</f>
        <v>1001</v>
      </c>
      <c r="L19" s="140">
        <f>IF(E19="","",VLOOKUP(E19,Calculations!B$8:J$107,3,))</f>
        <v>31</v>
      </c>
      <c r="M19" s="140">
        <f>IF(F19="","",VLOOKUP(F19,Calculations!R$8:S$107,2,))</f>
        <v>2001</v>
      </c>
      <c r="N19" s="101"/>
    </row>
    <row r="20" spans="1:14" ht="19.95" customHeight="1" x14ac:dyDescent="0.25">
      <c r="A20" s="187"/>
      <c r="B20" s="190"/>
      <c r="D20" s="181" t="s">
        <v>80</v>
      </c>
      <c r="E20" s="182" t="s">
        <v>262</v>
      </c>
      <c r="F20" s="72" t="str">
        <f>IF(E20="","",VLOOKUP('Model 2'!E20,Calculations!B$8:H$107,4,FALSE))</f>
        <v>Material</v>
      </c>
      <c r="G20" s="179">
        <v>5</v>
      </c>
      <c r="H20" s="138" t="str">
        <f>IF(E20="","",VLOOKUP('Model 2'!E20,Calculations!B$8:H$107,6,FALSE))</f>
        <v>bags</v>
      </c>
      <c r="I20" s="71">
        <f>IF(E20="","",VLOOKUP('Model 2'!E20,Calculations!B$8:H$107,7,FALSE))</f>
        <v>1000</v>
      </c>
      <c r="J20" s="139">
        <f t="shared" si="0"/>
        <v>5000</v>
      </c>
      <c r="K20" s="140">
        <f>IF(D20="","",VLOOKUP(D20,Calculations!U$8:V$107,2,))</f>
        <v>1001</v>
      </c>
      <c r="L20" s="140">
        <f>IF(E20="","",VLOOKUP(E20,Calculations!B$8:J$107,3,))</f>
        <v>32</v>
      </c>
      <c r="M20" s="140">
        <f>IF(F20="","",VLOOKUP(F20,Calculations!R$8:S$107,2,))</f>
        <v>2001</v>
      </c>
      <c r="N20" s="101"/>
    </row>
    <row r="21" spans="1:14" ht="19.95" customHeight="1" x14ac:dyDescent="0.25">
      <c r="A21" s="187"/>
      <c r="B21" s="190"/>
      <c r="D21" s="181" t="s">
        <v>80</v>
      </c>
      <c r="E21" s="182" t="s">
        <v>263</v>
      </c>
      <c r="F21" s="72" t="str">
        <f>IF(E21="","",VLOOKUP('Model 2'!E21,Calculations!B$8:H$107,4,FALSE))</f>
        <v>Material</v>
      </c>
      <c r="G21" s="179">
        <v>15</v>
      </c>
      <c r="H21" s="138" t="str">
        <f>IF(E21="","",VLOOKUP('Model 2'!E21,Calculations!B$8:H$107,6,FALSE))</f>
        <v>wheelbarrows</v>
      </c>
      <c r="I21" s="71">
        <f>IF(E21="","",VLOOKUP('Model 2'!E21,Calculations!B$8:H$107,7,FALSE))</f>
        <v>100</v>
      </c>
      <c r="J21" s="139">
        <f t="shared" si="0"/>
        <v>1500</v>
      </c>
      <c r="K21" s="140">
        <f>IF(D21="","",VLOOKUP(D21,Calculations!U$8:V$107,2,))</f>
        <v>1001</v>
      </c>
      <c r="L21" s="140">
        <f>IF(E21="","",VLOOKUP(E21,Calculations!B$8:J$107,3,))</f>
        <v>33</v>
      </c>
      <c r="M21" s="140">
        <f>IF(F21="","",VLOOKUP(F21,Calculations!R$8:S$107,2,))</f>
        <v>2001</v>
      </c>
      <c r="N21" s="101"/>
    </row>
    <row r="22" spans="1:14" ht="19.95" customHeight="1" x14ac:dyDescent="0.25">
      <c r="B22" s="190"/>
      <c r="D22" s="181" t="s">
        <v>80</v>
      </c>
      <c r="E22" s="182" t="s">
        <v>264</v>
      </c>
      <c r="F22" s="72" t="str">
        <f>IF(E22="","",VLOOKUP('Model 2'!E22,Calculations!B$8:H$107,4,FALSE))</f>
        <v>Material</v>
      </c>
      <c r="G22" s="179">
        <v>3</v>
      </c>
      <c r="H22" s="138" t="str">
        <f>IF(E22="","",VLOOKUP('Model 2'!E22,Calculations!B$8:H$107,6,FALSE))</f>
        <v>wheelbarrows</v>
      </c>
      <c r="I22" s="71">
        <f>IF(E22="","",VLOOKUP('Model 2'!E22,Calculations!B$8:H$107,7,FALSE))</f>
        <v>150</v>
      </c>
      <c r="J22" s="139">
        <f t="shared" si="0"/>
        <v>450</v>
      </c>
      <c r="K22" s="140">
        <f>IF(D22="","",VLOOKUP(D22,Calculations!U$8:V$107,2,))</f>
        <v>1001</v>
      </c>
      <c r="L22" s="140">
        <f>IF(E22="","",VLOOKUP(E22,Calculations!B$8:J$107,3,))</f>
        <v>34</v>
      </c>
      <c r="M22" s="140">
        <f>IF(F22="","",VLOOKUP(F22,Calculations!R$8:S$107,2,))</f>
        <v>2001</v>
      </c>
      <c r="N22" s="101"/>
    </row>
    <row r="23" spans="1:14" ht="19.95" customHeight="1" x14ac:dyDescent="0.25">
      <c r="B23" s="190"/>
      <c r="D23" s="181" t="s">
        <v>80</v>
      </c>
      <c r="E23" s="182" t="s">
        <v>265</v>
      </c>
      <c r="F23" s="72" t="str">
        <f>IF(E23="","",VLOOKUP('Model 2'!E23,Calculations!B$8:H$107,4,FALSE))</f>
        <v>Material</v>
      </c>
      <c r="G23" s="179">
        <v>1</v>
      </c>
      <c r="H23" s="138" t="str">
        <f>IF(E23="","",VLOOKUP('Model 2'!E23,Calculations!B$8:H$107,6,FALSE))</f>
        <v>pieces</v>
      </c>
      <c r="I23" s="71">
        <f>IF(E23="","",VLOOKUP('Model 2'!E23,Calculations!B$8:H$107,7,FALSE))</f>
        <v>2000</v>
      </c>
      <c r="J23" s="139">
        <f t="shared" si="0"/>
        <v>2000</v>
      </c>
      <c r="K23" s="140">
        <f>IF(D23="","",VLOOKUP(D23,Calculations!U$8:V$107,2,))</f>
        <v>1001</v>
      </c>
      <c r="L23" s="140">
        <f>IF(E23="","",VLOOKUP(E23,Calculations!B$8:J$107,3,))</f>
        <v>35</v>
      </c>
      <c r="M23" s="140">
        <f>IF(F23="","",VLOOKUP(F23,Calculations!R$8:S$107,2,))</f>
        <v>2001</v>
      </c>
      <c r="N23" s="101"/>
    </row>
    <row r="24" spans="1:14" ht="19.95" customHeight="1" x14ac:dyDescent="0.25">
      <c r="A24" s="187"/>
      <c r="B24" s="190"/>
      <c r="D24" s="181" t="s">
        <v>80</v>
      </c>
      <c r="E24" s="182" t="s">
        <v>266</v>
      </c>
      <c r="F24" s="72" t="str">
        <f>IF(E24="","",VLOOKUP('Model 2'!E24,Calculations!B$8:H$107,4,FALSE))</f>
        <v>Material</v>
      </c>
      <c r="G24" s="179">
        <v>3</v>
      </c>
      <c r="H24" s="138" t="str">
        <f>IF(E24="","",VLOOKUP('Model 2'!E24,Calculations!B$8:H$107,6,FALSE))</f>
        <v>bags</v>
      </c>
      <c r="I24" s="71">
        <f>IF(E24="","",VLOOKUP('Model 2'!E24,Calculations!B$8:H$107,7,FALSE))</f>
        <v>1000</v>
      </c>
      <c r="J24" s="139">
        <f t="shared" si="0"/>
        <v>3000</v>
      </c>
      <c r="K24" s="140">
        <f>IF(D24="","",VLOOKUP(D24,Calculations!U$8:V$107,2,))</f>
        <v>1001</v>
      </c>
      <c r="L24" s="140">
        <f>IF(E24="","",VLOOKUP(E24,Calculations!B$8:J$107,3,))</f>
        <v>36</v>
      </c>
      <c r="M24" s="140">
        <f>IF(F24="","",VLOOKUP(F24,Calculations!R$8:S$107,2,))</f>
        <v>2001</v>
      </c>
      <c r="N24" s="101"/>
    </row>
    <row r="25" spans="1:14" ht="19.95" customHeight="1" x14ac:dyDescent="0.25">
      <c r="B25" s="190"/>
      <c r="D25" s="181" t="s">
        <v>80</v>
      </c>
      <c r="E25" s="182" t="s">
        <v>267</v>
      </c>
      <c r="F25" s="72" t="str">
        <f>IF(E25="","",VLOOKUP('Model 2'!E25,Calculations!B$8:H$107,4,FALSE))</f>
        <v>Material</v>
      </c>
      <c r="G25" s="179">
        <v>8</v>
      </c>
      <c r="H25" s="138" t="str">
        <f>IF(E25="","",VLOOKUP('Model 2'!E25,Calculations!B$8:H$107,6,FALSE))</f>
        <v>wheelbarrows</v>
      </c>
      <c r="I25" s="71">
        <f>IF(E25="","",VLOOKUP('Model 2'!E25,Calculations!B$8:H$107,7,FALSE))</f>
        <v>100</v>
      </c>
      <c r="J25" s="139">
        <f t="shared" si="0"/>
        <v>800</v>
      </c>
      <c r="K25" s="140">
        <f>IF(D25="","",VLOOKUP(D25,Calculations!U$8:V$107,2,))</f>
        <v>1001</v>
      </c>
      <c r="L25" s="140">
        <f>IF(E25="","",VLOOKUP(E25,Calculations!B$8:J$107,3,))</f>
        <v>37</v>
      </c>
      <c r="M25" s="140">
        <f>IF(F25="","",VLOOKUP(F25,Calculations!R$8:S$107,2,))</f>
        <v>2001</v>
      </c>
      <c r="N25" s="101"/>
    </row>
    <row r="26" spans="1:14" ht="19.95" customHeight="1" x14ac:dyDescent="0.25">
      <c r="B26" s="190"/>
      <c r="D26" s="181" t="s">
        <v>80</v>
      </c>
      <c r="E26" s="182" t="s">
        <v>268</v>
      </c>
      <c r="F26" s="72" t="str">
        <f>IF(E26="","",VLOOKUP('Model 2'!E26,Calculations!B$8:H$107,4,FALSE))</f>
        <v>Material</v>
      </c>
      <c r="G26" s="179">
        <v>4</v>
      </c>
      <c r="H26" s="138" t="str">
        <f>IF(E26="","",VLOOKUP('Model 2'!E26,Calculations!B$8:H$107,6,FALSE))</f>
        <v>wheelbarrows</v>
      </c>
      <c r="I26" s="71">
        <f>IF(E26="","",VLOOKUP('Model 2'!E26,Calculations!B$8:H$107,7,FALSE))</f>
        <v>150</v>
      </c>
      <c r="J26" s="139">
        <f t="shared" si="0"/>
        <v>600</v>
      </c>
      <c r="K26" s="140">
        <f>IF(D26="","",VLOOKUP(D26,Calculations!U$8:V$107,2,))</f>
        <v>1001</v>
      </c>
      <c r="L26" s="140">
        <f>IF(E26="","",VLOOKUP(E26,Calculations!B$8:J$107,3,))</f>
        <v>38</v>
      </c>
      <c r="M26" s="140">
        <f>IF(F26="","",VLOOKUP(F26,Calculations!R$8:S$107,2,))</f>
        <v>2001</v>
      </c>
      <c r="N26" s="101"/>
    </row>
    <row r="27" spans="1:14" ht="19.95" customHeight="1" x14ac:dyDescent="0.25">
      <c r="B27" s="190"/>
      <c r="D27" s="181" t="s">
        <v>80</v>
      </c>
      <c r="E27" s="182" t="s">
        <v>269</v>
      </c>
      <c r="F27" s="72" t="str">
        <f>IF(E27="","",VLOOKUP('Model 2'!E27,Calculations!B$8:H$107,4,FALSE))</f>
        <v>Material</v>
      </c>
      <c r="G27" s="179">
        <v>40</v>
      </c>
      <c r="H27" s="138" t="str">
        <f>IF(E27="","",VLOOKUP('Model 2'!E27,Calculations!B$8:H$107,6,FALSE))</f>
        <v>pieces</v>
      </c>
      <c r="I27" s="71">
        <f>IF(E27="","",VLOOKUP('Model 2'!E27,Calculations!B$8:H$107,7,FALSE))</f>
        <v>25</v>
      </c>
      <c r="J27" s="139">
        <f t="shared" si="0"/>
        <v>1000</v>
      </c>
      <c r="K27" s="140">
        <f>IF(D27="","",VLOOKUP(D27,Calculations!U$8:V$107,2,))</f>
        <v>1001</v>
      </c>
      <c r="L27" s="140">
        <f>IF(E27="","",VLOOKUP(E27,Calculations!B$8:J$107,3,))</f>
        <v>39</v>
      </c>
      <c r="M27" s="140">
        <f>IF(F27="","",VLOOKUP(F27,Calculations!R$8:S$107,2,))</f>
        <v>2001</v>
      </c>
      <c r="N27" s="101"/>
    </row>
    <row r="28" spans="1:14" ht="19.95" customHeight="1" x14ac:dyDescent="0.25">
      <c r="B28" s="190"/>
      <c r="D28" s="181" t="s">
        <v>80</v>
      </c>
      <c r="E28" s="182" t="s">
        <v>270</v>
      </c>
      <c r="F28" s="72" t="str">
        <f>IF(E28="","",VLOOKUP('Model 2'!E28,Calculations!B$8:H$107,4,FALSE))</f>
        <v>Material</v>
      </c>
      <c r="G28" s="179">
        <v>1</v>
      </c>
      <c r="H28" s="138" t="str">
        <f>IF(E28="","",VLOOKUP('Model 2'!E28,Calculations!B$8:H$107,6,FALSE))</f>
        <v>pieces</v>
      </c>
      <c r="I28" s="71">
        <f>IF(E28="","",VLOOKUP('Model 2'!E28,Calculations!B$8:H$107,7,FALSE))</f>
        <v>600</v>
      </c>
      <c r="J28" s="139">
        <f t="shared" si="0"/>
        <v>600</v>
      </c>
      <c r="K28" s="140">
        <f>IF(D28="","",VLOOKUP(D28,Calculations!U$8:V$107,2,))</f>
        <v>1001</v>
      </c>
      <c r="L28" s="140">
        <f>IF(E28="","",VLOOKUP(E28,Calculations!B$8:J$107,3,))</f>
        <v>40</v>
      </c>
      <c r="M28" s="140">
        <f>IF(F28="","",VLOOKUP(F28,Calculations!R$8:S$107,2,))</f>
        <v>2001</v>
      </c>
      <c r="N28" s="101"/>
    </row>
    <row r="29" spans="1:14" ht="19.95" customHeight="1" x14ac:dyDescent="0.25">
      <c r="B29" s="190"/>
      <c r="D29" s="181" t="s">
        <v>80</v>
      </c>
      <c r="E29" s="182" t="s">
        <v>271</v>
      </c>
      <c r="F29" s="72" t="str">
        <f>IF(E29="","",VLOOKUP('Model 2'!E29,Calculations!B$8:H$107,4,FALSE))</f>
        <v>Material</v>
      </c>
      <c r="G29" s="179">
        <v>2</v>
      </c>
      <c r="H29" s="138" t="str">
        <f>IF(E29="","",VLOOKUP('Model 2'!E29,Calculations!B$8:H$107,6,FALSE))</f>
        <v>pieces</v>
      </c>
      <c r="I29" s="71">
        <f>IF(E29="","",VLOOKUP('Model 2'!E29,Calculations!B$8:H$107,7,FALSE))</f>
        <v>800</v>
      </c>
      <c r="J29" s="139">
        <f t="shared" si="0"/>
        <v>1600</v>
      </c>
      <c r="K29" s="140">
        <f>IF(D29="","",VLOOKUP(D29,Calculations!U$8:V$107,2,))</f>
        <v>1001</v>
      </c>
      <c r="L29" s="140">
        <f>IF(E29="","",VLOOKUP(E29,Calculations!B$8:J$107,3,))</f>
        <v>41</v>
      </c>
      <c r="M29" s="140">
        <f>IF(F29="","",VLOOKUP(F29,Calculations!R$8:S$107,2,))</f>
        <v>2001</v>
      </c>
      <c r="N29" s="101"/>
    </row>
    <row r="30" spans="1:14" ht="19.95" customHeight="1" x14ac:dyDescent="0.25">
      <c r="B30" s="190"/>
      <c r="D30" s="181"/>
      <c r="E30" s="182"/>
      <c r="F30" s="72" t="str">
        <f>IF(E30="","",VLOOKUP('Model 2'!E30,Calculations!B$8:H$107,4,FALSE))</f>
        <v/>
      </c>
      <c r="G30" s="179"/>
      <c r="H30" s="138" t="str">
        <f>IF(E30="","",VLOOKUP('Model 2'!E30,Calculations!B$8:H$107,6,FALSE))</f>
        <v/>
      </c>
      <c r="I30" s="71" t="str">
        <f>IF(E30="","",VLOOKUP('Model 2'!E30,Calculations!B$8:H$107,7,FALSE))</f>
        <v/>
      </c>
      <c r="J30" s="139" t="str">
        <f t="shared" ref="J30:J66" si="1">IF(OR(G30="",I30=""),"",G30*I30)</f>
        <v/>
      </c>
      <c r="K30" s="140" t="str">
        <f>IF(D30="","",VLOOKUP(D30,Calculations!U$8:V$107,2,))</f>
        <v/>
      </c>
      <c r="L30" s="140" t="str">
        <f>IF(E30="","",VLOOKUP(E30,Calculations!B$8:J$107,3,))</f>
        <v/>
      </c>
      <c r="M30" s="140" t="str">
        <f>IF(F30="","",VLOOKUP(F30,Calculations!R$8:S$107,2,))</f>
        <v/>
      </c>
      <c r="N30" s="101"/>
    </row>
    <row r="31" spans="1:14" ht="19.95" customHeight="1" x14ac:dyDescent="0.25">
      <c r="A31" s="187"/>
      <c r="B31" s="190"/>
      <c r="D31" s="181" t="s">
        <v>81</v>
      </c>
      <c r="E31" s="182" t="s">
        <v>272</v>
      </c>
      <c r="F31" s="72" t="str">
        <f>IF(E31="","",VLOOKUP('Model 2'!E31,Calculations!B$8:H$107,4,FALSE))</f>
        <v>Material</v>
      </c>
      <c r="G31" s="179">
        <v>1</v>
      </c>
      <c r="H31" s="138" t="str">
        <f>IF(E31="","",VLOOKUP('Model 2'!E31,Calculations!B$8:H$107,6,FALSE))</f>
        <v>bags</v>
      </c>
      <c r="I31" s="71">
        <f>IF(E31="","",VLOOKUP('Model 2'!E31,Calculations!B$8:H$107,7,FALSE))</f>
        <v>1000</v>
      </c>
      <c r="J31" s="139">
        <f t="shared" si="1"/>
        <v>1000</v>
      </c>
      <c r="K31" s="140">
        <f>IF(D31="","",VLOOKUP(D31,Calculations!U$8:V$107,2,))</f>
        <v>1002</v>
      </c>
      <c r="L31" s="140">
        <f>IF(E31="","",VLOOKUP(E31,Calculations!B$8:J$107,3,))</f>
        <v>42</v>
      </c>
      <c r="M31" s="140">
        <f>IF(F31="","",VLOOKUP(F31,Calculations!R$8:S$107,2,))</f>
        <v>2001</v>
      </c>
      <c r="N31" s="101"/>
    </row>
    <row r="32" spans="1:14" ht="19.95" customHeight="1" x14ac:dyDescent="0.25">
      <c r="A32" s="187"/>
      <c r="B32" s="190"/>
      <c r="D32" s="181" t="s">
        <v>81</v>
      </c>
      <c r="E32" s="182" t="s">
        <v>273</v>
      </c>
      <c r="F32" s="72" t="str">
        <f>IF(E32="","",VLOOKUP('Model 2'!E32,Calculations!B$8:H$107,4,FALSE))</f>
        <v>Material</v>
      </c>
      <c r="G32" s="179">
        <v>2</v>
      </c>
      <c r="H32" s="138" t="str">
        <f>IF(E32="","",VLOOKUP('Model 2'!E32,Calculations!B$8:H$107,6,FALSE))</f>
        <v>wheelbarrows</v>
      </c>
      <c r="I32" s="71">
        <f>IF(E32="","",VLOOKUP('Model 2'!E32,Calculations!B$8:H$107,7,FALSE))</f>
        <v>100</v>
      </c>
      <c r="J32" s="139">
        <f t="shared" si="1"/>
        <v>200</v>
      </c>
      <c r="K32" s="140">
        <f>IF(D32="","",VLOOKUP(D32,Calculations!U$8:V$107,2,))</f>
        <v>1002</v>
      </c>
      <c r="L32" s="140">
        <f>IF(E32="","",VLOOKUP(E32,Calculations!B$8:J$107,3,))</f>
        <v>43</v>
      </c>
      <c r="M32" s="140">
        <f>IF(F32="","",VLOOKUP(F32,Calculations!R$8:S$107,2,))</f>
        <v>2001</v>
      </c>
      <c r="N32" s="101"/>
    </row>
    <row r="33" spans="1:14" ht="19.95" customHeight="1" x14ac:dyDescent="0.25">
      <c r="A33" s="187"/>
      <c r="B33" s="190"/>
      <c r="D33" s="181" t="s">
        <v>81</v>
      </c>
      <c r="E33" s="182" t="s">
        <v>274</v>
      </c>
      <c r="F33" s="72" t="str">
        <f>IF(E33="","",VLOOKUP('Model 2'!E33,Calculations!B$8:H$107,4,FALSE))</f>
        <v>Material</v>
      </c>
      <c r="G33" s="179">
        <v>10</v>
      </c>
      <c r="H33" s="138" t="str">
        <f>IF(E33="","",VLOOKUP('Model 2'!E33,Calculations!B$8:H$107,6,FALSE))</f>
        <v>ft</v>
      </c>
      <c r="I33" s="71">
        <f>IF(E33="","",VLOOKUP('Model 2'!E33,Calculations!B$8:H$107,7,FALSE))</f>
        <v>70</v>
      </c>
      <c r="J33" s="139">
        <f t="shared" si="1"/>
        <v>700</v>
      </c>
      <c r="K33" s="140">
        <f>IF(D33="","",VLOOKUP(D33,Calculations!U$8:V$107,2,))</f>
        <v>1002</v>
      </c>
      <c r="L33" s="140">
        <f>IF(E33="","",VLOOKUP(E33,Calculations!B$8:J$107,3,))</f>
        <v>44</v>
      </c>
      <c r="M33" s="140">
        <f>IF(F33="","",VLOOKUP(F33,Calculations!R$8:S$107,2,))</f>
        <v>2001</v>
      </c>
      <c r="N33" s="101"/>
    </row>
    <row r="34" spans="1:14" ht="19.95" customHeight="1" x14ac:dyDescent="0.25">
      <c r="A34" s="188"/>
      <c r="B34" s="190"/>
      <c r="D34" s="181" t="s">
        <v>81</v>
      </c>
      <c r="E34" s="182" t="s">
        <v>275</v>
      </c>
      <c r="F34" s="72" t="str">
        <f>IF(E34="","",VLOOKUP('Model 2'!E34,Calculations!B$8:H$107,4,FALSE))</f>
        <v>Material</v>
      </c>
      <c r="G34" s="179">
        <v>1</v>
      </c>
      <c r="H34" s="138" t="str">
        <f>IF(E34="","",VLOOKUP('Model 2'!E34,Calculations!B$8:H$107,6,FALSE))</f>
        <v>pieces</v>
      </c>
      <c r="I34" s="71">
        <f>IF(E34="","",VLOOKUP('Model 2'!E34,Calculations!B$8:H$107,7,FALSE))</f>
        <v>70</v>
      </c>
      <c r="J34" s="139">
        <f t="shared" si="1"/>
        <v>70</v>
      </c>
      <c r="K34" s="140">
        <f>IF(D34="","",VLOOKUP(D34,Calculations!U$8:V$107,2,))</f>
        <v>1002</v>
      </c>
      <c r="L34" s="140">
        <f>IF(E34="","",VLOOKUP(E34,Calculations!B$8:J$107,3,))</f>
        <v>45</v>
      </c>
      <c r="M34" s="140">
        <f>IF(F34="","",VLOOKUP(F34,Calculations!R$8:S$107,2,))</f>
        <v>2001</v>
      </c>
      <c r="N34" s="101"/>
    </row>
    <row r="35" spans="1:14" ht="19.95" customHeight="1" x14ac:dyDescent="0.25">
      <c r="A35" s="188"/>
      <c r="B35" s="190"/>
      <c r="D35" s="181" t="s">
        <v>81</v>
      </c>
      <c r="E35" s="182" t="s">
        <v>276</v>
      </c>
      <c r="F35" s="72" t="str">
        <f>IF(E35="","",VLOOKUP('Model 2'!E35,Calculations!B$8:H$107,4,FALSE))</f>
        <v>Material</v>
      </c>
      <c r="G35" s="179">
        <v>1</v>
      </c>
      <c r="H35" s="138" t="str">
        <f>IF(E35="","",VLOOKUP('Model 2'!E35,Calculations!B$8:H$107,6,FALSE))</f>
        <v>ft2</v>
      </c>
      <c r="I35" s="71">
        <f>IF(E35="","",VLOOKUP('Model 2'!E35,Calculations!B$8:H$107,7,FALSE))</f>
        <v>20</v>
      </c>
      <c r="J35" s="139">
        <f t="shared" si="1"/>
        <v>20</v>
      </c>
      <c r="K35" s="140">
        <f>IF(D35="","",VLOOKUP(D35,Calculations!U$8:V$107,2,))</f>
        <v>1002</v>
      </c>
      <c r="L35" s="140">
        <f>IF(E35="","",VLOOKUP(E35,Calculations!B$8:J$107,3,))</f>
        <v>46</v>
      </c>
      <c r="M35" s="140">
        <f>IF(F35="","",VLOOKUP(F35,Calculations!R$8:S$107,2,))</f>
        <v>2001</v>
      </c>
      <c r="N35" s="101"/>
    </row>
    <row r="36" spans="1:14" ht="19.95" customHeight="1" x14ac:dyDescent="0.25">
      <c r="A36" s="188"/>
      <c r="B36" s="190"/>
      <c r="D36" s="181" t="s">
        <v>81</v>
      </c>
      <c r="E36" s="182" t="s">
        <v>277</v>
      </c>
      <c r="F36" s="72" t="str">
        <f>IF(E36="","",VLOOKUP('Model 2'!E36,Calculations!B$8:H$107,4,FALSE))</f>
        <v>Material</v>
      </c>
      <c r="G36" s="179">
        <v>150</v>
      </c>
      <c r="H36" s="138" t="str">
        <f>IF(E36="","",VLOOKUP('Model 2'!E36,Calculations!B$8:H$107,6,FALSE))</f>
        <v>pieces</v>
      </c>
      <c r="I36" s="71">
        <f>IF(E36="","",VLOOKUP('Model 2'!E36,Calculations!B$8:H$107,7,FALSE))</f>
        <v>20</v>
      </c>
      <c r="J36" s="139">
        <f t="shared" si="1"/>
        <v>3000</v>
      </c>
      <c r="K36" s="140">
        <f>IF(D36="","",VLOOKUP(D36,Calculations!U$8:V$107,2,))</f>
        <v>1002</v>
      </c>
      <c r="L36" s="140">
        <f>IF(E36="","",VLOOKUP(E36,Calculations!B$8:J$107,3,))</f>
        <v>47</v>
      </c>
      <c r="M36" s="140">
        <f>IF(F36="","",VLOOKUP(F36,Calculations!R$8:S$107,2,))</f>
        <v>2001</v>
      </c>
      <c r="N36" s="101"/>
    </row>
    <row r="37" spans="1:14" ht="19.95" customHeight="1" x14ac:dyDescent="0.25">
      <c r="A37" s="188"/>
      <c r="B37" s="190"/>
      <c r="D37" s="181" t="s">
        <v>81</v>
      </c>
      <c r="E37" s="182" t="s">
        <v>278</v>
      </c>
      <c r="F37" s="72" t="str">
        <f>IF(E37="","",VLOOKUP('Model 2'!E37,Calculations!B$8:H$107,4,FALSE))</f>
        <v>Material</v>
      </c>
      <c r="G37" s="179">
        <v>4</v>
      </c>
      <c r="H37" s="138" t="str">
        <f>IF(E37="","",VLOOKUP('Model 2'!E37,Calculations!B$8:H$107,6,FALSE))</f>
        <v>bags</v>
      </c>
      <c r="I37" s="71">
        <f>IF(E37="","",VLOOKUP('Model 2'!E37,Calculations!B$8:H$107,7,FALSE))</f>
        <v>1000</v>
      </c>
      <c r="J37" s="139">
        <f t="shared" si="1"/>
        <v>4000</v>
      </c>
      <c r="K37" s="140">
        <f>IF(D37="","",VLOOKUP(D37,Calculations!U$8:V$107,2,))</f>
        <v>1002</v>
      </c>
      <c r="L37" s="140">
        <f>IF(E37="","",VLOOKUP(E37,Calculations!B$8:J$107,3,))</f>
        <v>48</v>
      </c>
      <c r="M37" s="140">
        <f>IF(F37="","",VLOOKUP(F37,Calculations!R$8:S$107,2,))</f>
        <v>2001</v>
      </c>
      <c r="N37" s="101"/>
    </row>
    <row r="38" spans="1:14" ht="19.95" customHeight="1" x14ac:dyDescent="0.25">
      <c r="A38" s="188"/>
      <c r="B38" s="190"/>
      <c r="D38" s="181" t="s">
        <v>81</v>
      </c>
      <c r="E38" s="182" t="s">
        <v>279</v>
      </c>
      <c r="F38" s="72" t="str">
        <f>IF(E38="","",VLOOKUP('Model 2'!E38,Calculations!B$8:H$107,4,FALSE))</f>
        <v>Material</v>
      </c>
      <c r="G38" s="179">
        <v>16</v>
      </c>
      <c r="H38" s="138" t="str">
        <f>IF(E38="","",VLOOKUP('Model 2'!E38,Calculations!B$8:H$107,6,FALSE))</f>
        <v>wheelbarrows</v>
      </c>
      <c r="I38" s="71">
        <f>IF(E38="","",VLOOKUP('Model 2'!E38,Calculations!B$8:H$107,7,FALSE))</f>
        <v>100</v>
      </c>
      <c r="J38" s="139">
        <f t="shared" si="1"/>
        <v>1600</v>
      </c>
      <c r="K38" s="140">
        <f>IF(D38="","",VLOOKUP(D38,Calculations!U$8:V$107,2,))</f>
        <v>1002</v>
      </c>
      <c r="L38" s="140">
        <f>IF(E38="","",VLOOKUP(E38,Calculations!B$8:J$107,3,))</f>
        <v>49</v>
      </c>
      <c r="M38" s="140">
        <f>IF(F38="","",VLOOKUP(F38,Calculations!R$8:S$107,2,))</f>
        <v>2001</v>
      </c>
      <c r="N38" s="101"/>
    </row>
    <row r="39" spans="1:14" ht="19.95" customHeight="1" x14ac:dyDescent="0.25">
      <c r="A39" s="187"/>
      <c r="B39" s="190"/>
      <c r="D39" s="181" t="s">
        <v>81</v>
      </c>
      <c r="E39" s="182" t="s">
        <v>280</v>
      </c>
      <c r="F39" s="72" t="str">
        <f>IF(E39="","",VLOOKUP('Model 2'!E39,Calculations!B$8:H$107,4,FALSE))</f>
        <v>Material</v>
      </c>
      <c r="G39" s="179">
        <v>1</v>
      </c>
      <c r="H39" s="138" t="str">
        <f>IF(E39="","",VLOOKUP('Model 2'!E39,Calculations!B$8:H$107,6,FALSE))</f>
        <v>pieces</v>
      </c>
      <c r="I39" s="71">
        <f>IF(E39="","",VLOOKUP('Model 2'!E39,Calculations!B$8:H$107,7,FALSE))</f>
        <v>4300</v>
      </c>
      <c r="J39" s="139">
        <f t="shared" si="1"/>
        <v>4300</v>
      </c>
      <c r="K39" s="140">
        <f>IF(D39="","",VLOOKUP(D39,Calculations!U$8:V$107,2,))</f>
        <v>1002</v>
      </c>
      <c r="L39" s="140">
        <f>IF(E39="","",VLOOKUP(E39,Calculations!B$8:J$107,3,))</f>
        <v>50</v>
      </c>
      <c r="M39" s="140">
        <f>IF(F39="","",VLOOKUP(F39,Calculations!R$8:S$107,2,))</f>
        <v>2001</v>
      </c>
      <c r="N39" s="101"/>
    </row>
    <row r="40" spans="1:14" ht="19.95" customHeight="1" x14ac:dyDescent="0.25">
      <c r="A40" s="188"/>
      <c r="B40" s="190"/>
      <c r="D40" s="181" t="s">
        <v>81</v>
      </c>
      <c r="E40" s="182" t="s">
        <v>281</v>
      </c>
      <c r="F40" s="72" t="str">
        <f>IF(E40="","",VLOOKUP('Model 2'!E40,Calculations!B$8:H$107,4,FALSE))</f>
        <v>Material</v>
      </c>
      <c r="G40" s="179">
        <v>20</v>
      </c>
      <c r="H40" s="138" t="str">
        <f>IF(E40="","",VLOOKUP('Model 2'!E40,Calculations!B$8:H$107,6,FALSE))</f>
        <v>pieces</v>
      </c>
      <c r="I40" s="71">
        <f>IF(E40="","",VLOOKUP('Model 2'!E40,Calculations!B$8:H$107,7,FALSE))</f>
        <v>30</v>
      </c>
      <c r="J40" s="139">
        <f t="shared" si="1"/>
        <v>600</v>
      </c>
      <c r="K40" s="140">
        <f>IF(D40="","",VLOOKUP(D40,Calculations!U$8:V$107,2,))</f>
        <v>1002</v>
      </c>
      <c r="L40" s="140">
        <f>IF(E40="","",VLOOKUP(E40,Calculations!B$8:J$107,3,))</f>
        <v>51</v>
      </c>
      <c r="M40" s="140">
        <f>IF(F40="","",VLOOKUP(F40,Calculations!R$8:S$107,2,))</f>
        <v>2001</v>
      </c>
      <c r="N40" s="101"/>
    </row>
    <row r="41" spans="1:14" ht="19.95" customHeight="1" x14ac:dyDescent="0.25">
      <c r="A41" s="188"/>
      <c r="B41" s="190"/>
      <c r="D41" s="181" t="s">
        <v>81</v>
      </c>
      <c r="E41" s="182" t="s">
        <v>282</v>
      </c>
      <c r="F41" s="72" t="str">
        <f>IF(E41="","",VLOOKUP('Model 2'!E41,Calculations!B$8:H$107,4,FALSE))</f>
        <v>Material</v>
      </c>
      <c r="G41" s="179">
        <v>25</v>
      </c>
      <c r="H41" s="138" t="str">
        <f>IF(E41="","",VLOOKUP('Model 2'!E41,Calculations!B$8:H$107,6,FALSE))</f>
        <v>pieces</v>
      </c>
      <c r="I41" s="71">
        <f>IF(E41="","",VLOOKUP('Model 2'!E41,Calculations!B$8:H$107,7,FALSE))</f>
        <v>40</v>
      </c>
      <c r="J41" s="139">
        <f t="shared" si="1"/>
        <v>1000</v>
      </c>
      <c r="K41" s="140">
        <f>IF(D41="","",VLOOKUP(D41,Calculations!U$8:V$107,2,))</f>
        <v>1002</v>
      </c>
      <c r="L41" s="140">
        <f>IF(E41="","",VLOOKUP(E41,Calculations!B$8:J$107,3,))</f>
        <v>52</v>
      </c>
      <c r="M41" s="140">
        <f>IF(F41="","",VLOOKUP(F41,Calculations!R$8:S$107,2,))</f>
        <v>2001</v>
      </c>
      <c r="N41" s="101"/>
    </row>
    <row r="42" spans="1:14" ht="19.95" customHeight="1" x14ac:dyDescent="0.25">
      <c r="B42" s="190"/>
      <c r="D42" s="181" t="s">
        <v>81</v>
      </c>
      <c r="E42" s="182" t="s">
        <v>283</v>
      </c>
      <c r="F42" s="72" t="str">
        <f>IF(E42="","",VLOOKUP('Model 2'!E42,Calculations!B$8:H$107,4,FALSE))</f>
        <v>Material</v>
      </c>
      <c r="G42" s="179">
        <v>2</v>
      </c>
      <c r="H42" s="138" t="str">
        <f>IF(E42="","",VLOOKUP('Model 2'!E42,Calculations!B$8:H$107,6,FALSE))</f>
        <v>pieces</v>
      </c>
      <c r="I42" s="71">
        <f>IF(E42="","",VLOOKUP('Model 2'!E42,Calculations!B$8:H$107,7,FALSE))</f>
        <v>600</v>
      </c>
      <c r="J42" s="139">
        <f t="shared" si="1"/>
        <v>1200</v>
      </c>
      <c r="K42" s="140">
        <f>IF(D42="","",VLOOKUP(D42,Calculations!U$8:V$107,2,))</f>
        <v>1002</v>
      </c>
      <c r="L42" s="140">
        <f>IF(E42="","",VLOOKUP(E42,Calculations!B$8:J$107,3,))</f>
        <v>53</v>
      </c>
      <c r="M42" s="140">
        <f>IF(F42="","",VLOOKUP(F42,Calculations!R$8:S$107,2,))</f>
        <v>2001</v>
      </c>
      <c r="N42" s="101"/>
    </row>
    <row r="43" spans="1:14" ht="19.95" customHeight="1" x14ac:dyDescent="0.25">
      <c r="B43" s="190"/>
      <c r="D43" s="181" t="s">
        <v>81</v>
      </c>
      <c r="E43" s="182" t="s">
        <v>284</v>
      </c>
      <c r="F43" s="72" t="str">
        <f>IF(E43="","",VLOOKUP('Model 2'!E43,Calculations!B$8:H$107,4,FALSE))</f>
        <v>Material</v>
      </c>
      <c r="G43" s="179">
        <v>0.5</v>
      </c>
      <c r="H43" s="138" t="str">
        <f>IF(E43="","",VLOOKUP('Model 2'!E43,Calculations!B$8:H$107,6,FALSE))</f>
        <v>kg</v>
      </c>
      <c r="I43" s="71">
        <f>IF(E43="","",VLOOKUP('Model 2'!E43,Calculations!B$8:H$107,7,FALSE))</f>
        <v>200</v>
      </c>
      <c r="J43" s="139">
        <f t="shared" si="1"/>
        <v>100</v>
      </c>
      <c r="K43" s="140">
        <f>IF(D43="","",VLOOKUP(D43,Calculations!U$8:V$107,2,))</f>
        <v>1002</v>
      </c>
      <c r="L43" s="140">
        <f>IF(E43="","",VLOOKUP(E43,Calculations!B$8:J$107,3,))</f>
        <v>54</v>
      </c>
      <c r="M43" s="140">
        <f>IF(F43="","",VLOOKUP(F43,Calculations!R$8:S$107,2,))</f>
        <v>2001</v>
      </c>
      <c r="N43" s="101"/>
    </row>
    <row r="44" spans="1:14" ht="19.95" customHeight="1" x14ac:dyDescent="0.25">
      <c r="B44" s="190"/>
      <c r="D44" s="181" t="s">
        <v>81</v>
      </c>
      <c r="E44" s="182" t="s">
        <v>285</v>
      </c>
      <c r="F44" s="72" t="str">
        <f>IF(E44="","",VLOOKUP('Model 2'!E44,Calculations!B$8:H$107,4,FALSE))</f>
        <v>Material</v>
      </c>
      <c r="G44" s="179">
        <v>0.5</v>
      </c>
      <c r="H44" s="138" t="str">
        <f>IF(E44="","",VLOOKUP('Model 2'!E44,Calculations!B$8:H$107,6,FALSE))</f>
        <v>kg</v>
      </c>
      <c r="I44" s="71">
        <f>IF(E44="","",VLOOKUP('Model 2'!E44,Calculations!B$8:H$107,7,FALSE))</f>
        <v>130</v>
      </c>
      <c r="J44" s="139">
        <f t="shared" si="1"/>
        <v>65</v>
      </c>
      <c r="K44" s="140">
        <f>IF(D44="","",VLOOKUP(D44,Calculations!U$8:V$107,2,))</f>
        <v>1002</v>
      </c>
      <c r="L44" s="140">
        <f>IF(E44="","",VLOOKUP(E44,Calculations!B$8:J$107,3,))</f>
        <v>55</v>
      </c>
      <c r="M44" s="140">
        <f>IF(F44="","",VLOOKUP(F44,Calculations!R$8:S$107,2,))</f>
        <v>2001</v>
      </c>
      <c r="N44" s="101"/>
    </row>
    <row r="45" spans="1:14" ht="19.95" customHeight="1" x14ac:dyDescent="0.25">
      <c r="B45" s="190"/>
      <c r="D45" s="181"/>
      <c r="E45" s="182"/>
      <c r="F45" s="72" t="str">
        <f>IF(E45="","",VLOOKUP('Model 2'!E45,Calculations!B$8:H$107,4,FALSE))</f>
        <v/>
      </c>
      <c r="G45" s="179"/>
      <c r="H45" s="138" t="str">
        <f>IF(E45="","",VLOOKUP('Model 2'!E45,Calculations!B$8:H$107,6,FALSE))</f>
        <v/>
      </c>
      <c r="I45" s="71" t="str">
        <f>IF(E45="","",VLOOKUP('Model 2'!E45,Calculations!B$8:H$107,7,FALSE))</f>
        <v/>
      </c>
      <c r="J45" s="139" t="str">
        <f t="shared" si="1"/>
        <v/>
      </c>
      <c r="K45" s="140" t="str">
        <f>IF(D45="","",VLOOKUP(D45,Calculations!U$8:V$107,2,))</f>
        <v/>
      </c>
      <c r="L45" s="140" t="str">
        <f>IF(E45="","",VLOOKUP(E45,Calculations!B$8:J$107,3,))</f>
        <v/>
      </c>
      <c r="M45" s="140" t="str">
        <f>IF(F45="","",VLOOKUP(F45,Calculations!R$8:S$107,2,))</f>
        <v/>
      </c>
      <c r="N45" s="101"/>
    </row>
    <row r="46" spans="1:14" ht="19.95" customHeight="1" x14ac:dyDescent="0.25">
      <c r="B46" s="190"/>
      <c r="D46" s="181" t="s">
        <v>163</v>
      </c>
      <c r="E46" s="182" t="s">
        <v>286</v>
      </c>
      <c r="F46" s="72" t="str">
        <f>IF(E46="","",VLOOKUP('Model 2'!E46,Calculations!B$8:H$107,4,FALSE))</f>
        <v>Labour</v>
      </c>
      <c r="G46" s="179">
        <v>8</v>
      </c>
      <c r="H46" s="138" t="str">
        <f>IF(E46="","",VLOOKUP('Model 2'!E46,Calculations!B$8:H$107,6,FALSE))</f>
        <v>days</v>
      </c>
      <c r="I46" s="71">
        <f>IF(E46="","",VLOOKUP('Model 2'!E46,Calculations!B$8:H$107,7,FALSE))</f>
        <v>800</v>
      </c>
      <c r="J46" s="139">
        <f t="shared" si="1"/>
        <v>6400</v>
      </c>
      <c r="K46" s="140">
        <f>IF(D46="","",VLOOKUP(D46,Calculations!U$8:V$107,2,))</f>
        <v>1003</v>
      </c>
      <c r="L46" s="140">
        <f>IF(E46="","",VLOOKUP(E46,Calculations!B$8:J$107,3,))</f>
        <v>56</v>
      </c>
      <c r="M46" s="140">
        <f>IF(F46="","",VLOOKUP(F46,Calculations!R$8:S$107,2,))</f>
        <v>2003</v>
      </c>
      <c r="N46" s="101"/>
    </row>
    <row r="47" spans="1:14" ht="19.95" customHeight="1" x14ac:dyDescent="0.25">
      <c r="B47" s="190"/>
      <c r="D47" s="181" t="s">
        <v>163</v>
      </c>
      <c r="E47" s="182" t="s">
        <v>287</v>
      </c>
      <c r="F47" s="72" t="str">
        <f>IF(E47="","",VLOOKUP('Model 2'!E47,Calculations!B$8:H$107,4,FALSE))</f>
        <v>Labour</v>
      </c>
      <c r="G47" s="179">
        <v>10</v>
      </c>
      <c r="H47" s="138" t="str">
        <f>IF(E47="","",VLOOKUP('Model 2'!E47,Calculations!B$8:H$107,6,FALSE))</f>
        <v>days</v>
      </c>
      <c r="I47" s="71">
        <f>IF(E47="","",VLOOKUP('Model 2'!E47,Calculations!B$8:H$107,7,FALSE))</f>
        <v>350</v>
      </c>
      <c r="J47" s="139">
        <f t="shared" si="1"/>
        <v>3500</v>
      </c>
      <c r="K47" s="140">
        <f>IF(D47="","",VLOOKUP(D47,Calculations!U$8:V$107,2,))</f>
        <v>1003</v>
      </c>
      <c r="L47" s="140">
        <f>IF(E47="","",VLOOKUP(E47,Calculations!B$8:J$107,3,))</f>
        <v>57</v>
      </c>
      <c r="M47" s="140">
        <f>IF(F47="","",VLOOKUP(F47,Calculations!R$8:S$107,2,))</f>
        <v>2003</v>
      </c>
      <c r="N47" s="101"/>
    </row>
    <row r="48" spans="1:14" ht="19.95" customHeight="1" x14ac:dyDescent="0.25">
      <c r="A48" s="187"/>
      <c r="B48" s="190"/>
      <c r="D48" s="69"/>
      <c r="E48" s="70"/>
      <c r="F48" s="72" t="str">
        <f>IF(E48="","",VLOOKUP('Model 2'!E48,Calculations!B$8:H$107,4,FALSE))</f>
        <v/>
      </c>
      <c r="G48" s="100"/>
      <c r="H48" s="138" t="str">
        <f>IF(E48="","",VLOOKUP('Model 2'!E48,Calculations!B$8:H$107,6,FALSE))</f>
        <v/>
      </c>
      <c r="I48" s="71" t="str">
        <f>IF(E48="","",VLOOKUP('Model 2'!E48,Calculations!B$8:H$107,7,FALSE))</f>
        <v/>
      </c>
      <c r="J48" s="139" t="str">
        <f t="shared" si="1"/>
        <v/>
      </c>
      <c r="K48" s="140" t="str">
        <f>IF(D48="","",VLOOKUP(D48,Calculations!U$8:V$107,2,))</f>
        <v/>
      </c>
      <c r="L48" s="140" t="str">
        <f>IF(E48="","",VLOOKUP(E48,Calculations!B$8:J$107,3,))</f>
        <v/>
      </c>
      <c r="M48" s="140" t="str">
        <f>IF(F48="","",VLOOKUP(F48,Calculations!R$8:S$107,2,))</f>
        <v/>
      </c>
      <c r="N48" s="101"/>
    </row>
    <row r="49" spans="1:14" ht="19.95" customHeight="1" x14ac:dyDescent="0.25">
      <c r="A49" s="187"/>
      <c r="B49" s="190"/>
      <c r="D49" s="69"/>
      <c r="E49" s="70"/>
      <c r="F49" s="72" t="str">
        <f>IF(E49="","",VLOOKUP('Model 2'!E49,Calculations!B$8:H$107,4,FALSE))</f>
        <v/>
      </c>
      <c r="G49" s="100"/>
      <c r="H49" s="138" t="str">
        <f>IF(E49="","",VLOOKUP('Model 2'!E49,Calculations!B$8:H$107,6,FALSE))</f>
        <v/>
      </c>
      <c r="I49" s="71" t="str">
        <f>IF(E49="","",VLOOKUP('Model 2'!E49,Calculations!B$8:H$107,7,FALSE))</f>
        <v/>
      </c>
      <c r="J49" s="139" t="str">
        <f t="shared" si="1"/>
        <v/>
      </c>
      <c r="K49" s="140" t="str">
        <f>IF(D49="","",VLOOKUP(D49,Calculations!U$8:V$107,2,))</f>
        <v/>
      </c>
      <c r="L49" s="140" t="str">
        <f>IF(E49="","",VLOOKUP(E49,Calculations!B$8:J$107,3,))</f>
        <v/>
      </c>
      <c r="M49" s="140" t="str">
        <f>IF(F49="","",VLOOKUP(F49,Calculations!R$8:S$107,2,))</f>
        <v/>
      </c>
      <c r="N49" s="101"/>
    </row>
    <row r="50" spans="1:14" ht="19.95" customHeight="1" x14ac:dyDescent="0.25">
      <c r="A50" s="188"/>
      <c r="B50" s="190"/>
      <c r="D50" s="69"/>
      <c r="E50" s="70"/>
      <c r="F50" s="72" t="str">
        <f>IF(E50="","",VLOOKUP('Model 2'!E50,Calculations!B$8:H$107,4,FALSE))</f>
        <v/>
      </c>
      <c r="G50" s="100"/>
      <c r="H50" s="138" t="str">
        <f>IF(E50="","",VLOOKUP('Model 2'!E50,Calculations!B$8:H$107,6,FALSE))</f>
        <v/>
      </c>
      <c r="I50" s="71" t="str">
        <f>IF(E50="","",VLOOKUP('Model 2'!E50,Calculations!B$8:H$107,7,FALSE))</f>
        <v/>
      </c>
      <c r="J50" s="139" t="str">
        <f t="shared" si="1"/>
        <v/>
      </c>
      <c r="K50" s="140" t="str">
        <f>IF(D50="","",VLOOKUP(D50,Calculations!U$8:V$107,2,))</f>
        <v/>
      </c>
      <c r="L50" s="140" t="str">
        <f>IF(E50="","",VLOOKUP(E50,Calculations!B$8:J$107,3,))</f>
        <v/>
      </c>
      <c r="M50" s="140" t="str">
        <f>IF(F50="","",VLOOKUP(F50,Calculations!R$8:S$107,2,))</f>
        <v/>
      </c>
      <c r="N50" s="101"/>
    </row>
    <row r="51" spans="1:14" ht="19.95" customHeight="1" x14ac:dyDescent="0.25">
      <c r="A51" s="187"/>
      <c r="B51" s="190"/>
      <c r="D51" s="69"/>
      <c r="E51" s="70"/>
      <c r="F51" s="72" t="str">
        <f>IF(E51="","",VLOOKUP('Model 2'!E51,Calculations!B$8:H$107,4,FALSE))</f>
        <v/>
      </c>
      <c r="G51" s="100"/>
      <c r="H51" s="138" t="str">
        <f>IF(E51="","",VLOOKUP('Model 2'!E51,Calculations!B$8:H$107,6,FALSE))</f>
        <v/>
      </c>
      <c r="I51" s="71" t="str">
        <f>IF(E51="","",VLOOKUP('Model 2'!E51,Calculations!B$8:H$107,7,FALSE))</f>
        <v/>
      </c>
      <c r="J51" s="139" t="str">
        <f t="shared" si="1"/>
        <v/>
      </c>
      <c r="K51" s="140" t="str">
        <f>IF(D51="","",VLOOKUP(D51,Calculations!U$8:V$107,2,))</f>
        <v/>
      </c>
      <c r="L51" s="140" t="str">
        <f>IF(E51="","",VLOOKUP(E51,Calculations!B$8:J$107,3,))</f>
        <v/>
      </c>
      <c r="M51" s="140" t="str">
        <f>IF(F51="","",VLOOKUP(F51,Calculations!R$8:S$107,2,))</f>
        <v/>
      </c>
      <c r="N51" s="101"/>
    </row>
    <row r="52" spans="1:14" ht="19.95" customHeight="1" x14ac:dyDescent="0.25">
      <c r="A52" s="187"/>
      <c r="B52" s="190"/>
      <c r="D52" s="69"/>
      <c r="E52" s="70"/>
      <c r="F52" s="72" t="str">
        <f>IF(E52="","",VLOOKUP('Model 2'!E52,Calculations!B$8:H$107,4,FALSE))</f>
        <v/>
      </c>
      <c r="G52" s="100"/>
      <c r="H52" s="138" t="str">
        <f>IF(E52="","",VLOOKUP('Model 2'!E52,Calculations!B$8:H$107,6,FALSE))</f>
        <v/>
      </c>
      <c r="I52" s="71" t="str">
        <f>IF(E52="","",VLOOKUP('Model 2'!E52,Calculations!B$8:H$107,7,FALSE))</f>
        <v/>
      </c>
      <c r="J52" s="139" t="str">
        <f t="shared" si="1"/>
        <v/>
      </c>
      <c r="K52" s="140" t="str">
        <f>IF(D52="","",VLOOKUP(D52,Calculations!U$8:V$107,2,))</f>
        <v/>
      </c>
      <c r="L52" s="140" t="str">
        <f>IF(E52="","",VLOOKUP(E52,Calculations!B$8:J$107,3,))</f>
        <v/>
      </c>
      <c r="M52" s="140" t="str">
        <f>IF(F52="","",VLOOKUP(F52,Calculations!R$8:S$107,2,))</f>
        <v/>
      </c>
      <c r="N52" s="101"/>
    </row>
    <row r="53" spans="1:14" ht="19.95" customHeight="1" x14ac:dyDescent="0.25">
      <c r="A53" s="187"/>
      <c r="B53" s="190"/>
      <c r="D53" s="69"/>
      <c r="E53" s="70"/>
      <c r="F53" s="72" t="str">
        <f>IF(E53="","",VLOOKUP('Model 2'!E53,Calculations!B$8:H$107,4,FALSE))</f>
        <v/>
      </c>
      <c r="G53" s="100"/>
      <c r="H53" s="138" t="str">
        <f>IF(E53="","",VLOOKUP('Model 2'!E53,Calculations!B$8:H$107,6,FALSE))</f>
        <v/>
      </c>
      <c r="I53" s="71" t="str">
        <f>IF(E53="","",VLOOKUP('Model 2'!E53,Calculations!B$8:H$107,7,FALSE))</f>
        <v/>
      </c>
      <c r="J53" s="139" t="str">
        <f t="shared" si="1"/>
        <v/>
      </c>
      <c r="K53" s="140" t="str">
        <f>IF(D53="","",VLOOKUP(D53,Calculations!U$8:V$107,2,))</f>
        <v/>
      </c>
      <c r="L53" s="140" t="str">
        <f>IF(E53="","",VLOOKUP(E53,Calculations!B$8:J$107,3,))</f>
        <v/>
      </c>
      <c r="M53" s="140" t="str">
        <f>IF(F53="","",VLOOKUP(F53,Calculations!R$8:S$107,2,))</f>
        <v/>
      </c>
      <c r="N53" s="101"/>
    </row>
    <row r="54" spans="1:14" ht="19.95" customHeight="1" x14ac:dyDescent="0.25">
      <c r="A54" s="187"/>
      <c r="B54" s="190"/>
      <c r="D54" s="69"/>
      <c r="E54" s="70"/>
      <c r="F54" s="72" t="str">
        <f>IF(E54="","",VLOOKUP('Model 2'!E54,Calculations!B$8:H$107,4,FALSE))</f>
        <v/>
      </c>
      <c r="G54" s="100"/>
      <c r="H54" s="138" t="str">
        <f>IF(E54="","",VLOOKUP('Model 2'!E54,Calculations!B$8:H$107,6,FALSE))</f>
        <v/>
      </c>
      <c r="I54" s="71" t="str">
        <f>IF(E54="","",VLOOKUP('Model 2'!E54,Calculations!B$8:H$107,7,FALSE))</f>
        <v/>
      </c>
      <c r="J54" s="139" t="str">
        <f t="shared" si="1"/>
        <v/>
      </c>
      <c r="K54" s="140" t="str">
        <f>IF(D54="","",VLOOKUP(D54,Calculations!U$8:V$107,2,))</f>
        <v/>
      </c>
      <c r="L54" s="140" t="str">
        <f>IF(E54="","",VLOOKUP(E54,Calculations!B$8:J$107,3,))</f>
        <v/>
      </c>
      <c r="M54" s="140" t="str">
        <f>IF(F54="","",VLOOKUP(F54,Calculations!R$8:S$107,2,))</f>
        <v/>
      </c>
      <c r="N54" s="101"/>
    </row>
    <row r="55" spans="1:14" ht="19.95" customHeight="1" x14ac:dyDescent="0.25">
      <c r="A55" s="187"/>
      <c r="B55" s="190"/>
      <c r="D55" s="69"/>
      <c r="E55" s="70"/>
      <c r="F55" s="72" t="str">
        <f>IF(E55="","",VLOOKUP('Model 2'!E55,Calculations!B$8:H$107,4,FALSE))</f>
        <v/>
      </c>
      <c r="G55" s="100"/>
      <c r="H55" s="138" t="str">
        <f>IF(E55="","",VLOOKUP('Model 2'!E55,Calculations!B$8:H$107,6,FALSE))</f>
        <v/>
      </c>
      <c r="I55" s="71" t="str">
        <f>IF(E55="","",VLOOKUP('Model 2'!E55,Calculations!B$8:H$107,7,FALSE))</f>
        <v/>
      </c>
      <c r="J55" s="139" t="str">
        <f t="shared" si="1"/>
        <v/>
      </c>
      <c r="K55" s="140" t="str">
        <f>IF(D55="","",VLOOKUP(D55,Calculations!U$8:V$107,2,))</f>
        <v/>
      </c>
      <c r="L55" s="140" t="str">
        <f>IF(E55="","",VLOOKUP(E55,Calculations!B$8:J$107,3,))</f>
        <v/>
      </c>
      <c r="M55" s="140" t="str">
        <f>IF(F55="","",VLOOKUP(F55,Calculations!R$8:S$107,2,))</f>
        <v/>
      </c>
      <c r="N55" s="101"/>
    </row>
    <row r="56" spans="1:14" ht="19.95" customHeight="1" x14ac:dyDescent="0.25">
      <c r="A56" s="187"/>
      <c r="B56" s="190"/>
      <c r="D56" s="69"/>
      <c r="E56" s="70"/>
      <c r="F56" s="72" t="str">
        <f>IF(E56="","",VLOOKUP('Model 2'!E56,Calculations!B$8:H$107,4,FALSE))</f>
        <v/>
      </c>
      <c r="G56" s="100"/>
      <c r="H56" s="138" t="str">
        <f>IF(E56="","",VLOOKUP('Model 2'!E56,Calculations!B$8:H$107,6,FALSE))</f>
        <v/>
      </c>
      <c r="I56" s="71" t="str">
        <f>IF(E56="","",VLOOKUP('Model 2'!E56,Calculations!B$8:H$107,7,FALSE))</f>
        <v/>
      </c>
      <c r="J56" s="139" t="str">
        <f t="shared" si="1"/>
        <v/>
      </c>
      <c r="K56" s="140" t="str">
        <f>IF(D56="","",VLOOKUP(D56,Calculations!U$8:V$107,2,))</f>
        <v/>
      </c>
      <c r="L56" s="140" t="str">
        <f>IF(E56="","",VLOOKUP(E56,Calculations!B$8:J$107,3,))</f>
        <v/>
      </c>
      <c r="M56" s="140" t="str">
        <f>IF(F56="","",VLOOKUP(F56,Calculations!R$8:S$107,2,))</f>
        <v/>
      </c>
      <c r="N56" s="101"/>
    </row>
    <row r="57" spans="1:14" ht="19.95" customHeight="1" x14ac:dyDescent="0.25">
      <c r="A57" s="187"/>
      <c r="B57" s="190"/>
      <c r="D57" s="69"/>
      <c r="E57" s="70"/>
      <c r="F57" s="72" t="str">
        <f>IF(E57="","",VLOOKUP('Model 2'!E57,Calculations!B$8:H$107,4,FALSE))</f>
        <v/>
      </c>
      <c r="G57" s="100"/>
      <c r="H57" s="138" t="str">
        <f>IF(E57="","",VLOOKUP('Model 2'!E57,Calculations!B$8:H$107,6,FALSE))</f>
        <v/>
      </c>
      <c r="I57" s="71" t="str">
        <f>IF(E57="","",VLOOKUP('Model 2'!E57,Calculations!B$8:H$107,7,FALSE))</f>
        <v/>
      </c>
      <c r="J57" s="139" t="str">
        <f t="shared" si="1"/>
        <v/>
      </c>
      <c r="K57" s="140" t="str">
        <f>IF(D57="","",VLOOKUP(D57,Calculations!U$8:V$107,2,))</f>
        <v/>
      </c>
      <c r="L57" s="140" t="str">
        <f>IF(E57="","",VLOOKUP(E57,Calculations!B$8:J$107,3,))</f>
        <v/>
      </c>
      <c r="M57" s="140" t="str">
        <f>IF(F57="","",VLOOKUP(F57,Calculations!R$8:S$107,2,))</f>
        <v/>
      </c>
      <c r="N57" s="101"/>
    </row>
    <row r="58" spans="1:14" ht="19.95" customHeight="1" x14ac:dyDescent="0.25">
      <c r="A58" s="187"/>
      <c r="B58" s="190"/>
      <c r="D58" s="69"/>
      <c r="E58" s="70"/>
      <c r="F58" s="72" t="str">
        <f>IF(E58="","",VLOOKUP('Model 2'!E58,Calculations!B$8:H$107,4,FALSE))</f>
        <v/>
      </c>
      <c r="G58" s="100"/>
      <c r="H58" s="138" t="str">
        <f>IF(E58="","",VLOOKUP('Model 2'!E58,Calculations!B$8:H$107,6,FALSE))</f>
        <v/>
      </c>
      <c r="I58" s="71" t="str">
        <f>IF(E58="","",VLOOKUP('Model 2'!E58,Calculations!B$8:H$107,7,FALSE))</f>
        <v/>
      </c>
      <c r="J58" s="139" t="str">
        <f t="shared" si="1"/>
        <v/>
      </c>
      <c r="K58" s="140" t="str">
        <f>IF(D58="","",VLOOKUP(D58,Calculations!U$8:V$107,2,))</f>
        <v/>
      </c>
      <c r="L58" s="140" t="str">
        <f>IF(E58="","",VLOOKUP(E58,Calculations!B$8:J$107,3,))</f>
        <v/>
      </c>
      <c r="M58" s="140" t="str">
        <f>IF(F58="","",VLOOKUP(F58,Calculations!R$8:S$107,2,))</f>
        <v/>
      </c>
      <c r="N58" s="101"/>
    </row>
    <row r="59" spans="1:14" ht="19.95" customHeight="1" x14ac:dyDescent="0.25">
      <c r="A59" s="187"/>
      <c r="B59" s="190"/>
      <c r="D59" s="69"/>
      <c r="E59" s="70"/>
      <c r="F59" s="72" t="str">
        <f>IF(E59="","",VLOOKUP('Model 2'!E59,Calculations!B$8:H$107,4,FALSE))</f>
        <v/>
      </c>
      <c r="G59" s="100"/>
      <c r="H59" s="138" t="str">
        <f>IF(E59="","",VLOOKUP('Model 2'!E59,Calculations!B$8:H$107,6,FALSE))</f>
        <v/>
      </c>
      <c r="I59" s="71" t="str">
        <f>IF(E59="","",VLOOKUP('Model 2'!E59,Calculations!B$8:H$107,7,FALSE))</f>
        <v/>
      </c>
      <c r="J59" s="139" t="str">
        <f t="shared" si="1"/>
        <v/>
      </c>
      <c r="K59" s="140" t="str">
        <f>IF(D59="","",VLOOKUP(D59,Calculations!U$8:V$107,2,))</f>
        <v/>
      </c>
      <c r="L59" s="140" t="str">
        <f>IF(E59="","",VLOOKUP(E59,Calculations!B$8:J$107,3,))</f>
        <v/>
      </c>
      <c r="M59" s="140" t="str">
        <f>IF(F59="","",VLOOKUP(F59,Calculations!R$8:S$107,2,))</f>
        <v/>
      </c>
      <c r="N59" s="101"/>
    </row>
    <row r="60" spans="1:14" ht="19.95" customHeight="1" x14ac:dyDescent="0.25">
      <c r="A60" s="187"/>
      <c r="B60" s="190"/>
      <c r="D60" s="69"/>
      <c r="E60" s="70"/>
      <c r="F60" s="72" t="str">
        <f>IF(E60="","",VLOOKUP('Model 2'!E60,Calculations!B$8:H$107,4,FALSE))</f>
        <v/>
      </c>
      <c r="G60" s="100"/>
      <c r="H60" s="138" t="str">
        <f>IF(E60="","",VLOOKUP('Model 2'!E60,Calculations!B$8:H$107,6,FALSE))</f>
        <v/>
      </c>
      <c r="I60" s="71" t="str">
        <f>IF(E60="","",VLOOKUP('Model 2'!E60,Calculations!B$8:H$107,7,FALSE))</f>
        <v/>
      </c>
      <c r="J60" s="139" t="str">
        <f t="shared" si="1"/>
        <v/>
      </c>
      <c r="K60" s="140" t="str">
        <f>IF(D60="","",VLOOKUP(D60,Calculations!U$8:V$107,2,))</f>
        <v/>
      </c>
      <c r="L60" s="140" t="str">
        <f>IF(E60="","",VLOOKUP(E60,Calculations!B$8:J$107,3,))</f>
        <v/>
      </c>
      <c r="M60" s="140" t="str">
        <f>IF(F60="","",VLOOKUP(F60,Calculations!R$8:S$107,2,))</f>
        <v/>
      </c>
      <c r="N60" s="101"/>
    </row>
    <row r="61" spans="1:14" ht="19.95" customHeight="1" x14ac:dyDescent="0.25">
      <c r="A61" s="187"/>
      <c r="B61" s="190"/>
      <c r="D61" s="69"/>
      <c r="E61" s="70"/>
      <c r="F61" s="72" t="str">
        <f>IF(E61="","",VLOOKUP('Model 2'!E61,Calculations!B$8:H$107,4,FALSE))</f>
        <v/>
      </c>
      <c r="G61" s="100"/>
      <c r="H61" s="138" t="str">
        <f>IF(E61="","",VLOOKUP('Model 2'!E61,Calculations!B$8:H$107,6,FALSE))</f>
        <v/>
      </c>
      <c r="I61" s="71" t="str">
        <f>IF(E61="","",VLOOKUP('Model 2'!E61,Calculations!B$8:H$107,7,FALSE))</f>
        <v/>
      </c>
      <c r="J61" s="139" t="str">
        <f t="shared" si="1"/>
        <v/>
      </c>
      <c r="K61" s="140" t="str">
        <f>IF(D61="","",VLOOKUP(D61,Calculations!U$8:V$107,2,))</f>
        <v/>
      </c>
      <c r="L61" s="140" t="str">
        <f>IF(E61="","",VLOOKUP(E61,Calculations!B$8:J$107,3,))</f>
        <v/>
      </c>
      <c r="M61" s="140" t="str">
        <f>IF(F61="","",VLOOKUP(F61,Calculations!R$8:S$107,2,))</f>
        <v/>
      </c>
      <c r="N61" s="101"/>
    </row>
    <row r="62" spans="1:14" ht="19.95" customHeight="1" x14ac:dyDescent="0.25">
      <c r="A62" s="187"/>
      <c r="B62" s="190"/>
      <c r="D62" s="69"/>
      <c r="E62" s="70"/>
      <c r="F62" s="72" t="str">
        <f>IF(E62="","",VLOOKUP('Model 2'!E62,Calculations!B$8:H$107,4,FALSE))</f>
        <v/>
      </c>
      <c r="G62" s="100"/>
      <c r="H62" s="138" t="str">
        <f>IF(E62="","",VLOOKUP('Model 2'!E62,Calculations!B$8:H$107,6,FALSE))</f>
        <v/>
      </c>
      <c r="I62" s="71" t="str">
        <f>IF(E62="","",VLOOKUP('Model 2'!E62,Calculations!B$8:H$107,7,FALSE))</f>
        <v/>
      </c>
      <c r="J62" s="139" t="str">
        <f t="shared" si="1"/>
        <v/>
      </c>
      <c r="K62" s="140" t="str">
        <f>IF(D62="","",VLOOKUP(D62,Calculations!U$8:V$107,2,))</f>
        <v/>
      </c>
      <c r="L62" s="140" t="str">
        <f>IF(E62="","",VLOOKUP(E62,Calculations!B$8:J$107,3,))</f>
        <v/>
      </c>
      <c r="M62" s="140" t="str">
        <f>IF(F62="","",VLOOKUP(F62,Calculations!R$8:S$107,2,))</f>
        <v/>
      </c>
      <c r="N62" s="101"/>
    </row>
    <row r="63" spans="1:14" ht="19.95" customHeight="1" x14ac:dyDescent="0.25">
      <c r="A63" s="187"/>
      <c r="B63" s="190"/>
      <c r="D63" s="69"/>
      <c r="E63" s="70"/>
      <c r="F63" s="72" t="str">
        <f>IF(E63="","",VLOOKUP('Model 2'!E63,Calculations!B$8:H$107,4,FALSE))</f>
        <v/>
      </c>
      <c r="G63" s="100"/>
      <c r="H63" s="138" t="str">
        <f>IF(E63="","",VLOOKUP('Model 2'!E63,Calculations!B$8:H$107,6,FALSE))</f>
        <v/>
      </c>
      <c r="I63" s="71" t="str">
        <f>IF(E63="","",VLOOKUP('Model 2'!E63,Calculations!B$8:H$107,7,FALSE))</f>
        <v/>
      </c>
      <c r="J63" s="139" t="str">
        <f t="shared" si="1"/>
        <v/>
      </c>
      <c r="K63" s="140" t="str">
        <f>IF(D63="","",VLOOKUP(D63,Calculations!U$8:V$107,2,))</f>
        <v/>
      </c>
      <c r="L63" s="140" t="str">
        <f>IF(E63="","",VLOOKUP(E63,Calculations!B$8:J$107,3,))</f>
        <v/>
      </c>
      <c r="M63" s="140" t="str">
        <f>IF(F63="","",VLOOKUP(F63,Calculations!R$8:S$107,2,))</f>
        <v/>
      </c>
      <c r="N63" s="101"/>
    </row>
    <row r="64" spans="1:14" ht="19.95" customHeight="1" x14ac:dyDescent="0.25">
      <c r="A64" s="187"/>
      <c r="B64" s="190"/>
      <c r="D64" s="69"/>
      <c r="E64" s="70"/>
      <c r="F64" s="72" t="str">
        <f>IF(E64="","",VLOOKUP('Model 2'!E64,Calculations!B$8:H$107,4,FALSE))</f>
        <v/>
      </c>
      <c r="G64" s="100"/>
      <c r="H64" s="138" t="str">
        <f>IF(E64="","",VLOOKUP('Model 2'!E64,Calculations!B$8:H$107,6,FALSE))</f>
        <v/>
      </c>
      <c r="I64" s="71" t="str">
        <f>IF(E64="","",VLOOKUP('Model 2'!E64,Calculations!B$8:H$107,7,FALSE))</f>
        <v/>
      </c>
      <c r="J64" s="139" t="str">
        <f t="shared" si="1"/>
        <v/>
      </c>
      <c r="K64" s="140" t="str">
        <f>IF(D64="","",VLOOKUP(D64,Calculations!U$8:V$107,2,))</f>
        <v/>
      </c>
      <c r="L64" s="140" t="str">
        <f>IF(E64="","",VLOOKUP(E64,Calculations!B$8:J$107,3,))</f>
        <v/>
      </c>
      <c r="M64" s="140" t="str">
        <f>IF(F64="","",VLOOKUP(F64,Calculations!R$8:S$107,2,))</f>
        <v/>
      </c>
      <c r="N64" s="101"/>
    </row>
    <row r="65" spans="1:14" ht="19.95" customHeight="1" x14ac:dyDescent="0.25">
      <c r="A65" s="187"/>
      <c r="B65" s="190"/>
      <c r="D65" s="69"/>
      <c r="E65" s="70"/>
      <c r="F65" s="72" t="str">
        <f>IF(E65="","",VLOOKUP('Model 2'!E65,Calculations!B$8:H$107,4,FALSE))</f>
        <v/>
      </c>
      <c r="G65" s="100"/>
      <c r="H65" s="138" t="str">
        <f>IF(E65="","",VLOOKUP('Model 2'!E65,Calculations!B$8:H$107,6,FALSE))</f>
        <v/>
      </c>
      <c r="I65" s="71" t="str">
        <f>IF(E65="","",VLOOKUP('Model 2'!E65,Calculations!B$8:H$107,7,FALSE))</f>
        <v/>
      </c>
      <c r="J65" s="139" t="str">
        <f t="shared" si="1"/>
        <v/>
      </c>
      <c r="K65" s="140" t="str">
        <f>IF(D65="","",VLOOKUP(D65,Calculations!U$8:V$107,2,))</f>
        <v/>
      </c>
      <c r="L65" s="140" t="str">
        <f>IF(E65="","",VLOOKUP(E65,Calculations!B$8:J$107,3,))</f>
        <v/>
      </c>
      <c r="M65" s="140" t="str">
        <f>IF(F65="","",VLOOKUP(F65,Calculations!R$8:S$107,2,))</f>
        <v/>
      </c>
      <c r="N65" s="101"/>
    </row>
    <row r="66" spans="1:14" ht="19.95" customHeight="1" x14ac:dyDescent="0.25">
      <c r="A66" s="187"/>
      <c r="B66" s="190"/>
      <c r="D66" s="69"/>
      <c r="E66" s="70"/>
      <c r="F66" s="72" t="str">
        <f>IF(E66="","",VLOOKUP('Model 2'!E66,Calculations!B$8:H$107,4,FALSE))</f>
        <v/>
      </c>
      <c r="G66" s="100"/>
      <c r="H66" s="138" t="str">
        <f>IF(E66="","",VLOOKUP('Model 2'!E66,Calculations!B$8:H$107,6,FALSE))</f>
        <v/>
      </c>
      <c r="I66" s="71" t="str">
        <f>IF(E66="","",VLOOKUP('Model 2'!E66,Calculations!B$8:H$107,7,FALSE))</f>
        <v/>
      </c>
      <c r="J66" s="139" t="str">
        <f t="shared" si="1"/>
        <v/>
      </c>
      <c r="K66" s="140" t="str">
        <f>IF(D66="","",VLOOKUP(D66,Calculations!U$8:V$107,2,))</f>
        <v/>
      </c>
      <c r="L66" s="140" t="str">
        <f>IF(E66="","",VLOOKUP(E66,Calculations!B$8:J$107,3,))</f>
        <v/>
      </c>
      <c r="M66" s="140" t="str">
        <f>IF(F66="","",VLOOKUP(F66,Calculations!R$8:S$107,2,))</f>
        <v/>
      </c>
      <c r="N66" s="101"/>
    </row>
    <row r="67" spans="1:14" ht="19.95" customHeight="1" x14ac:dyDescent="0.25">
      <c r="A67" s="187"/>
      <c r="B67" s="190"/>
      <c r="D67" s="75"/>
      <c r="E67" s="77"/>
      <c r="F67" s="80" t="str">
        <f>IF(E67="","",VLOOKUP('Model 2'!E67,Calculations!B$8:H$107,4,FALSE))</f>
        <v/>
      </c>
      <c r="G67" s="102"/>
      <c r="H67" s="141" t="str">
        <f>IF(E67="","",VLOOKUP('Model 2'!E67,Calculations!B$8:H$107,6,FALSE))</f>
        <v/>
      </c>
      <c r="I67" s="79" t="str">
        <f>IF(E67="","",VLOOKUP('Model 2'!E67,Calculations!B$8:H$107,7,FALSE))</f>
        <v/>
      </c>
      <c r="J67" s="142" t="str">
        <f t="shared" si="0"/>
        <v/>
      </c>
      <c r="K67" s="143" t="str">
        <f>IF(D67="","",VLOOKUP(D67,Calculations!U$8:V$107,2,))</f>
        <v/>
      </c>
      <c r="L67" s="143" t="str">
        <f>IF(E67="","",VLOOKUP(E67,Calculations!B$8:J$107,3,))</f>
        <v/>
      </c>
      <c r="M67" s="143" t="str">
        <f>IF(F67="","",VLOOKUP(F67,Calculations!R$8:S$107,2,))</f>
        <v/>
      </c>
      <c r="N67" s="103"/>
    </row>
    <row r="68" spans="1:14" ht="30" customHeight="1" thickBot="1" x14ac:dyDescent="0.3">
      <c r="A68" s="187"/>
      <c r="B68" s="190"/>
      <c r="D68" s="144"/>
      <c r="E68" s="144"/>
      <c r="F68" s="144"/>
      <c r="G68" s="145"/>
      <c r="H68" s="146" t="s">
        <v>120</v>
      </c>
      <c r="I68" s="147"/>
      <c r="J68" s="148">
        <f>SUM(J18:J67)</f>
        <v>64705</v>
      </c>
      <c r="K68" s="144"/>
      <c r="L68" s="144"/>
      <c r="M68" s="144"/>
      <c r="N68" s="149" t="str">
        <f>IF(J17="","",J17)</f>
        <v>Kenya: Kenyan shilling (KES)</v>
      </c>
    </row>
    <row r="69" spans="1:14" x14ac:dyDescent="0.25">
      <c r="B69" s="190"/>
    </row>
    <row r="70" spans="1:14" x14ac:dyDescent="0.25">
      <c r="B70" s="190"/>
    </row>
    <row r="71" spans="1:14" x14ac:dyDescent="0.25">
      <c r="B71" s="190"/>
    </row>
    <row r="72" spans="1:14" x14ac:dyDescent="0.25">
      <c r="B72" s="190"/>
    </row>
    <row r="73" spans="1:14" x14ac:dyDescent="0.25">
      <c r="B73" s="190"/>
    </row>
    <row r="74" spans="1:14" x14ac:dyDescent="0.25">
      <c r="B74" s="190"/>
    </row>
    <row r="75" spans="1:14" x14ac:dyDescent="0.25">
      <c r="B75" s="190"/>
    </row>
    <row r="76" spans="1:14" x14ac:dyDescent="0.25">
      <c r="B76" s="190"/>
    </row>
    <row r="77" spans="1:14" x14ac:dyDescent="0.25">
      <c r="B77" s="190"/>
    </row>
    <row r="78" spans="1:14" x14ac:dyDescent="0.25">
      <c r="B78" s="190"/>
    </row>
    <row r="79" spans="1:14" x14ac:dyDescent="0.25">
      <c r="B79" s="190"/>
    </row>
    <row r="80" spans="1:14" x14ac:dyDescent="0.25">
      <c r="B80" s="190"/>
    </row>
    <row r="81" spans="2:2" x14ac:dyDescent="0.25">
      <c r="B81" s="190"/>
    </row>
    <row r="82" spans="2:2" x14ac:dyDescent="0.25">
      <c r="B82" s="190"/>
    </row>
    <row r="83" spans="2:2" x14ac:dyDescent="0.25">
      <c r="B83" s="190"/>
    </row>
    <row r="84" spans="2:2" x14ac:dyDescent="0.25">
      <c r="B84" s="190"/>
    </row>
    <row r="85" spans="2:2" x14ac:dyDescent="0.25">
      <c r="B85" s="190"/>
    </row>
    <row r="86" spans="2:2" x14ac:dyDescent="0.25">
      <c r="B86" s="190"/>
    </row>
    <row r="87" spans="2:2" x14ac:dyDescent="0.25">
      <c r="B87" s="190"/>
    </row>
    <row r="88" spans="2:2" x14ac:dyDescent="0.25">
      <c r="B88" s="190"/>
    </row>
    <row r="89" spans="2:2" x14ac:dyDescent="0.25">
      <c r="B89" s="190"/>
    </row>
    <row r="90" spans="2:2" x14ac:dyDescent="0.25">
      <c r="B90" s="190"/>
    </row>
    <row r="91" spans="2:2" x14ac:dyDescent="0.25">
      <c r="B91" s="190"/>
    </row>
    <row r="92" spans="2:2" x14ac:dyDescent="0.25">
      <c r="B92" s="190"/>
    </row>
    <row r="93" spans="2:2" x14ac:dyDescent="0.25">
      <c r="B93" s="190"/>
    </row>
    <row r="94" spans="2:2" x14ac:dyDescent="0.25">
      <c r="B94" s="190"/>
    </row>
    <row r="95" spans="2:2" x14ac:dyDescent="0.25">
      <c r="B95" s="190"/>
    </row>
    <row r="96" spans="2:2" x14ac:dyDescent="0.25">
      <c r="B96" s="190"/>
    </row>
    <row r="97" spans="2:2" x14ac:dyDescent="0.25">
      <c r="B97" s="190"/>
    </row>
    <row r="98" spans="2:2" x14ac:dyDescent="0.25">
      <c r="B98" s="190"/>
    </row>
    <row r="99" spans="2:2" x14ac:dyDescent="0.25">
      <c r="B99" s="190"/>
    </row>
    <row r="100" spans="2:2" x14ac:dyDescent="0.25">
      <c r="B100" s="190"/>
    </row>
    <row r="101" spans="2:2" x14ac:dyDescent="0.25">
      <c r="B101" s="190"/>
    </row>
    <row r="102" spans="2:2" x14ac:dyDescent="0.25">
      <c r="B102" s="190"/>
    </row>
    <row r="103" spans="2:2" x14ac:dyDescent="0.25">
      <c r="B103" s="190"/>
    </row>
    <row r="104" spans="2:2" x14ac:dyDescent="0.25">
      <c r="B104" s="190"/>
    </row>
    <row r="105" spans="2:2" x14ac:dyDescent="0.25">
      <c r="B105" s="190"/>
    </row>
    <row r="106" spans="2:2" x14ac:dyDescent="0.25">
      <c r="B106" s="190"/>
    </row>
    <row r="107" spans="2:2" x14ac:dyDescent="0.25">
      <c r="B107" s="190"/>
    </row>
    <row r="108" spans="2:2" x14ac:dyDescent="0.25">
      <c r="B108" s="190"/>
    </row>
    <row r="109" spans="2:2" x14ac:dyDescent="0.25">
      <c r="B109" s="190"/>
    </row>
    <row r="110" spans="2:2" x14ac:dyDescent="0.25">
      <c r="B110" s="190"/>
    </row>
    <row r="111" spans="2:2" x14ac:dyDescent="0.25">
      <c r="B111" s="190"/>
    </row>
    <row r="112" spans="2:2" x14ac:dyDescent="0.25">
      <c r="B112" s="190"/>
    </row>
    <row r="113" spans="2:2" x14ac:dyDescent="0.25">
      <c r="B113" s="190"/>
    </row>
    <row r="114" spans="2:2" x14ac:dyDescent="0.25">
      <c r="B114" s="190"/>
    </row>
    <row r="115" spans="2:2" x14ac:dyDescent="0.25">
      <c r="B115" s="190"/>
    </row>
    <row r="116" spans="2:2" x14ac:dyDescent="0.25">
      <c r="B116" s="190"/>
    </row>
    <row r="117" spans="2:2" x14ac:dyDescent="0.25">
      <c r="B117" s="190"/>
    </row>
    <row r="118" spans="2:2" x14ac:dyDescent="0.25">
      <c r="B118" s="190"/>
    </row>
    <row r="119" spans="2:2" x14ac:dyDescent="0.25">
      <c r="B119" s="190"/>
    </row>
  </sheetData>
  <sheetProtection password="CC3D" sheet="1" objects="1" scenarios="1"/>
  <mergeCells count="5">
    <mergeCell ref="D6:E6"/>
    <mergeCell ref="G10:J10"/>
    <mergeCell ref="G11:I13"/>
    <mergeCell ref="D15:J15"/>
    <mergeCell ref="D2:F2"/>
  </mergeCells>
  <dataValidations count="5">
    <dataValidation type="list" allowBlank="1" showInputMessage="1" showErrorMessage="1" error="This is a dropdown list. Please select a component!" prompt="Please select a component from the dropdown list!" sqref="D18:D67">
      <formula1>ComponentsListIndex</formula1>
    </dataValidation>
    <dataValidation type="list" errorStyle="information" allowBlank="1" showInputMessage="1" showErrorMessage="1" error="This is a dropdown list. Please select a country!" prompt="Please select a country from the dropdown list!" sqref="E9">
      <formula1>CountriesListIndex</formula1>
    </dataValidation>
    <dataValidation type="date" allowBlank="1" showInputMessage="1" showErrorMessage="1" error="Please enter a date between 01.01.1900 and 01.01.2100!" sqref="E11:F11">
      <formula1>1</formula1>
      <formula2>73051</formula2>
    </dataValidation>
    <dataValidation type="list" allowBlank="1" showInputMessage="1" showErrorMessage="1" error="This is a dropdown list. Please select an item!" prompt="Please select an item from the dropdown list!" sqref="E18:E67">
      <formula1>ItemListIndex</formula1>
    </dataValidation>
    <dataValidation type="decimal" operator="greaterThanOrEqual" allowBlank="1" showInputMessage="1" showErrorMessage="1" error="Please enter a number that is greater than or equal to zero." sqref="G18:G67">
      <formula1>0</formula1>
    </dataValidation>
  </dataValidations>
  <hyperlinks>
    <hyperlink ref="E12" r:id="rId1"/>
  </hyperlinks>
  <printOptions horizontalCentered="1" verticalCentered="1"/>
  <pageMargins left="0.70866141732283472" right="0.70866141732283472" top="0.78740157480314965" bottom="0.78740157480314965" header="0.31496062992125984" footer="0.31496062992125984"/>
  <headerFooter>
    <oddFooter>&amp;C&amp;D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80"/>
  <sheetViews>
    <sheetView workbookViewId="0">
      <selection activeCell="D2" sqref="D2"/>
    </sheetView>
  </sheetViews>
  <sheetFormatPr defaultColWidth="11.296875" defaultRowHeight="13.2" x14ac:dyDescent="0.25"/>
  <cols>
    <col min="1" max="1" width="7" style="14" customWidth="1"/>
    <col min="2" max="2" width="0.59765625" style="35" customWidth="1"/>
    <col min="3" max="3" width="4.3984375" style="35" customWidth="1"/>
    <col min="4" max="4" width="83" style="35" customWidth="1"/>
    <col min="5" max="5" width="46.59765625" style="35" customWidth="1"/>
    <col min="6" max="16384" width="11.296875" style="35"/>
  </cols>
  <sheetData>
    <row r="1" spans="1:5" ht="21" customHeight="1" x14ac:dyDescent="0.25">
      <c r="A1" s="35"/>
      <c r="B1" s="190"/>
      <c r="D1" s="184"/>
      <c r="E1" s="184"/>
    </row>
    <row r="2" spans="1:5" s="55" customFormat="1" ht="49.95" customHeight="1" x14ac:dyDescent="0.25">
      <c r="A2" s="14"/>
      <c r="B2" s="190"/>
      <c r="C2" s="54"/>
      <c r="D2" s="189" t="str">
        <f ca="1">ReadMe!$D$2&amp;": "&amp;Calculations!P32</f>
        <v>Sanitation Costing Tool: Comparison</v>
      </c>
    </row>
    <row r="3" spans="1:5" s="38" customFormat="1" ht="16.95" customHeight="1" x14ac:dyDescent="0.25">
      <c r="A3" s="14"/>
      <c r="B3" s="190"/>
      <c r="C3" s="37"/>
    </row>
    <row r="4" spans="1:5" s="38" customFormat="1" ht="4.05" customHeight="1" x14ac:dyDescent="0.25">
      <c r="A4" s="190"/>
      <c r="B4" s="190"/>
      <c r="C4" s="190"/>
      <c r="D4" s="190"/>
      <c r="E4" s="190"/>
    </row>
    <row r="5" spans="1:5" ht="22.05" customHeight="1" x14ac:dyDescent="0.25">
      <c r="A5" s="190"/>
      <c r="B5" s="190"/>
    </row>
    <row r="6" spans="1:5" ht="25.05" customHeight="1" x14ac:dyDescent="0.25">
      <c r="A6" s="190"/>
      <c r="B6" s="190"/>
      <c r="D6" s="269" t="str">
        <f>"Currency: "&amp;'Item Prices &amp; Rates'!I19</f>
        <v>Currency: Kenya: Kenyan shilling (KES)</v>
      </c>
      <c r="E6" s="269"/>
    </row>
    <row r="7" spans="1:5" ht="15" customHeight="1" x14ac:dyDescent="0.25">
      <c r="B7" s="190"/>
    </row>
    <row r="8" spans="1:5" s="47" customFormat="1" ht="25.05" customHeight="1" x14ac:dyDescent="0.25">
      <c r="A8" s="187"/>
      <c r="B8" s="190"/>
      <c r="D8" s="245" t="str">
        <f>'Dropdown Lists'!H13</f>
        <v>Item Category</v>
      </c>
      <c r="E8" s="247"/>
    </row>
    <row r="9" spans="1:5" x14ac:dyDescent="0.25">
      <c r="A9" s="186"/>
      <c r="B9" s="190"/>
    </row>
    <row r="10" spans="1:5" x14ac:dyDescent="0.25">
      <c r="A10" s="187"/>
      <c r="B10" s="190"/>
    </row>
    <row r="11" spans="1:5" x14ac:dyDescent="0.25">
      <c r="A11" s="187"/>
      <c r="B11" s="190"/>
    </row>
    <row r="12" spans="1:5" x14ac:dyDescent="0.25">
      <c r="A12" s="187"/>
      <c r="B12" s="190"/>
    </row>
    <row r="13" spans="1:5" x14ac:dyDescent="0.25">
      <c r="A13" s="187"/>
      <c r="B13" s="190"/>
    </row>
    <row r="14" spans="1:5" x14ac:dyDescent="0.25">
      <c r="A14" s="187"/>
      <c r="B14" s="190"/>
    </row>
    <row r="15" spans="1:5" x14ac:dyDescent="0.25">
      <c r="A15" s="187"/>
      <c r="B15" s="190"/>
    </row>
    <row r="16" spans="1:5" x14ac:dyDescent="0.25">
      <c r="A16" s="187"/>
      <c r="B16" s="190"/>
    </row>
    <row r="17" spans="1:2" x14ac:dyDescent="0.25">
      <c r="B17" s="190"/>
    </row>
    <row r="18" spans="1:2" x14ac:dyDescent="0.25">
      <c r="B18" s="190"/>
    </row>
    <row r="19" spans="1:2" x14ac:dyDescent="0.25">
      <c r="A19" s="187"/>
      <c r="B19" s="190"/>
    </row>
    <row r="20" spans="1:2" x14ac:dyDescent="0.25">
      <c r="A20" s="187"/>
      <c r="B20" s="190"/>
    </row>
    <row r="21" spans="1:2" x14ac:dyDescent="0.25">
      <c r="A21" s="187"/>
      <c r="B21" s="190"/>
    </row>
    <row r="22" spans="1:2" x14ac:dyDescent="0.25">
      <c r="B22" s="190"/>
    </row>
    <row r="23" spans="1:2" x14ac:dyDescent="0.25">
      <c r="B23" s="190"/>
    </row>
    <row r="24" spans="1:2" x14ac:dyDescent="0.25">
      <c r="A24" s="187"/>
      <c r="B24" s="190"/>
    </row>
    <row r="25" spans="1:2" x14ac:dyDescent="0.25">
      <c r="B25" s="190"/>
    </row>
    <row r="26" spans="1:2" x14ac:dyDescent="0.25">
      <c r="B26" s="190"/>
    </row>
    <row r="27" spans="1:2" x14ac:dyDescent="0.25">
      <c r="B27" s="190"/>
    </row>
    <row r="28" spans="1:2" x14ac:dyDescent="0.25">
      <c r="B28" s="190"/>
    </row>
    <row r="29" spans="1:2" x14ac:dyDescent="0.25">
      <c r="B29" s="190"/>
    </row>
    <row r="30" spans="1:2" x14ac:dyDescent="0.25">
      <c r="B30" s="190"/>
    </row>
    <row r="31" spans="1:2" x14ac:dyDescent="0.25">
      <c r="A31" s="187"/>
      <c r="B31" s="190"/>
    </row>
    <row r="32" spans="1:2" x14ac:dyDescent="0.25">
      <c r="A32" s="187"/>
      <c r="B32" s="190"/>
    </row>
    <row r="33" spans="1:5" x14ac:dyDescent="0.25">
      <c r="A33" s="187"/>
      <c r="B33" s="190"/>
    </row>
    <row r="34" spans="1:5" x14ac:dyDescent="0.25">
      <c r="A34" s="188"/>
      <c r="B34" s="190"/>
    </row>
    <row r="35" spans="1:5" x14ac:dyDescent="0.25">
      <c r="A35" s="188"/>
      <c r="B35" s="190"/>
    </row>
    <row r="36" spans="1:5" x14ac:dyDescent="0.25">
      <c r="A36" s="188"/>
      <c r="B36" s="190"/>
    </row>
    <row r="37" spans="1:5" x14ac:dyDescent="0.25">
      <c r="A37" s="188"/>
      <c r="B37" s="190"/>
    </row>
    <row r="38" spans="1:5" x14ac:dyDescent="0.25">
      <c r="A38" s="188"/>
      <c r="B38" s="190"/>
    </row>
    <row r="39" spans="1:5" x14ac:dyDescent="0.25">
      <c r="A39" s="187"/>
      <c r="B39" s="190"/>
    </row>
    <row r="40" spans="1:5" x14ac:dyDescent="0.25">
      <c r="A40" s="188"/>
      <c r="B40" s="190"/>
    </row>
    <row r="41" spans="1:5" x14ac:dyDescent="0.25">
      <c r="A41" s="188"/>
      <c r="B41" s="190"/>
    </row>
    <row r="42" spans="1:5" x14ac:dyDescent="0.25">
      <c r="B42" s="190"/>
    </row>
    <row r="43" spans="1:5" x14ac:dyDescent="0.25">
      <c r="B43" s="190"/>
    </row>
    <row r="44" spans="1:5" x14ac:dyDescent="0.25">
      <c r="B44" s="190"/>
    </row>
    <row r="45" spans="1:5" x14ac:dyDescent="0.25">
      <c r="B45" s="190"/>
    </row>
    <row r="46" spans="1:5" s="47" customFormat="1" ht="25.05" customHeight="1" x14ac:dyDescent="0.25">
      <c r="A46" s="14"/>
      <c r="B46" s="190"/>
      <c r="D46" s="245" t="str">
        <f>'Dropdown Lists'!L13</f>
        <v>Component (Element)</v>
      </c>
      <c r="E46" s="247"/>
    </row>
    <row r="47" spans="1:5" x14ac:dyDescent="0.25">
      <c r="B47" s="190"/>
    </row>
    <row r="48" spans="1:5" x14ac:dyDescent="0.25">
      <c r="A48" s="187"/>
      <c r="B48" s="190"/>
    </row>
    <row r="49" spans="1:2" x14ac:dyDescent="0.25">
      <c r="A49" s="187"/>
      <c r="B49" s="190"/>
    </row>
    <row r="50" spans="1:2" x14ac:dyDescent="0.25">
      <c r="A50" s="188"/>
      <c r="B50" s="190"/>
    </row>
    <row r="51" spans="1:2" x14ac:dyDescent="0.25">
      <c r="A51" s="187"/>
      <c r="B51" s="190"/>
    </row>
    <row r="52" spans="1:2" x14ac:dyDescent="0.25">
      <c r="A52" s="187"/>
      <c r="B52" s="190"/>
    </row>
    <row r="53" spans="1:2" x14ac:dyDescent="0.25">
      <c r="A53" s="187"/>
      <c r="B53" s="190"/>
    </row>
    <row r="54" spans="1:2" x14ac:dyDescent="0.25">
      <c r="A54" s="187"/>
      <c r="B54" s="190"/>
    </row>
    <row r="55" spans="1:2" x14ac:dyDescent="0.25">
      <c r="A55" s="187"/>
      <c r="B55" s="190"/>
    </row>
    <row r="56" spans="1:2" x14ac:dyDescent="0.25">
      <c r="A56" s="187"/>
      <c r="B56" s="190"/>
    </row>
    <row r="57" spans="1:2" x14ac:dyDescent="0.25">
      <c r="A57" s="187"/>
      <c r="B57" s="190"/>
    </row>
    <row r="58" spans="1:2" x14ac:dyDescent="0.25">
      <c r="A58" s="187"/>
      <c r="B58" s="190"/>
    </row>
    <row r="59" spans="1:2" x14ac:dyDescent="0.25">
      <c r="A59" s="187"/>
      <c r="B59" s="190"/>
    </row>
    <row r="60" spans="1:2" x14ac:dyDescent="0.25">
      <c r="A60" s="187"/>
      <c r="B60" s="190"/>
    </row>
    <row r="61" spans="1:2" x14ac:dyDescent="0.25">
      <c r="A61" s="187"/>
      <c r="B61" s="190"/>
    </row>
    <row r="62" spans="1:2" x14ac:dyDescent="0.25">
      <c r="A62" s="187"/>
      <c r="B62" s="190"/>
    </row>
    <row r="63" spans="1:2" x14ac:dyDescent="0.25">
      <c r="A63" s="187"/>
      <c r="B63" s="190"/>
    </row>
    <row r="64" spans="1:2" x14ac:dyDescent="0.25">
      <c r="A64" s="187"/>
      <c r="B64" s="190"/>
    </row>
    <row r="65" spans="1:2" x14ac:dyDescent="0.25">
      <c r="A65" s="187"/>
      <c r="B65" s="190"/>
    </row>
    <row r="66" spans="1:2" x14ac:dyDescent="0.25">
      <c r="A66" s="187"/>
      <c r="B66" s="190"/>
    </row>
    <row r="67" spans="1:2" x14ac:dyDescent="0.25">
      <c r="A67" s="187"/>
      <c r="B67" s="190"/>
    </row>
    <row r="68" spans="1:2" x14ac:dyDescent="0.25">
      <c r="A68" s="187"/>
      <c r="B68" s="190"/>
    </row>
    <row r="69" spans="1:2" x14ac:dyDescent="0.25">
      <c r="B69" s="190"/>
    </row>
    <row r="70" spans="1:2" x14ac:dyDescent="0.25">
      <c r="B70" s="190"/>
    </row>
    <row r="71" spans="1:2" x14ac:dyDescent="0.25">
      <c r="B71" s="190"/>
    </row>
    <row r="72" spans="1:2" x14ac:dyDescent="0.25">
      <c r="B72" s="190"/>
    </row>
    <row r="73" spans="1:2" x14ac:dyDescent="0.25">
      <c r="B73" s="190"/>
    </row>
    <row r="74" spans="1:2" x14ac:dyDescent="0.25">
      <c r="B74" s="190"/>
    </row>
    <row r="75" spans="1:2" x14ac:dyDescent="0.25">
      <c r="B75" s="190"/>
    </row>
    <row r="76" spans="1:2" x14ac:dyDescent="0.25">
      <c r="B76" s="190"/>
    </row>
    <row r="77" spans="1:2" x14ac:dyDescent="0.25">
      <c r="B77" s="190"/>
    </row>
    <row r="78" spans="1:2" x14ac:dyDescent="0.25">
      <c r="B78" s="190"/>
    </row>
    <row r="79" spans="1:2" x14ac:dyDescent="0.25">
      <c r="B79" s="190"/>
    </row>
    <row r="80" spans="1:2" x14ac:dyDescent="0.25">
      <c r="B80" s="190"/>
    </row>
  </sheetData>
  <sheetProtection password="CC3D" sheet="1" objects="1" scenarios="1"/>
  <mergeCells count="3">
    <mergeCell ref="D6:E6"/>
    <mergeCell ref="D8:E8"/>
    <mergeCell ref="D46:E46"/>
  </mergeCells>
  <printOptions horizontalCentered="1" verticalCentered="1"/>
  <pageMargins left="0.70866141732283472" right="0.70866141732283472" top="0.78740157480314965" bottom="0.78740157480314965" header="0.31496062992125984" footer="0.31496062992125984"/>
  <headerFooter>
    <oddFooter>&amp;C&amp;D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B107"/>
  <sheetViews>
    <sheetView workbookViewId="0">
      <selection activeCell="L24" sqref="L24"/>
    </sheetView>
  </sheetViews>
  <sheetFormatPr defaultColWidth="11.296875" defaultRowHeight="13.8" x14ac:dyDescent="0.25"/>
  <cols>
    <col min="1" max="1" width="2.59765625" style="35" customWidth="1"/>
    <col min="2" max="2" width="49.3984375" style="35" bestFit="1" customWidth="1"/>
    <col min="3" max="3" width="2.59765625" style="35" customWidth="1"/>
    <col min="4" max="4" width="2.69921875" style="35" bestFit="1" customWidth="1"/>
    <col min="5" max="5" width="10.09765625" style="35" bestFit="1" customWidth="1"/>
    <col min="6" max="6" width="15.3984375" style="35" bestFit="1" customWidth="1"/>
    <col min="7" max="7" width="10.59765625" style="35" customWidth="1"/>
    <col min="8" max="8" width="14" style="35" bestFit="1" customWidth="1"/>
    <col min="9" max="9" width="2.59765625" style="35" customWidth="1"/>
    <col min="10" max="10" width="4.3984375" style="35" bestFit="1" customWidth="1"/>
    <col min="11" max="11" width="12.3984375" style="35" bestFit="1" customWidth="1"/>
    <col min="12" max="12" width="19.8984375" style="35" customWidth="1"/>
    <col min="13" max="13" width="10.59765625" style="35" customWidth="1"/>
    <col min="14" max="14" width="14" style="4" bestFit="1" customWidth="1"/>
    <col min="15" max="15" width="2.59765625" style="35" customWidth="1"/>
    <col min="16" max="16" width="53.09765625" style="35" bestFit="1" customWidth="1"/>
    <col min="17" max="17" width="2.59765625" style="35" customWidth="1"/>
    <col min="18" max="19" width="16.59765625" style="35" customWidth="1"/>
    <col min="20" max="20" width="2.59765625" style="35" customWidth="1"/>
    <col min="21" max="21" width="18.296875" style="35" bestFit="1" customWidth="1"/>
    <col min="22" max="22" width="20.3984375" style="35" bestFit="1" customWidth="1"/>
    <col min="23" max="23" width="2.59765625" style="35" customWidth="1"/>
    <col min="24" max="24" width="12" style="26" bestFit="1" customWidth="1"/>
    <col min="25" max="25" width="18.296875" style="26" bestFit="1" customWidth="1"/>
    <col min="26" max="26" width="2.59765625" style="1" customWidth="1"/>
    <col min="27" max="27" width="12" style="26" bestFit="1" customWidth="1"/>
    <col min="28" max="28" width="18.296875" style="26" bestFit="1" customWidth="1"/>
    <col min="29" max="16384" width="11.296875" style="35"/>
  </cols>
  <sheetData>
    <row r="2" spans="2:28" s="53" customFormat="1" ht="30" customHeight="1" x14ac:dyDescent="0.25">
      <c r="B2" s="210" t="s">
        <v>292</v>
      </c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1"/>
      <c r="O2" s="50"/>
      <c r="P2" s="50"/>
      <c r="Q2" s="50"/>
      <c r="R2" s="50"/>
      <c r="S2" s="50"/>
      <c r="T2" s="50"/>
      <c r="U2" s="50"/>
      <c r="V2" s="50"/>
      <c r="W2" s="50"/>
      <c r="X2" s="51"/>
      <c r="Y2" s="51"/>
      <c r="Z2" s="50"/>
      <c r="AA2" s="51"/>
      <c r="AB2" s="52"/>
    </row>
    <row r="3" spans="2:28" s="14" customFormat="1" ht="13.2" x14ac:dyDescent="0.25">
      <c r="B3" s="17"/>
      <c r="C3" s="17"/>
      <c r="D3" s="17"/>
      <c r="E3" s="17"/>
      <c r="F3" s="17"/>
      <c r="G3" s="17"/>
      <c r="H3" s="17"/>
      <c r="N3" s="18"/>
      <c r="X3" s="270" t="s">
        <v>111</v>
      </c>
      <c r="Y3" s="270"/>
      <c r="Z3" s="270"/>
      <c r="AA3" s="270"/>
      <c r="AB3" s="270"/>
    </row>
    <row r="4" spans="2:28" s="104" customFormat="1" ht="13.2" x14ac:dyDescent="0.25">
      <c r="B4" s="104" t="s">
        <v>100</v>
      </c>
      <c r="D4" s="271" t="s">
        <v>103</v>
      </c>
      <c r="E4" s="271"/>
      <c r="F4" s="271"/>
      <c r="G4" s="271"/>
      <c r="H4" s="271"/>
      <c r="J4" s="271" t="s">
        <v>99</v>
      </c>
      <c r="K4" s="271"/>
      <c r="L4" s="271"/>
      <c r="M4" s="271"/>
      <c r="N4" s="271"/>
      <c r="P4" s="13" t="s">
        <v>98</v>
      </c>
      <c r="Q4" s="15"/>
      <c r="R4" s="271" t="s">
        <v>101</v>
      </c>
      <c r="S4" s="271"/>
      <c r="U4" s="271" t="s">
        <v>102</v>
      </c>
      <c r="V4" s="271"/>
      <c r="X4" s="271" t="str">
        <f ca="1">RIGHT(CELL("filename",'Model 1'!D6:E6),LEN(CELL("filename",'Model 1'!D6:E6))-FIND("]",CELL("filename",'Model 1'!D6:E6)))</f>
        <v>Model 1</v>
      </c>
      <c r="Y4" s="271"/>
      <c r="AA4" s="271" t="str">
        <f ca="1">RIGHT(CELL("filename",'Model 2'!D16:H16),LEN(CELL("filename",'Model 2'!D16:H16))-FIND("]",CELL("filename",'Model 2'!D16:H16)))</f>
        <v>Model 2</v>
      </c>
      <c r="AB4" s="271"/>
    </row>
    <row r="5" spans="2:28" s="104" customFormat="1" ht="13.2" x14ac:dyDescent="0.25">
      <c r="P5" s="13"/>
      <c r="Q5" s="15"/>
    </row>
    <row r="6" spans="2:28" ht="13.2" x14ac:dyDescent="0.25">
      <c r="Q6" s="13"/>
      <c r="R6" s="7" t="str">
        <f>'Dropdown Lists'!H13</f>
        <v>Item Category</v>
      </c>
      <c r="S6" s="10" t="str">
        <f>R6&amp;" ID"</f>
        <v>Item Category ID</v>
      </c>
      <c r="U6" s="7" t="str">
        <f>'Dropdown Lists'!L13</f>
        <v>Component (Element)</v>
      </c>
      <c r="V6" s="10" t="str">
        <f>U6&amp;" ID"</f>
        <v>Component (Element) ID</v>
      </c>
      <c r="X6" s="27" t="str">
        <f>R6</f>
        <v>Item Category</v>
      </c>
      <c r="Y6" s="28" t="str">
        <f>U6</f>
        <v>Component (Element)</v>
      </c>
      <c r="Z6" s="35"/>
      <c r="AA6" s="27" t="str">
        <f>X6</f>
        <v>Item Category</v>
      </c>
      <c r="AB6" s="28" t="str">
        <f>Y6</f>
        <v>Component (Element)</v>
      </c>
    </row>
    <row r="7" spans="2:28" s="36" customFormat="1" ht="13.2" x14ac:dyDescent="0.25">
      <c r="B7" s="11" t="str">
        <f>J7&amp;" &amp; "&amp;L7</f>
        <v>ID &amp; Item</v>
      </c>
      <c r="C7" s="16"/>
      <c r="D7" s="44" t="str">
        <f>'Item Prices &amp; Rates'!D18</f>
        <v>ID</v>
      </c>
      <c r="E7" s="45"/>
      <c r="F7" s="45" t="str">
        <f>'Item Prices &amp; Rates'!F18</f>
        <v>Item</v>
      </c>
      <c r="G7" s="45" t="str">
        <f>'Item Prices &amp; Rates'!G18</f>
        <v>Unit</v>
      </c>
      <c r="H7" s="46" t="str">
        <f>'Item Prices &amp; Rates'!H18</f>
        <v>Rate (Unit Price)</v>
      </c>
      <c r="J7" s="44" t="str">
        <f>'Item Prices &amp; Rates'!D18</f>
        <v>ID</v>
      </c>
      <c r="K7" s="45" t="str">
        <f>'Item Prices &amp; Rates'!E18</f>
        <v>Item Category</v>
      </c>
      <c r="L7" s="45" t="str">
        <f>'Item Prices &amp; Rates'!F18</f>
        <v>Item</v>
      </c>
      <c r="M7" s="45" t="str">
        <f>'Item Prices &amp; Rates'!G18</f>
        <v>Unit</v>
      </c>
      <c r="N7" s="28" t="str">
        <f>'Item Prices &amp; Rates'!H18</f>
        <v>Rate (Unit Price)</v>
      </c>
      <c r="P7" s="11" t="s">
        <v>37</v>
      </c>
      <c r="Q7" s="16"/>
      <c r="R7" s="20" t="s">
        <v>137</v>
      </c>
      <c r="S7" s="24">
        <v>2000</v>
      </c>
      <c r="U7" s="20" t="s">
        <v>137</v>
      </c>
      <c r="V7" s="24">
        <v>2000</v>
      </c>
      <c r="X7" s="27">
        <f>TotalPriceModel1</f>
        <v>109831.61022500001</v>
      </c>
      <c r="Y7" s="28">
        <f>TotalPriceModel1</f>
        <v>109831.61022500001</v>
      </c>
      <c r="AA7" s="27">
        <f>'Model 2'!J68</f>
        <v>64705</v>
      </c>
      <c r="AB7" s="28">
        <f>'Model 2'!J68</f>
        <v>64705</v>
      </c>
    </row>
    <row r="8" spans="2:28" ht="13.2" x14ac:dyDescent="0.25">
      <c r="B8" s="5" t="str">
        <f t="shared" ref="B8:B39" si="0">IF(D8="","",D8&amp;": "&amp;F8)</f>
        <v>1: Masonry stones</v>
      </c>
      <c r="C8" s="2"/>
      <c r="D8" s="21">
        <f t="shared" ref="D8:D39" si="1">IF(ISERROR(J8),"",IF(J8=0,"",J8))</f>
        <v>1</v>
      </c>
      <c r="E8" s="25" t="str">
        <f t="shared" ref="E8:H23" si="2">IF(ISERROR(K8),"",IF(K8=0,"",K8))</f>
        <v>Material</v>
      </c>
      <c r="F8" s="25" t="str">
        <f t="shared" si="2"/>
        <v>Masonry stones</v>
      </c>
      <c r="G8" s="25" t="str">
        <f t="shared" si="2"/>
        <v>pieces</v>
      </c>
      <c r="H8" s="22">
        <f t="shared" si="2"/>
        <v>40</v>
      </c>
      <c r="J8" s="23">
        <f t="array" ref="J8:J107">'Item Prices &amp; Rates'!D20:D77</f>
        <v>1</v>
      </c>
      <c r="K8" s="2" t="str">
        <f t="array" ref="K8:K107">'Item Prices &amp; Rates'!E20:E77</f>
        <v>Material</v>
      </c>
      <c r="L8" s="2" t="str">
        <f t="array" ref="L8:L107">'Item Prices &amp; Rates'!F20:F77</f>
        <v>Masonry stones</v>
      </c>
      <c r="M8" s="2" t="str">
        <f t="array" ref="M8:M107">'Item Prices &amp; Rates'!G20:G77</f>
        <v>pieces</v>
      </c>
      <c r="N8" s="19">
        <f t="array" ref="N8:N107">'Item Prices &amp; Rates'!I20:I77</f>
        <v>40</v>
      </c>
      <c r="P8" s="5" t="str">
        <f>IF('Item Prices &amp; Rates'!L11="","Currency 1 (Local)","Currency 1 (Local) ["&amp;'Item Prices &amp; Rates'!L11&amp;"]")</f>
        <v>Currency 1 (Local) [Kenya: Kenyan shilling (KES)]</v>
      </c>
      <c r="Q8" s="2"/>
      <c r="R8" s="21" t="str">
        <f>IF('Dropdown Lists'!H14="","",'Dropdown Lists'!H14)</f>
        <v>Material</v>
      </c>
      <c r="S8" s="22">
        <f>ROW(S8)-ROW(S$8)+2001</f>
        <v>2001</v>
      </c>
      <c r="U8" s="21" t="str">
        <f>IF('Dropdown Lists'!L14="","",'Dropdown Lists'!L14)</f>
        <v>Substructure</v>
      </c>
      <c r="V8" s="22">
        <f t="shared" ref="V8:V39" si="3">ROW(V8)-ROW(V$8)+1001</f>
        <v>1001</v>
      </c>
      <c r="X8" s="29">
        <f t="array" ref="X8:X107">IF(SUMIF('Model 1'!$M$18:M67,S8:S107,'Model 1'!J18:$J$67)=0,"",SUMIF('Model 1'!$M$18:M67,S8:S107,'Model 1'!J18:$J$67))</f>
        <v>18065.610225</v>
      </c>
      <c r="Y8" s="30">
        <f t="array" ref="Y8:Y107">IF(SUMIF('Model 1'!$K$18:K67,V8:V107,'Model 1'!J18:$J$67)=0,"",SUMIF('Model 1'!$K$18:K67,V8:V107,'Model 1'!J18:$J$67))</f>
        <v>78475.616000000009</v>
      </c>
      <c r="Z8" s="35"/>
      <c r="AA8" s="29">
        <f t="array" ref="AA8:AA107">IF(SUMIF('Model 2'!$M$18:N67,S8:S107,'Model 2'!$J18:M$67)=0,"",SUMIF('Model 2'!$M$18:N67,S8:S107,'Model 2'!$J18:M$67))</f>
        <v>54805</v>
      </c>
      <c r="AB8" s="30">
        <f t="array" ref="AB8:AB107">IF(SUMIF('Model 2'!$K$18:N67,V8:V107,'Model 2'!$J18:M$67)=0,"",SUMIF('Model 2'!$K$18:N67,V8:V107,'Model 2'!$J18:M$67))</f>
        <v>36950</v>
      </c>
    </row>
    <row r="9" spans="2:28" ht="13.2" x14ac:dyDescent="0.25">
      <c r="B9" s="6" t="str">
        <f t="shared" si="0"/>
        <v>2: Sand incl. delivery</v>
      </c>
      <c r="C9" s="2"/>
      <c r="D9" s="23">
        <f t="shared" si="1"/>
        <v>2</v>
      </c>
      <c r="E9" s="2" t="str">
        <f t="shared" si="2"/>
        <v>Material incl. transport</v>
      </c>
      <c r="F9" s="2" t="str">
        <f t="shared" ref="F9:F72" si="4">IF(ISERROR(L9),"",IF(L9=0,"",L9))</f>
        <v>Sand incl. delivery</v>
      </c>
      <c r="G9" s="2" t="str">
        <f t="shared" ref="G9:G72" si="5">IF(ISERROR(M9),"",IF(M9=0,"",M9))</f>
        <v>tons</v>
      </c>
      <c r="H9" s="19">
        <f t="shared" ref="H9:H72" si="6">IF(ISERROR(N9),"",IF(N9=0,"",N9))</f>
        <v>860</v>
      </c>
      <c r="J9" s="23">
        <v>2</v>
      </c>
      <c r="K9" s="2" t="str">
        <v>Material incl. transport</v>
      </c>
      <c r="L9" s="2" t="str">
        <v>Sand incl. delivery</v>
      </c>
      <c r="M9" s="2" t="str">
        <v>tons</v>
      </c>
      <c r="N9" s="19">
        <v>860</v>
      </c>
      <c r="P9" s="8" t="str">
        <f>IF('Item Prices &amp; Rates'!L12="","Currency 2 (Alternative)","Currency 2 (Alternative) ["&amp;'Item Prices &amp; Rates'!L12&amp;"]")</f>
        <v>Currency 2 (Alternative)</v>
      </c>
      <c r="Q9" s="2"/>
      <c r="R9" s="23" t="str">
        <f>IF('Dropdown Lists'!H15="","",'Dropdown Lists'!H15)</f>
        <v>Material incl. transport</v>
      </c>
      <c r="S9" s="19">
        <f t="shared" ref="S9:S72" si="7">ROW(S9)-ROW(S$8)+2001</f>
        <v>2002</v>
      </c>
      <c r="U9" s="23" t="str">
        <f>IF('Dropdown Lists'!L15="","",'Dropdown Lists'!L15)</f>
        <v>Superstructure</v>
      </c>
      <c r="V9" s="19">
        <f t="shared" si="3"/>
        <v>1002</v>
      </c>
      <c r="X9" s="31">
        <v>28850.87</v>
      </c>
      <c r="Y9" s="32">
        <v>31355.994224999999</v>
      </c>
      <c r="Z9" s="35"/>
      <c r="AA9" s="31" t="str">
        <v/>
      </c>
      <c r="AB9" s="32">
        <v>17855</v>
      </c>
    </row>
    <row r="10" spans="2:28" ht="13.2" x14ac:dyDescent="0.25">
      <c r="B10" s="6" t="str">
        <f t="shared" si="0"/>
        <v>3: Stone fixing</v>
      </c>
      <c r="C10" s="2"/>
      <c r="D10" s="23">
        <f t="shared" si="1"/>
        <v>3</v>
      </c>
      <c r="E10" s="2" t="str">
        <f t="shared" si="2"/>
        <v>Material</v>
      </c>
      <c r="F10" s="2" t="str">
        <f t="shared" si="4"/>
        <v>Stone fixing</v>
      </c>
      <c r="G10" s="2" t="str">
        <f t="shared" si="5"/>
        <v>tons</v>
      </c>
      <c r="H10" s="19">
        <f t="shared" si="6"/>
        <v>860</v>
      </c>
      <c r="J10" s="23">
        <v>3</v>
      </c>
      <c r="K10" s="2" t="str">
        <v>Material</v>
      </c>
      <c r="L10" s="2" t="str">
        <v>Stone fixing</v>
      </c>
      <c r="M10" s="2" t="str">
        <v>tons</v>
      </c>
      <c r="N10" s="19">
        <v>860</v>
      </c>
      <c r="R10" s="23" t="str">
        <f>IF('Dropdown Lists'!H16="","",'Dropdown Lists'!H16)</f>
        <v>Labour</v>
      </c>
      <c r="S10" s="19">
        <f t="shared" si="7"/>
        <v>2003</v>
      </c>
      <c r="U10" s="23" t="str">
        <f>IF('Dropdown Lists'!L16="","",'Dropdown Lists'!L16)</f>
        <v>Unknown</v>
      </c>
      <c r="V10" s="19">
        <f t="shared" si="3"/>
        <v>1003</v>
      </c>
      <c r="X10" s="31">
        <v>22283</v>
      </c>
      <c r="Y10" s="32" t="str">
        <v/>
      </c>
      <c r="Z10" s="35"/>
      <c r="AA10" s="31">
        <v>9900</v>
      </c>
      <c r="AB10" s="32">
        <v>9900</v>
      </c>
    </row>
    <row r="11" spans="2:28" ht="13.2" x14ac:dyDescent="0.25">
      <c r="B11" s="6" t="str">
        <f t="shared" si="0"/>
        <v>4: Cement incl. delivery</v>
      </c>
      <c r="C11" s="2"/>
      <c r="D11" s="23">
        <f t="shared" si="1"/>
        <v>4</v>
      </c>
      <c r="E11" s="2" t="str">
        <f t="shared" si="2"/>
        <v>Material incl. transport</v>
      </c>
      <c r="F11" s="2" t="str">
        <f t="shared" si="4"/>
        <v>Cement incl. delivery</v>
      </c>
      <c r="G11" s="2" t="str">
        <f t="shared" si="5"/>
        <v>bags of 50 kg</v>
      </c>
      <c r="H11" s="19">
        <f t="shared" si="6"/>
        <v>770</v>
      </c>
      <c r="J11" s="23">
        <v>4</v>
      </c>
      <c r="K11" s="2" t="str">
        <v>Material incl. transport</v>
      </c>
      <c r="L11" s="2" t="str">
        <v>Cement incl. delivery</v>
      </c>
      <c r="M11" s="2" t="str">
        <v>bags of 50 kg</v>
      </c>
      <c r="N11" s="19">
        <v>770</v>
      </c>
      <c r="Q11" s="16"/>
      <c r="R11" s="23" t="str">
        <f>IF('Dropdown Lists'!H17="","",'Dropdown Lists'!H17)</f>
        <v>Unknown</v>
      </c>
      <c r="S11" s="19">
        <f t="shared" si="7"/>
        <v>2004</v>
      </c>
      <c r="U11" s="23" t="str">
        <f>IF('Dropdown Lists'!L17="","",'Dropdown Lists'!L17)</f>
        <v/>
      </c>
      <c r="V11" s="19">
        <f t="shared" si="3"/>
        <v>1004</v>
      </c>
      <c r="X11" s="31">
        <v>40632.130000000005</v>
      </c>
      <c r="Y11" s="32" t="str">
        <v/>
      </c>
      <c r="Z11" s="35"/>
      <c r="AA11" s="31" t="str">
        <v/>
      </c>
      <c r="AB11" s="32" t="str">
        <v/>
      </c>
    </row>
    <row r="12" spans="2:28" ht="13.2" x14ac:dyDescent="0.25">
      <c r="B12" s="6" t="str">
        <f t="shared" si="0"/>
        <v>5: Stone fixing</v>
      </c>
      <c r="C12" s="2"/>
      <c r="D12" s="23">
        <f t="shared" si="1"/>
        <v>5</v>
      </c>
      <c r="E12" s="2" t="str">
        <f t="shared" si="2"/>
        <v>Material</v>
      </c>
      <c r="F12" s="2" t="str">
        <f t="shared" si="4"/>
        <v>Stone fixing</v>
      </c>
      <c r="G12" s="2" t="str">
        <f t="shared" si="5"/>
        <v>bags of 50 kg</v>
      </c>
      <c r="H12" s="19">
        <f t="shared" si="6"/>
        <v>770</v>
      </c>
      <c r="J12" s="23">
        <v>5</v>
      </c>
      <c r="K12" s="2" t="str">
        <v>Material</v>
      </c>
      <c r="L12" s="2" t="str">
        <v>Stone fixing</v>
      </c>
      <c r="M12" s="2" t="str">
        <v>bags of 50 kg</v>
      </c>
      <c r="N12" s="19">
        <v>770</v>
      </c>
      <c r="P12" s="13" t="s">
        <v>139</v>
      </c>
      <c r="Q12" s="2"/>
      <c r="R12" s="23" t="str">
        <f>IF('Dropdown Lists'!H18="","",'Dropdown Lists'!H18)</f>
        <v/>
      </c>
      <c r="S12" s="19">
        <f t="shared" si="7"/>
        <v>2005</v>
      </c>
      <c r="U12" s="23" t="str">
        <f>IF('Dropdown Lists'!L18="","",'Dropdown Lists'!L18)</f>
        <v/>
      </c>
      <c r="V12" s="19">
        <f t="shared" si="3"/>
        <v>1005</v>
      </c>
      <c r="X12" s="31" t="str">
        <v/>
      </c>
      <c r="Y12" s="32" t="str">
        <v/>
      </c>
      <c r="Z12" s="35"/>
      <c r="AA12" s="31" t="str">
        <v/>
      </c>
      <c r="AB12" s="32" t="str">
        <v/>
      </c>
    </row>
    <row r="13" spans="2:28" ht="13.2" x14ac:dyDescent="0.25">
      <c r="B13" s="6" t="str">
        <f t="shared" si="0"/>
        <v>6: Paint for walls</v>
      </c>
      <c r="C13" s="2"/>
      <c r="D13" s="23">
        <f t="shared" si="1"/>
        <v>6</v>
      </c>
      <c r="E13" s="2" t="str">
        <f t="shared" si="2"/>
        <v>Material</v>
      </c>
      <c r="F13" s="2" t="str">
        <f t="shared" si="4"/>
        <v>Paint for walls</v>
      </c>
      <c r="G13" s="2" t="str">
        <f t="shared" si="5"/>
        <v>m2</v>
      </c>
      <c r="H13" s="19">
        <f t="shared" si="6"/>
        <v>420</v>
      </c>
      <c r="J13" s="23">
        <v>6</v>
      </c>
      <c r="K13" s="2" t="str">
        <v>Material</v>
      </c>
      <c r="L13" s="2" t="str">
        <v>Paint for walls</v>
      </c>
      <c r="M13" s="2" t="str">
        <v>m2</v>
      </c>
      <c r="N13" s="19">
        <v>420</v>
      </c>
      <c r="Q13" s="2"/>
      <c r="R13" s="23" t="str">
        <f>IF('Dropdown Lists'!H19="","",'Dropdown Lists'!H19)</f>
        <v/>
      </c>
      <c r="S13" s="19">
        <f t="shared" si="7"/>
        <v>2006</v>
      </c>
      <c r="U13" s="23" t="str">
        <f>IF('Dropdown Lists'!L19="","",'Dropdown Lists'!L19)</f>
        <v/>
      </c>
      <c r="V13" s="19">
        <f t="shared" si="3"/>
        <v>1006</v>
      </c>
      <c r="X13" s="31" t="str">
        <v/>
      </c>
      <c r="Y13" s="32" t="str">
        <v/>
      </c>
      <c r="Z13" s="35"/>
      <c r="AA13" s="31" t="str">
        <v/>
      </c>
      <c r="AB13" s="32" t="str">
        <v/>
      </c>
    </row>
    <row r="14" spans="2:28" ht="13.2" x14ac:dyDescent="0.25">
      <c r="B14" s="6" t="str">
        <f t="shared" si="0"/>
        <v>7: Timber door (15 x 2.5 cm)</v>
      </c>
      <c r="C14" s="2"/>
      <c r="D14" s="23">
        <f t="shared" si="1"/>
        <v>7</v>
      </c>
      <c r="E14" s="2" t="str">
        <f t="shared" si="2"/>
        <v>Material</v>
      </c>
      <c r="F14" s="2" t="str">
        <f t="shared" si="4"/>
        <v>Timber door (15 x 2.5 cm)</v>
      </c>
      <c r="G14" s="2" t="str">
        <f t="shared" si="5"/>
        <v>m</v>
      </c>
      <c r="H14" s="19">
        <f t="shared" si="6"/>
        <v>116.67</v>
      </c>
      <c r="J14" s="23">
        <v>7</v>
      </c>
      <c r="K14" s="2" t="str">
        <v>Material</v>
      </c>
      <c r="L14" s="2" t="str">
        <v>Timber door (15 x 2.5 cm)</v>
      </c>
      <c r="M14" s="2" t="str">
        <v>m</v>
      </c>
      <c r="N14" s="19">
        <v>116.67</v>
      </c>
      <c r="P14" s="11" t="s">
        <v>72</v>
      </c>
      <c r="Q14" s="2"/>
      <c r="R14" s="23" t="str">
        <f>IF('Dropdown Lists'!H20="","",'Dropdown Lists'!H20)</f>
        <v/>
      </c>
      <c r="S14" s="19">
        <f t="shared" si="7"/>
        <v>2007</v>
      </c>
      <c r="U14" s="23" t="str">
        <f>IF('Dropdown Lists'!L20="","",'Dropdown Lists'!L20)</f>
        <v/>
      </c>
      <c r="V14" s="19">
        <f t="shared" si="3"/>
        <v>1007</v>
      </c>
      <c r="X14" s="31" t="str">
        <v/>
      </c>
      <c r="Y14" s="32" t="str">
        <v/>
      </c>
      <c r="Z14" s="35"/>
      <c r="AA14" s="31" t="str">
        <v/>
      </c>
      <c r="AB14" s="32" t="str">
        <v/>
      </c>
    </row>
    <row r="15" spans="2:28" ht="13.2" x14ac:dyDescent="0.25">
      <c r="B15" s="6" t="str">
        <f t="shared" si="0"/>
        <v>8: Timber frame (10 x 5 cm)</v>
      </c>
      <c r="C15" s="2"/>
      <c r="D15" s="23">
        <f t="shared" si="1"/>
        <v>8</v>
      </c>
      <c r="E15" s="2" t="str">
        <f t="shared" si="2"/>
        <v>Material</v>
      </c>
      <c r="F15" s="2" t="str">
        <f t="shared" si="4"/>
        <v>Timber frame (10 x 5 cm)</v>
      </c>
      <c r="G15" s="2" t="str">
        <f t="shared" si="5"/>
        <v>m</v>
      </c>
      <c r="H15" s="19">
        <f t="shared" si="6"/>
        <v>250</v>
      </c>
      <c r="J15" s="23">
        <v>8</v>
      </c>
      <c r="K15" s="2" t="str">
        <v>Material</v>
      </c>
      <c r="L15" s="2" t="str">
        <v>Timber frame (10 x 5 cm)</v>
      </c>
      <c r="M15" s="2" t="str">
        <v>m</v>
      </c>
      <c r="N15" s="19">
        <v>250</v>
      </c>
      <c r="P15" s="5" t="str">
        <f ca="1">RIGHT(CELL("filename",ReadMe!D2),LEN(CELL("filename",ReadMe!D2))-FIND("]",CELL("filename",ReadMe!D2)))</f>
        <v>ReadMe</v>
      </c>
      <c r="Q15" s="2"/>
      <c r="R15" s="23" t="str">
        <f>IF('Dropdown Lists'!H21="","",'Dropdown Lists'!H21)</f>
        <v/>
      </c>
      <c r="S15" s="19">
        <f t="shared" si="7"/>
        <v>2008</v>
      </c>
      <c r="U15" s="23" t="str">
        <f>IF('Dropdown Lists'!L21="","",'Dropdown Lists'!L21)</f>
        <v/>
      </c>
      <c r="V15" s="19">
        <f t="shared" si="3"/>
        <v>1008</v>
      </c>
      <c r="X15" s="31" t="str">
        <v/>
      </c>
      <c r="Y15" s="32" t="str">
        <v/>
      </c>
      <c r="Z15" s="35"/>
      <c r="AA15" s="31" t="str">
        <v/>
      </c>
      <c r="AB15" s="32" t="str">
        <v/>
      </c>
    </row>
    <row r="16" spans="2:28" ht="13.2" x14ac:dyDescent="0.25">
      <c r="B16" s="6" t="str">
        <f t="shared" si="0"/>
        <v>9: Hinges</v>
      </c>
      <c r="C16" s="2"/>
      <c r="D16" s="23">
        <f t="shared" si="1"/>
        <v>9</v>
      </c>
      <c r="E16" s="2" t="str">
        <f t="shared" si="2"/>
        <v>Material</v>
      </c>
      <c r="F16" s="2" t="str">
        <f t="shared" si="4"/>
        <v>Hinges</v>
      </c>
      <c r="G16" s="2" t="str">
        <f t="shared" si="5"/>
        <v>pieces</v>
      </c>
      <c r="H16" s="19">
        <f t="shared" si="6"/>
        <v>150</v>
      </c>
      <c r="J16" s="23">
        <v>9</v>
      </c>
      <c r="K16" s="2" t="str">
        <v>Material</v>
      </c>
      <c r="L16" s="2" t="str">
        <v>Hinges</v>
      </c>
      <c r="M16" s="2" t="str">
        <v>pieces</v>
      </c>
      <c r="N16" s="19">
        <v>150</v>
      </c>
      <c r="P16" s="6" t="str">
        <f ca="1">RIGHT(CELL("filename",'Dropdown Lists'!D2),LEN(CELL("filename",'Dropdown Lists'!D2))-FIND("]",CELL("filename",'Dropdown Lists'!D2)))</f>
        <v>Dropdown Lists</v>
      </c>
      <c r="Q16" s="2"/>
      <c r="R16" s="23" t="str">
        <f>IF('Dropdown Lists'!H22="","",'Dropdown Lists'!H22)</f>
        <v/>
      </c>
      <c r="S16" s="19">
        <f t="shared" si="7"/>
        <v>2009</v>
      </c>
      <c r="U16" s="23" t="str">
        <f>IF('Dropdown Lists'!L22="","",'Dropdown Lists'!L22)</f>
        <v/>
      </c>
      <c r="V16" s="19">
        <f t="shared" si="3"/>
        <v>1009</v>
      </c>
      <c r="X16" s="31" t="str">
        <v/>
      </c>
      <c r="Y16" s="32" t="str">
        <v/>
      </c>
      <c r="Z16" s="35"/>
      <c r="AA16" s="31" t="str">
        <v/>
      </c>
      <c r="AB16" s="32" t="str">
        <v/>
      </c>
    </row>
    <row r="17" spans="2:28" ht="13.2" x14ac:dyDescent="0.25">
      <c r="B17" s="6" t="str">
        <f t="shared" si="0"/>
        <v>10: Door lock</v>
      </c>
      <c r="C17" s="2"/>
      <c r="D17" s="23">
        <f t="shared" si="1"/>
        <v>10</v>
      </c>
      <c r="E17" s="2" t="str">
        <f t="shared" si="2"/>
        <v>Material</v>
      </c>
      <c r="F17" s="2" t="str">
        <f t="shared" si="4"/>
        <v>Door lock</v>
      </c>
      <c r="G17" s="2" t="str">
        <f t="shared" si="5"/>
        <v>pieces</v>
      </c>
      <c r="H17" s="19">
        <f t="shared" si="6"/>
        <v>180</v>
      </c>
      <c r="J17" s="23">
        <v>10</v>
      </c>
      <c r="K17" s="2" t="str">
        <v>Material</v>
      </c>
      <c r="L17" s="2" t="str">
        <v>Door lock</v>
      </c>
      <c r="M17" s="2" t="str">
        <v>pieces</v>
      </c>
      <c r="N17" s="19">
        <v>180</v>
      </c>
      <c r="P17" s="6" t="str">
        <f ca="1">RIGHT(CELL("filename",'Item Prices &amp; Rates'!D3),LEN(CELL("filename",'Item Prices &amp; Rates'!D3))-FIND("]",CELL("filename",'Item Prices &amp; Rates'!D3)))</f>
        <v>Item Prices &amp; Rates</v>
      </c>
      <c r="Q17" s="2"/>
      <c r="R17" s="23" t="str">
        <f>IF('Dropdown Lists'!H23="","",'Dropdown Lists'!H23)</f>
        <v/>
      </c>
      <c r="S17" s="19">
        <f t="shared" si="7"/>
        <v>2010</v>
      </c>
      <c r="U17" s="23" t="str">
        <f>IF('Dropdown Lists'!L23="","",'Dropdown Lists'!L23)</f>
        <v/>
      </c>
      <c r="V17" s="19">
        <f t="shared" si="3"/>
        <v>1010</v>
      </c>
      <c r="X17" s="31" t="str">
        <v/>
      </c>
      <c r="Y17" s="32" t="str">
        <v/>
      </c>
      <c r="Z17" s="35"/>
      <c r="AA17" s="31" t="str">
        <v/>
      </c>
      <c r="AB17" s="32" t="str">
        <v/>
      </c>
    </row>
    <row r="18" spans="2:28" ht="13.2" x14ac:dyDescent="0.25">
      <c r="B18" s="6" t="str">
        <f t="shared" si="0"/>
        <v>11: Painting + treatment</v>
      </c>
      <c r="C18" s="2"/>
      <c r="D18" s="23">
        <f t="shared" si="1"/>
        <v>11</v>
      </c>
      <c r="E18" s="2" t="str">
        <f t="shared" si="2"/>
        <v>Material</v>
      </c>
      <c r="F18" s="2" t="str">
        <f t="shared" si="4"/>
        <v>Painting + treatment</v>
      </c>
      <c r="G18" s="2" t="str">
        <f t="shared" si="5"/>
        <v>m2</v>
      </c>
      <c r="H18" s="19">
        <f t="shared" si="6"/>
        <v>420</v>
      </c>
      <c r="J18" s="23">
        <v>11</v>
      </c>
      <c r="K18" s="2" t="str">
        <v>Material</v>
      </c>
      <c r="L18" s="2" t="str">
        <v>Painting + treatment</v>
      </c>
      <c r="M18" s="2" t="str">
        <v>m2</v>
      </c>
      <c r="N18" s="19">
        <v>420</v>
      </c>
      <c r="P18" s="6" t="str">
        <f ca="1">RIGHT(CELL("filename",'Model 1'!D5),LEN(CELL("filename",'Model 1'!D5))-FIND("]",CELL("filename",'Model 1'!D5)))</f>
        <v>Model 1</v>
      </c>
      <c r="R18" s="23" t="str">
        <f>IF('Dropdown Lists'!H24="","",'Dropdown Lists'!H24)</f>
        <v/>
      </c>
      <c r="S18" s="19">
        <f t="shared" si="7"/>
        <v>2011</v>
      </c>
      <c r="U18" s="23" t="str">
        <f>IF('Dropdown Lists'!L24="","",'Dropdown Lists'!L24)</f>
        <v/>
      </c>
      <c r="V18" s="19">
        <f t="shared" si="3"/>
        <v>1011</v>
      </c>
      <c r="X18" s="31" t="str">
        <v/>
      </c>
      <c r="Y18" s="32" t="str">
        <v/>
      </c>
      <c r="Z18" s="35"/>
      <c r="AA18" s="31" t="str">
        <v/>
      </c>
      <c r="AB18" s="32" t="str">
        <v/>
      </c>
    </row>
    <row r="19" spans="2:28" ht="13.2" x14ac:dyDescent="0.25">
      <c r="B19" s="6" t="str">
        <f t="shared" si="0"/>
        <v>12: Iron mabati (0.7 x 2 m)</v>
      </c>
      <c r="C19" s="2"/>
      <c r="D19" s="23">
        <f t="shared" si="1"/>
        <v>12</v>
      </c>
      <c r="E19" s="2" t="str">
        <f t="shared" si="2"/>
        <v>Material</v>
      </c>
      <c r="F19" s="2" t="str">
        <f t="shared" si="4"/>
        <v>Iron mabati (0.7 x 2 m)</v>
      </c>
      <c r="G19" s="2" t="str">
        <f t="shared" si="5"/>
        <v>pieces</v>
      </c>
      <c r="H19" s="19">
        <f t="shared" si="6"/>
        <v>1000</v>
      </c>
      <c r="J19" s="23">
        <v>12</v>
      </c>
      <c r="K19" s="2" t="str">
        <v>Material</v>
      </c>
      <c r="L19" s="2" t="str">
        <v>Iron mabati (0.7 x 2 m)</v>
      </c>
      <c r="M19" s="2" t="str">
        <v>pieces</v>
      </c>
      <c r="N19" s="19">
        <v>1000</v>
      </c>
      <c r="P19" s="6" t="str">
        <f ca="1">RIGHT(CELL("filename",'Model 2'!D5),LEN(CELL("filename",'Model 2'!D5))-FIND("]",CELL("filename",'Model 2'!D5)))</f>
        <v>Model 2</v>
      </c>
      <c r="R19" s="23" t="str">
        <f>IF('Dropdown Lists'!H25="","",'Dropdown Lists'!H25)</f>
        <v/>
      </c>
      <c r="S19" s="19">
        <f t="shared" si="7"/>
        <v>2012</v>
      </c>
      <c r="U19" s="23" t="str">
        <f>IF('Dropdown Lists'!L25="","",'Dropdown Lists'!L25)</f>
        <v/>
      </c>
      <c r="V19" s="19">
        <f t="shared" si="3"/>
        <v>1012</v>
      </c>
      <c r="X19" s="31" t="str">
        <v/>
      </c>
      <c r="Y19" s="32" t="str">
        <v/>
      </c>
      <c r="Z19" s="35"/>
      <c r="AA19" s="31" t="str">
        <v/>
      </c>
      <c r="AB19" s="32" t="str">
        <v/>
      </c>
    </row>
    <row r="20" spans="2:28" ht="13.2" x14ac:dyDescent="0.25">
      <c r="B20" s="6" t="str">
        <f t="shared" si="0"/>
        <v>13: Timber (10 x 5 cm)</v>
      </c>
      <c r="C20" s="2"/>
      <c r="D20" s="23">
        <f t="shared" si="1"/>
        <v>13</v>
      </c>
      <c r="E20" s="2" t="str">
        <f t="shared" si="2"/>
        <v>Material</v>
      </c>
      <c r="F20" s="2" t="str">
        <f t="shared" si="4"/>
        <v>Timber (10 x 5 cm)</v>
      </c>
      <c r="G20" s="2" t="str">
        <f t="shared" si="5"/>
        <v>m</v>
      </c>
      <c r="H20" s="19">
        <f t="shared" si="6"/>
        <v>250</v>
      </c>
      <c r="J20" s="23">
        <v>13</v>
      </c>
      <c r="K20" s="2" t="str">
        <v>Material</v>
      </c>
      <c r="L20" s="2" t="str">
        <v>Timber (10 x 5 cm)</v>
      </c>
      <c r="M20" s="2" t="str">
        <v>m</v>
      </c>
      <c r="N20" s="19">
        <v>250</v>
      </c>
      <c r="P20" s="6" t="str">
        <f ca="1">RIGHT(CELL("filename",Comparison!D5),LEN(CELL("filename",Comparison!D5))-FIND("]",CELL("filename",Comparison!D5)))</f>
        <v>Comparison</v>
      </c>
      <c r="R20" s="23" t="str">
        <f>IF('Dropdown Lists'!H26="","",'Dropdown Lists'!H26)</f>
        <v/>
      </c>
      <c r="S20" s="19">
        <f t="shared" si="7"/>
        <v>2013</v>
      </c>
      <c r="U20" s="23" t="str">
        <f>IF('Dropdown Lists'!L26="","",'Dropdown Lists'!L26)</f>
        <v/>
      </c>
      <c r="V20" s="19">
        <f t="shared" si="3"/>
        <v>1013</v>
      </c>
      <c r="X20" s="31" t="str">
        <v/>
      </c>
      <c r="Y20" s="32" t="str">
        <v/>
      </c>
      <c r="Z20" s="35"/>
      <c r="AA20" s="31" t="str">
        <v/>
      </c>
      <c r="AB20" s="32" t="str">
        <v/>
      </c>
    </row>
    <row r="21" spans="2:28" ht="13.2" x14ac:dyDescent="0.25">
      <c r="B21" s="6" t="str">
        <f t="shared" si="0"/>
        <v>14: Vent pipe</v>
      </c>
      <c r="C21" s="2"/>
      <c r="D21" s="23">
        <f t="shared" si="1"/>
        <v>14</v>
      </c>
      <c r="E21" s="2" t="str">
        <f t="shared" si="2"/>
        <v>Material</v>
      </c>
      <c r="F21" s="2" t="str">
        <f t="shared" si="4"/>
        <v>Vent pipe</v>
      </c>
      <c r="G21" s="2" t="str">
        <f t="shared" si="5"/>
        <v>m</v>
      </c>
      <c r="H21" s="19">
        <f t="shared" si="6"/>
        <v>166.67</v>
      </c>
      <c r="J21" s="23">
        <v>14</v>
      </c>
      <c r="K21" s="2" t="str">
        <v>Material</v>
      </c>
      <c r="L21" s="2" t="str">
        <v>Vent pipe</v>
      </c>
      <c r="M21" s="2" t="str">
        <v>m</v>
      </c>
      <c r="N21" s="19">
        <v>166.67</v>
      </c>
      <c r="P21" s="8" t="str">
        <f ca="1">RIGHT(CELL("filename",Calculations!B3),LEN(CELL("filename",Calculations!B3))-FIND("]",CELL("filename",Calculations!B3)))</f>
        <v>Calculations</v>
      </c>
      <c r="R21" s="23" t="str">
        <f>IF('Dropdown Lists'!H27="","",'Dropdown Lists'!H27)</f>
        <v/>
      </c>
      <c r="S21" s="19">
        <f t="shared" si="7"/>
        <v>2014</v>
      </c>
      <c r="U21" s="23" t="str">
        <f>IF('Dropdown Lists'!L27="","",'Dropdown Lists'!L27)</f>
        <v/>
      </c>
      <c r="V21" s="19">
        <f t="shared" si="3"/>
        <v>1014</v>
      </c>
      <c r="X21" s="31" t="str">
        <v/>
      </c>
      <c r="Y21" s="32" t="str">
        <v/>
      </c>
      <c r="Z21" s="35"/>
      <c r="AA21" s="31" t="str">
        <v/>
      </c>
      <c r="AB21" s="32" t="str">
        <v/>
      </c>
    </row>
    <row r="22" spans="2:28" ht="13.2" x14ac:dyDescent="0.25">
      <c r="B22" s="6" t="str">
        <f t="shared" si="0"/>
        <v>15: Skilled labour</v>
      </c>
      <c r="C22" s="2"/>
      <c r="D22" s="23">
        <f t="shared" si="1"/>
        <v>15</v>
      </c>
      <c r="E22" s="2" t="str">
        <f t="shared" si="2"/>
        <v>Labour</v>
      </c>
      <c r="F22" s="2" t="str">
        <f t="shared" si="4"/>
        <v>Skilled labour</v>
      </c>
      <c r="G22" s="2" t="str">
        <f t="shared" si="5"/>
        <v>days</v>
      </c>
      <c r="H22" s="19">
        <f t="shared" si="6"/>
        <v>800</v>
      </c>
      <c r="J22" s="23">
        <v>15</v>
      </c>
      <c r="K22" s="2" t="str">
        <v>Labour</v>
      </c>
      <c r="L22" s="2" t="str">
        <v>Skilled labour</v>
      </c>
      <c r="M22" s="2" t="str">
        <v>days</v>
      </c>
      <c r="N22" s="19">
        <v>800</v>
      </c>
      <c r="R22" s="23" t="str">
        <f>IF('Dropdown Lists'!H28="","",'Dropdown Lists'!H28)</f>
        <v/>
      </c>
      <c r="S22" s="19">
        <f t="shared" si="7"/>
        <v>2015</v>
      </c>
      <c r="U22" s="23" t="str">
        <f>IF('Dropdown Lists'!L28="","",'Dropdown Lists'!L28)</f>
        <v/>
      </c>
      <c r="V22" s="19">
        <f t="shared" si="3"/>
        <v>1015</v>
      </c>
      <c r="X22" s="31" t="str">
        <v/>
      </c>
      <c r="Y22" s="32" t="str">
        <v/>
      </c>
      <c r="Z22" s="35"/>
      <c r="AA22" s="31" t="str">
        <v/>
      </c>
      <c r="AB22" s="32" t="str">
        <v/>
      </c>
    </row>
    <row r="23" spans="2:28" ht="13.2" x14ac:dyDescent="0.25">
      <c r="B23" s="6" t="str">
        <f t="shared" si="0"/>
        <v>16: Unskilled labour</v>
      </c>
      <c r="C23" s="2"/>
      <c r="D23" s="23">
        <f t="shared" si="1"/>
        <v>16</v>
      </c>
      <c r="E23" s="2" t="str">
        <f t="shared" si="2"/>
        <v>Labour</v>
      </c>
      <c r="F23" s="2" t="str">
        <f t="shared" si="4"/>
        <v>Unskilled labour</v>
      </c>
      <c r="G23" s="2" t="str">
        <f t="shared" si="5"/>
        <v>days</v>
      </c>
      <c r="H23" s="19">
        <f t="shared" si="6"/>
        <v>500</v>
      </c>
      <c r="J23" s="23">
        <v>16</v>
      </c>
      <c r="K23" s="2" t="str">
        <v>Labour</v>
      </c>
      <c r="L23" s="2" t="str">
        <v>Unskilled labour</v>
      </c>
      <c r="M23" s="2" t="str">
        <v>days</v>
      </c>
      <c r="N23" s="19">
        <v>500</v>
      </c>
      <c r="R23" s="23" t="str">
        <f>IF('Dropdown Lists'!H29="","",'Dropdown Lists'!H29)</f>
        <v/>
      </c>
      <c r="S23" s="19">
        <f t="shared" si="7"/>
        <v>2016</v>
      </c>
      <c r="U23" s="23" t="str">
        <f>IF('Dropdown Lists'!L29="","",'Dropdown Lists'!L29)</f>
        <v/>
      </c>
      <c r="V23" s="19">
        <f t="shared" si="3"/>
        <v>1016</v>
      </c>
      <c r="X23" s="31" t="str">
        <v/>
      </c>
      <c r="Y23" s="32" t="str">
        <v/>
      </c>
      <c r="Z23" s="35"/>
      <c r="AA23" s="31" t="str">
        <v/>
      </c>
      <c r="AB23" s="32" t="str">
        <v/>
      </c>
    </row>
    <row r="24" spans="2:28" ht="13.2" x14ac:dyDescent="0.25">
      <c r="B24" s="6" t="str">
        <f t="shared" si="0"/>
        <v>17: Stones incl. delivery</v>
      </c>
      <c r="C24" s="2"/>
      <c r="D24" s="23">
        <f t="shared" si="1"/>
        <v>17</v>
      </c>
      <c r="E24" s="2" t="str">
        <f t="shared" ref="E24:E87" si="8">IF(ISERROR(K24),"",IF(K24=0,"",K24))</f>
        <v>Material incl. transport</v>
      </c>
      <c r="F24" s="2" t="str">
        <f t="shared" si="4"/>
        <v>Stones incl. delivery</v>
      </c>
      <c r="G24" s="2" t="str">
        <f t="shared" si="5"/>
        <v>pieces</v>
      </c>
      <c r="H24" s="19">
        <f t="shared" si="6"/>
        <v>40</v>
      </c>
      <c r="J24" s="23">
        <v>17</v>
      </c>
      <c r="K24" s="2" t="str">
        <v>Material incl. transport</v>
      </c>
      <c r="L24" s="2" t="str">
        <v>Stones incl. delivery</v>
      </c>
      <c r="M24" s="2" t="str">
        <v>pieces</v>
      </c>
      <c r="N24" s="19">
        <v>40</v>
      </c>
      <c r="P24" s="13" t="s">
        <v>140</v>
      </c>
      <c r="R24" s="23" t="str">
        <f>IF('Dropdown Lists'!H30="","",'Dropdown Lists'!H30)</f>
        <v/>
      </c>
      <c r="S24" s="19">
        <f t="shared" si="7"/>
        <v>2017</v>
      </c>
      <c r="U24" s="23" t="str">
        <f>IF('Dropdown Lists'!L30="","",'Dropdown Lists'!L30)</f>
        <v/>
      </c>
      <c r="V24" s="19">
        <f t="shared" si="3"/>
        <v>1017</v>
      </c>
      <c r="X24" s="31" t="str">
        <v/>
      </c>
      <c r="Y24" s="32" t="str">
        <v/>
      </c>
      <c r="Z24" s="35"/>
      <c r="AA24" s="31" t="str">
        <v/>
      </c>
      <c r="AB24" s="32" t="str">
        <v/>
      </c>
    </row>
    <row r="25" spans="2:28" ht="13.2" x14ac:dyDescent="0.25">
      <c r="B25" s="6" t="str">
        <f t="shared" si="0"/>
        <v>18: Ballast incl. delivery</v>
      </c>
      <c r="C25" s="2"/>
      <c r="D25" s="23">
        <f t="shared" si="1"/>
        <v>18</v>
      </c>
      <c r="E25" s="2" t="str">
        <f t="shared" si="8"/>
        <v>Material incl. transport</v>
      </c>
      <c r="F25" s="2" t="str">
        <f t="shared" si="4"/>
        <v>Ballast incl. delivery</v>
      </c>
      <c r="G25" s="2" t="str">
        <f t="shared" si="5"/>
        <v>tons</v>
      </c>
      <c r="H25" s="19">
        <f t="shared" si="6"/>
        <v>1000</v>
      </c>
      <c r="J25" s="23">
        <v>18</v>
      </c>
      <c r="K25" s="2" t="str">
        <v>Material incl. transport</v>
      </c>
      <c r="L25" s="2" t="str">
        <v>Ballast incl. delivery</v>
      </c>
      <c r="M25" s="2" t="str">
        <v>tons</v>
      </c>
      <c r="N25" s="19">
        <v>1000</v>
      </c>
      <c r="R25" s="23" t="str">
        <f>IF('Dropdown Lists'!H31="","",'Dropdown Lists'!H31)</f>
        <v/>
      </c>
      <c r="S25" s="19">
        <f t="shared" si="7"/>
        <v>2018</v>
      </c>
      <c r="U25" s="23" t="str">
        <f>IF('Dropdown Lists'!L31="","",'Dropdown Lists'!L31)</f>
        <v/>
      </c>
      <c r="V25" s="19">
        <f t="shared" si="3"/>
        <v>1018</v>
      </c>
      <c r="X25" s="31" t="str">
        <v/>
      </c>
      <c r="Y25" s="32" t="str">
        <v/>
      </c>
      <c r="Z25" s="35"/>
      <c r="AA25" s="31" t="str">
        <v/>
      </c>
      <c r="AB25" s="32" t="str">
        <v/>
      </c>
    </row>
    <row r="26" spans="2:28" ht="13.2" x14ac:dyDescent="0.25">
      <c r="B26" s="6" t="str">
        <f t="shared" si="0"/>
        <v>19: Water proofing cement</v>
      </c>
      <c r="C26" s="2"/>
      <c r="D26" s="23">
        <f t="shared" si="1"/>
        <v>19</v>
      </c>
      <c r="E26" s="2" t="str">
        <f t="shared" si="8"/>
        <v>Material</v>
      </c>
      <c r="F26" s="2" t="str">
        <f t="shared" si="4"/>
        <v>Water proofing cement</v>
      </c>
      <c r="G26" s="2" t="str">
        <f t="shared" si="5"/>
        <v>bags of 50 kg</v>
      </c>
      <c r="H26" s="19">
        <f t="shared" si="6"/>
        <v>160</v>
      </c>
      <c r="J26" s="23">
        <v>19</v>
      </c>
      <c r="K26" s="2" t="str">
        <v>Material</v>
      </c>
      <c r="L26" s="2" t="str">
        <v>Water proofing cement</v>
      </c>
      <c r="M26" s="2" t="str">
        <v>bags of 50 kg</v>
      </c>
      <c r="N26" s="19">
        <v>160</v>
      </c>
      <c r="P26" s="11" t="s">
        <v>72</v>
      </c>
      <c r="R26" s="23" t="str">
        <f>IF('Dropdown Lists'!H32="","",'Dropdown Lists'!H32)</f>
        <v/>
      </c>
      <c r="S26" s="19">
        <f t="shared" si="7"/>
        <v>2019</v>
      </c>
      <c r="U26" s="23" t="str">
        <f>IF('Dropdown Lists'!L32="","",'Dropdown Lists'!L32)</f>
        <v/>
      </c>
      <c r="V26" s="19">
        <f t="shared" si="3"/>
        <v>1019</v>
      </c>
      <c r="X26" s="31" t="str">
        <v/>
      </c>
      <c r="Y26" s="32" t="str">
        <v/>
      </c>
      <c r="Z26" s="35"/>
      <c r="AA26" s="31" t="str">
        <v/>
      </c>
      <c r="AB26" s="32" t="str">
        <v/>
      </c>
    </row>
    <row r="27" spans="2:28" x14ac:dyDescent="0.25">
      <c r="B27" s="6" t="str">
        <f t="shared" si="0"/>
        <v>20: Xibagi</v>
      </c>
      <c r="C27" s="2"/>
      <c r="D27" s="23">
        <f t="shared" si="1"/>
        <v>20</v>
      </c>
      <c r="E27" s="2" t="str">
        <f t="shared" si="8"/>
        <v>Material</v>
      </c>
      <c r="F27" s="2" t="str">
        <f t="shared" si="4"/>
        <v>Xibagi</v>
      </c>
      <c r="G27" s="2" t="str">
        <f t="shared" si="5"/>
        <v>pieces</v>
      </c>
      <c r="H27" s="19">
        <f t="shared" si="6"/>
        <v>7000</v>
      </c>
      <c r="J27" s="23">
        <v>20</v>
      </c>
      <c r="K27" s="2" t="str">
        <v>Material</v>
      </c>
      <c r="L27" s="2" t="str">
        <v>Xibagi</v>
      </c>
      <c r="M27" s="2" t="str">
        <v>pieces</v>
      </c>
      <c r="N27" s="19">
        <v>7000</v>
      </c>
      <c r="P27" s="211" t="str">
        <f ca="1">RIGHT(CELL("filename",ReadMe!D19),LEN(CELL("filename",ReadMe!D19))-FIND("]",CELL("filename",ReadMe!D19)))</f>
        <v>ReadMe</v>
      </c>
      <c r="R27" s="23" t="str">
        <f>IF('Dropdown Lists'!H33="","",'Dropdown Lists'!H33)</f>
        <v/>
      </c>
      <c r="S27" s="19">
        <f t="shared" si="7"/>
        <v>2020</v>
      </c>
      <c r="U27" s="23" t="str">
        <f>IF('Dropdown Lists'!L33="","",'Dropdown Lists'!L33)</f>
        <v/>
      </c>
      <c r="V27" s="19">
        <f t="shared" si="3"/>
        <v>1020</v>
      </c>
      <c r="X27" s="31" t="str">
        <v/>
      </c>
      <c r="Y27" s="32" t="str">
        <v/>
      </c>
      <c r="Z27" s="35"/>
      <c r="AA27" s="31" t="str">
        <v/>
      </c>
      <c r="AB27" s="32" t="str">
        <v/>
      </c>
    </row>
    <row r="28" spans="2:28" x14ac:dyDescent="0.25">
      <c r="B28" s="6" t="str">
        <f t="shared" si="0"/>
        <v>21: Wiremesh and transport</v>
      </c>
      <c r="C28" s="2"/>
      <c r="D28" s="23">
        <f t="shared" si="1"/>
        <v>21</v>
      </c>
      <c r="E28" s="2" t="str">
        <f t="shared" si="8"/>
        <v>Material incl. transport</v>
      </c>
      <c r="F28" s="2" t="str">
        <f t="shared" si="4"/>
        <v>Wiremesh and transport</v>
      </c>
      <c r="G28" s="2" t="str">
        <f t="shared" si="5"/>
        <v>pieces</v>
      </c>
      <c r="H28" s="19">
        <f t="shared" si="6"/>
        <v>1160</v>
      </c>
      <c r="J28" s="23">
        <v>21</v>
      </c>
      <c r="K28" s="2" t="str">
        <v>Material incl. transport</v>
      </c>
      <c r="L28" s="2" t="str">
        <v>Wiremesh and transport</v>
      </c>
      <c r="M28" s="2" t="str">
        <v>pieces</v>
      </c>
      <c r="N28" s="19">
        <v>1160</v>
      </c>
      <c r="P28" s="212" t="str">
        <f ca="1">RIGHT(CELL("filename",'Dropdown Lists'!D18),LEN(CELL("filename",'Dropdown Lists'!D18))-FIND("]",CELL("filename",'Dropdown Lists'!D18)))</f>
        <v>Dropdown Lists</v>
      </c>
      <c r="R28" s="23" t="str">
        <f>IF('Dropdown Lists'!H34="","",'Dropdown Lists'!H34)</f>
        <v/>
      </c>
      <c r="S28" s="19">
        <f t="shared" si="7"/>
        <v>2021</v>
      </c>
      <c r="U28" s="23" t="str">
        <f>IF('Dropdown Lists'!L34="","",'Dropdown Lists'!L34)</f>
        <v/>
      </c>
      <c r="V28" s="19">
        <f t="shared" si="3"/>
        <v>1021</v>
      </c>
      <c r="X28" s="31" t="str">
        <v/>
      </c>
      <c r="Y28" s="32" t="str">
        <v/>
      </c>
      <c r="Z28" s="35"/>
      <c r="AA28" s="31" t="str">
        <v/>
      </c>
      <c r="AB28" s="32" t="str">
        <v/>
      </c>
    </row>
    <row r="29" spans="2:28" x14ac:dyDescent="0.25">
      <c r="B29" s="6" t="str">
        <f t="shared" si="0"/>
        <v>22: Timber for formwork 6 by 1</v>
      </c>
      <c r="C29" s="2"/>
      <c r="D29" s="23">
        <f t="shared" si="1"/>
        <v>22</v>
      </c>
      <c r="E29" s="2" t="str">
        <f t="shared" si="8"/>
        <v>Material</v>
      </c>
      <c r="F29" s="2" t="str">
        <f t="shared" si="4"/>
        <v>Timber for formwork 6 by 1</v>
      </c>
      <c r="G29" s="2" t="str">
        <f t="shared" si="5"/>
        <v>m</v>
      </c>
      <c r="H29" s="19">
        <f t="shared" si="6"/>
        <v>116.67</v>
      </c>
      <c r="J29" s="23">
        <v>22</v>
      </c>
      <c r="K29" s="2" t="str">
        <v>Material</v>
      </c>
      <c r="L29" s="2" t="str">
        <v>Timber for formwork 6 by 1</v>
      </c>
      <c r="M29" s="2" t="str">
        <v>m</v>
      </c>
      <c r="N29" s="19">
        <v>116.67</v>
      </c>
      <c r="P29" s="212" t="str">
        <f ca="1">RIGHT(CELL("filename",'Item Prices &amp; Rates'!H22:K22),LEN(CELL("filename",'Item Prices &amp; Rates'!H22:K22))-FIND("]",CELL("filename",'Item Prices &amp; Rates'!H22:K22)))</f>
        <v>Item Prices &amp; Rates</v>
      </c>
      <c r="R29" s="23" t="str">
        <f>IF('Dropdown Lists'!H35="","",'Dropdown Lists'!H35)</f>
        <v/>
      </c>
      <c r="S29" s="19">
        <f t="shared" si="7"/>
        <v>2022</v>
      </c>
      <c r="U29" s="23" t="str">
        <f>IF('Dropdown Lists'!L35="","",'Dropdown Lists'!L35)</f>
        <v/>
      </c>
      <c r="V29" s="19">
        <f t="shared" si="3"/>
        <v>1022</v>
      </c>
      <c r="X29" s="31" t="str">
        <v/>
      </c>
      <c r="Y29" s="32" t="str">
        <v/>
      </c>
      <c r="Z29" s="35"/>
      <c r="AA29" s="31" t="str">
        <v/>
      </c>
      <c r="AB29" s="32" t="str">
        <v/>
      </c>
    </row>
    <row r="30" spans="2:28" x14ac:dyDescent="0.25">
      <c r="B30" s="6" t="str">
        <f t="shared" si="0"/>
        <v>23: Nails 4"</v>
      </c>
      <c r="C30" s="2"/>
      <c r="D30" s="23">
        <f t="shared" si="1"/>
        <v>23</v>
      </c>
      <c r="E30" s="2" t="str">
        <f t="shared" si="8"/>
        <v>Material</v>
      </c>
      <c r="F30" s="2" t="str">
        <f t="shared" si="4"/>
        <v>Nails 4"</v>
      </c>
      <c r="G30" s="2" t="str">
        <f t="shared" si="5"/>
        <v>kg</v>
      </c>
      <c r="H30" s="19">
        <f t="shared" si="6"/>
        <v>120</v>
      </c>
      <c r="J30" s="23">
        <v>23</v>
      </c>
      <c r="K30" s="2" t="str">
        <v>Material</v>
      </c>
      <c r="L30" s="2" t="str">
        <v>Nails 4"</v>
      </c>
      <c r="M30" s="2" t="str">
        <v>kg</v>
      </c>
      <c r="N30" s="19">
        <v>120</v>
      </c>
      <c r="P30" s="212" t="str">
        <f ca="1">RIGHT(CELL("filename",'Model 1'!D29:H29),LEN(CELL("filename",'Model 1'!D29:H29))-FIND("]",CELL("filename",'Model 1'!D29:H29)))</f>
        <v>Model 1</v>
      </c>
      <c r="R30" s="23" t="str">
        <f>IF('Dropdown Lists'!H36="","",'Dropdown Lists'!H36)</f>
        <v/>
      </c>
      <c r="S30" s="19">
        <f t="shared" si="7"/>
        <v>2023</v>
      </c>
      <c r="U30" s="23" t="str">
        <f>IF('Dropdown Lists'!L36="","",'Dropdown Lists'!L36)</f>
        <v/>
      </c>
      <c r="V30" s="19">
        <f t="shared" si="3"/>
        <v>1023</v>
      </c>
      <c r="X30" s="31" t="str">
        <v/>
      </c>
      <c r="Y30" s="32" t="str">
        <v/>
      </c>
      <c r="Z30" s="35"/>
      <c r="AA30" s="31" t="str">
        <v/>
      </c>
      <c r="AB30" s="32" t="str">
        <v/>
      </c>
    </row>
    <row r="31" spans="2:28" x14ac:dyDescent="0.25">
      <c r="B31" s="6" t="str">
        <f t="shared" si="0"/>
        <v>24: Polythene paper as DPM</v>
      </c>
      <c r="C31" s="2"/>
      <c r="D31" s="23">
        <f t="shared" si="1"/>
        <v>24</v>
      </c>
      <c r="E31" s="2" t="str">
        <f t="shared" si="8"/>
        <v>Material</v>
      </c>
      <c r="F31" s="2" t="str">
        <f t="shared" si="4"/>
        <v>Polythene paper as DPM</v>
      </c>
      <c r="G31" s="2" t="str">
        <f t="shared" si="5"/>
        <v>m2</v>
      </c>
      <c r="H31" s="19">
        <f t="shared" si="6"/>
        <v>80</v>
      </c>
      <c r="J31" s="23">
        <v>24</v>
      </c>
      <c r="K31" s="2" t="str">
        <v>Material</v>
      </c>
      <c r="L31" s="2" t="str">
        <v>Polythene paper as DPM</v>
      </c>
      <c r="M31" s="2" t="str">
        <v>m2</v>
      </c>
      <c r="N31" s="19">
        <v>80</v>
      </c>
      <c r="P31" s="212" t="str">
        <f ca="1">RIGHT(CELL("filename",'Model 2'!D29:H29),LEN(CELL("filename",'Model 2'!D29:H29))-FIND("]",CELL("filename",'Model 2'!D29:H29)))</f>
        <v>Model 2</v>
      </c>
      <c r="R31" s="23" t="str">
        <f>IF('Dropdown Lists'!H37="","",'Dropdown Lists'!H37)</f>
        <v/>
      </c>
      <c r="S31" s="19">
        <f t="shared" si="7"/>
        <v>2024</v>
      </c>
      <c r="U31" s="23" t="str">
        <f>IF('Dropdown Lists'!L37="","",'Dropdown Lists'!L37)</f>
        <v/>
      </c>
      <c r="V31" s="19">
        <f t="shared" si="3"/>
        <v>1024</v>
      </c>
      <c r="X31" s="31" t="str">
        <v/>
      </c>
      <c r="Y31" s="32" t="str">
        <v/>
      </c>
      <c r="Z31" s="35"/>
      <c r="AA31" s="31" t="str">
        <v/>
      </c>
      <c r="AB31" s="32" t="str">
        <v/>
      </c>
    </row>
    <row r="32" spans="2:28" x14ac:dyDescent="0.25">
      <c r="B32" s="6" t="str">
        <f t="shared" si="0"/>
        <v>25: Water for construction</v>
      </c>
      <c r="C32" s="2"/>
      <c r="D32" s="23">
        <f t="shared" si="1"/>
        <v>25</v>
      </c>
      <c r="E32" s="2" t="str">
        <f t="shared" si="8"/>
        <v>Material</v>
      </c>
      <c r="F32" s="2" t="str">
        <f t="shared" si="4"/>
        <v>Water for construction</v>
      </c>
      <c r="G32" s="2" t="str">
        <f t="shared" si="5"/>
        <v>drum</v>
      </c>
      <c r="H32" s="19">
        <f t="shared" si="6"/>
        <v>130</v>
      </c>
      <c r="J32" s="23">
        <v>25</v>
      </c>
      <c r="K32" s="2" t="str">
        <v>Material</v>
      </c>
      <c r="L32" s="2" t="str">
        <v>Water for construction</v>
      </c>
      <c r="M32" s="2" t="str">
        <v>drum</v>
      </c>
      <c r="N32" s="19">
        <v>130</v>
      </c>
      <c r="P32" s="212" t="str">
        <f ca="1">RIGHT(CELL("filename",Comparison!D17),LEN(CELL("filename",Comparison!D17))-FIND("]",CELL("filename",Comparison!D17)))</f>
        <v>Comparison</v>
      </c>
      <c r="R32" s="23" t="str">
        <f>IF('Dropdown Lists'!H38="","",'Dropdown Lists'!H38)</f>
        <v/>
      </c>
      <c r="S32" s="19">
        <f t="shared" si="7"/>
        <v>2025</v>
      </c>
      <c r="U32" s="23" t="str">
        <f>IF('Dropdown Lists'!L38="","",'Dropdown Lists'!L38)</f>
        <v/>
      </c>
      <c r="V32" s="19">
        <f t="shared" si="3"/>
        <v>1025</v>
      </c>
      <c r="X32" s="31" t="str">
        <v/>
      </c>
      <c r="Y32" s="32" t="str">
        <v/>
      </c>
      <c r="Z32" s="35"/>
      <c r="AA32" s="31" t="str">
        <v/>
      </c>
      <c r="AB32" s="32" t="str">
        <v/>
      </c>
    </row>
    <row r="33" spans="2:28" x14ac:dyDescent="0.25">
      <c r="B33" s="6" t="str">
        <f t="shared" si="0"/>
        <v>26: Pit excavation (labour, earth disposal)</v>
      </c>
      <c r="C33" s="2"/>
      <c r="D33" s="23">
        <f t="shared" si="1"/>
        <v>26</v>
      </c>
      <c r="E33" s="2" t="str">
        <f t="shared" si="8"/>
        <v>Labour</v>
      </c>
      <c r="F33" s="2" t="str">
        <f t="shared" si="4"/>
        <v>Pit excavation (labour, earth disposal)</v>
      </c>
      <c r="G33" s="2" t="str">
        <f t="shared" si="5"/>
        <v>m3</v>
      </c>
      <c r="H33" s="19">
        <f t="shared" si="6"/>
        <v>900</v>
      </c>
      <c r="J33" s="23">
        <v>26</v>
      </c>
      <c r="K33" s="2" t="str">
        <v>Labour</v>
      </c>
      <c r="L33" s="2" t="str">
        <v>Pit excavation (labour, earth disposal)</v>
      </c>
      <c r="M33" s="2" t="str">
        <v>m3</v>
      </c>
      <c r="N33" s="19">
        <v>900</v>
      </c>
      <c r="P33" s="212" t="str">
        <f ca="1">RIGHT(CELL("filename",Calculations!B15),LEN(CELL("filename",Calculations!B15))-FIND("]",CELL("filename",Calculations!B15)))</f>
        <v>Calculations</v>
      </c>
      <c r="R33" s="23" t="str">
        <f>IF('Dropdown Lists'!H39="","",'Dropdown Lists'!H39)</f>
        <v/>
      </c>
      <c r="S33" s="19">
        <f t="shared" si="7"/>
        <v>2026</v>
      </c>
      <c r="U33" s="23" t="str">
        <f>IF('Dropdown Lists'!L39="","",'Dropdown Lists'!L39)</f>
        <v/>
      </c>
      <c r="V33" s="19">
        <f t="shared" si="3"/>
        <v>1026</v>
      </c>
      <c r="X33" s="31" t="str">
        <v/>
      </c>
      <c r="Y33" s="32" t="str">
        <v/>
      </c>
      <c r="Z33" s="35"/>
      <c r="AA33" s="31" t="str">
        <v/>
      </c>
      <c r="AB33" s="32" t="str">
        <v/>
      </c>
    </row>
    <row r="34" spans="2:28" ht="13.2" x14ac:dyDescent="0.25">
      <c r="B34" s="6" t="str">
        <f t="shared" si="0"/>
        <v>27: Xipoti sit-on</v>
      </c>
      <c r="C34" s="2"/>
      <c r="D34" s="23">
        <f t="shared" si="1"/>
        <v>27</v>
      </c>
      <c r="E34" s="2" t="str">
        <f t="shared" si="8"/>
        <v>Unknown</v>
      </c>
      <c r="F34" s="2" t="str">
        <f t="shared" si="4"/>
        <v>Xipoti sit-on</v>
      </c>
      <c r="G34" s="2" t="str">
        <f t="shared" si="5"/>
        <v>pieces</v>
      </c>
      <c r="H34" s="19">
        <f t="shared" si="6"/>
        <v>9000</v>
      </c>
      <c r="J34" s="23">
        <v>27</v>
      </c>
      <c r="K34" s="2" t="str">
        <v>Unknown</v>
      </c>
      <c r="L34" s="2" t="str">
        <v>Xipoti sit-on</v>
      </c>
      <c r="M34" s="2" t="str">
        <v>pieces</v>
      </c>
      <c r="N34" s="19">
        <v>9000</v>
      </c>
      <c r="R34" s="23" t="str">
        <f>IF('Dropdown Lists'!H40="","",'Dropdown Lists'!H40)</f>
        <v/>
      </c>
      <c r="S34" s="19">
        <f t="shared" si="7"/>
        <v>2027</v>
      </c>
      <c r="U34" s="23" t="str">
        <f>IF('Dropdown Lists'!L40="","",'Dropdown Lists'!L40)</f>
        <v/>
      </c>
      <c r="V34" s="19">
        <f t="shared" si="3"/>
        <v>1027</v>
      </c>
      <c r="X34" s="31" t="str">
        <v/>
      </c>
      <c r="Y34" s="32" t="str">
        <v/>
      </c>
      <c r="Z34" s="35"/>
      <c r="AA34" s="31" t="str">
        <v/>
      </c>
      <c r="AB34" s="32" t="str">
        <v/>
      </c>
    </row>
    <row r="35" spans="2:28" ht="13.2" x14ac:dyDescent="0.25">
      <c r="B35" s="6" t="str">
        <f t="shared" si="0"/>
        <v>28: Superstructure masonry stones</v>
      </c>
      <c r="C35" s="2"/>
      <c r="D35" s="23">
        <f t="shared" si="1"/>
        <v>28</v>
      </c>
      <c r="E35" s="2" t="str">
        <f t="shared" si="8"/>
        <v>Unknown</v>
      </c>
      <c r="F35" s="2" t="str">
        <f t="shared" si="4"/>
        <v>Superstructure masonry stones</v>
      </c>
      <c r="G35" s="2" t="str">
        <f t="shared" si="5"/>
        <v>pieces</v>
      </c>
      <c r="H35" s="19">
        <f t="shared" si="6"/>
        <v>31632.13</v>
      </c>
      <c r="J35" s="23">
        <v>28</v>
      </c>
      <c r="K35" s="2" t="str">
        <v>Unknown</v>
      </c>
      <c r="L35" s="2" t="str">
        <v>Superstructure masonry stones</v>
      </c>
      <c r="M35" s="2" t="str">
        <v>pieces</v>
      </c>
      <c r="N35" s="19">
        <v>31632.13</v>
      </c>
      <c r="R35" s="23" t="str">
        <f>IF('Dropdown Lists'!H41="","",'Dropdown Lists'!H41)</f>
        <v/>
      </c>
      <c r="S35" s="19">
        <f t="shared" si="7"/>
        <v>2028</v>
      </c>
      <c r="U35" s="23" t="str">
        <f>IF('Dropdown Lists'!L41="","",'Dropdown Lists'!L41)</f>
        <v/>
      </c>
      <c r="V35" s="19">
        <f t="shared" si="3"/>
        <v>1028</v>
      </c>
      <c r="X35" s="31" t="str">
        <v/>
      </c>
      <c r="Y35" s="32" t="str">
        <v/>
      </c>
      <c r="Z35" s="35"/>
      <c r="AA35" s="31" t="str">
        <v/>
      </c>
      <c r="AB35" s="32" t="str">
        <v/>
      </c>
    </row>
    <row r="36" spans="2:28" ht="13.2" x14ac:dyDescent="0.25">
      <c r="B36" s="6" t="str">
        <f t="shared" si="0"/>
        <v>29: (blank)</v>
      </c>
      <c r="C36" s="2"/>
      <c r="D36" s="23">
        <f t="shared" si="1"/>
        <v>29</v>
      </c>
      <c r="E36" s="2" t="str">
        <f t="shared" si="8"/>
        <v/>
      </c>
      <c r="F36" s="2" t="str">
        <f t="shared" si="4"/>
        <v>(blank)</v>
      </c>
      <c r="G36" s="2" t="str">
        <f t="shared" si="5"/>
        <v/>
      </c>
      <c r="H36" s="19" t="str">
        <f t="shared" si="6"/>
        <v/>
      </c>
      <c r="J36" s="23">
        <v>29</v>
      </c>
      <c r="K36" s="2">
        <v>0</v>
      </c>
      <c r="L36" s="2" t="str">
        <v>(blank)</v>
      </c>
      <c r="M36" s="2">
        <v>0</v>
      </c>
      <c r="N36" s="19" t="str">
        <v/>
      </c>
      <c r="P36" s="42" t="s">
        <v>138</v>
      </c>
      <c r="R36" s="23" t="str">
        <f>IF('Dropdown Lists'!H42="","",'Dropdown Lists'!H42)</f>
        <v/>
      </c>
      <c r="S36" s="19">
        <f t="shared" si="7"/>
        <v>2029</v>
      </c>
      <c r="U36" s="23" t="str">
        <f>IF('Dropdown Lists'!L42="","",'Dropdown Lists'!L42)</f>
        <v/>
      </c>
      <c r="V36" s="19">
        <f t="shared" si="3"/>
        <v>1029</v>
      </c>
      <c r="X36" s="31" t="str">
        <v/>
      </c>
      <c r="Y36" s="32" t="str">
        <v/>
      </c>
      <c r="Z36" s="35"/>
      <c r="AA36" s="31" t="str">
        <v/>
      </c>
      <c r="AB36" s="32" t="str">
        <v/>
      </c>
    </row>
    <row r="37" spans="2:28" ht="13.2" x14ac:dyDescent="0.25">
      <c r="B37" s="6" t="str">
        <f t="shared" si="0"/>
        <v>30: Rectangular excavation (4 ft x 3 ft)</v>
      </c>
      <c r="C37" s="2"/>
      <c r="D37" s="23">
        <f t="shared" si="1"/>
        <v>30</v>
      </c>
      <c r="E37" s="2" t="str">
        <f t="shared" si="8"/>
        <v>Material</v>
      </c>
      <c r="F37" s="2" t="str">
        <f t="shared" si="4"/>
        <v>Rectangular excavation (4 ft x 3 ft)</v>
      </c>
      <c r="G37" s="2" t="str">
        <f t="shared" si="5"/>
        <v>pieces</v>
      </c>
      <c r="H37" s="19">
        <f t="shared" si="6"/>
        <v>1000</v>
      </c>
      <c r="J37" s="23">
        <v>30</v>
      </c>
      <c r="K37" s="2" t="str">
        <v>Material</v>
      </c>
      <c r="L37" s="2" t="str">
        <v>Rectangular excavation (4 ft x 3 ft)</v>
      </c>
      <c r="M37" s="2" t="str">
        <v>pieces</v>
      </c>
      <c r="N37" s="19">
        <v>1000</v>
      </c>
      <c r="P37" s="5" t="str">
        <f ca="1">P18&amp;" - "&amp;"Cost according to Item Categories"</f>
        <v>Model 1 - Cost according to Item Categories</v>
      </c>
      <c r="R37" s="23" t="str">
        <f>IF('Dropdown Lists'!H43="","",'Dropdown Lists'!H43)</f>
        <v/>
      </c>
      <c r="S37" s="19">
        <f t="shared" si="7"/>
        <v>2030</v>
      </c>
      <c r="U37" s="23" t="str">
        <f>IF('Dropdown Lists'!L43="","",'Dropdown Lists'!L43)</f>
        <v/>
      </c>
      <c r="V37" s="19">
        <f t="shared" si="3"/>
        <v>1030</v>
      </c>
      <c r="X37" s="31" t="str">
        <v/>
      </c>
      <c r="Y37" s="32" t="str">
        <v/>
      </c>
      <c r="Z37" s="35"/>
      <c r="AA37" s="31" t="str">
        <v/>
      </c>
      <c r="AB37" s="32" t="str">
        <v/>
      </c>
    </row>
    <row r="38" spans="2:28" ht="13.2" x14ac:dyDescent="0.25">
      <c r="B38" s="6" t="str">
        <f t="shared" si="0"/>
        <v>31: Masonry lining</v>
      </c>
      <c r="D38" s="23">
        <f t="shared" si="1"/>
        <v>31</v>
      </c>
      <c r="E38" s="2" t="str">
        <f t="shared" si="8"/>
        <v>Material</v>
      </c>
      <c r="F38" s="2" t="str">
        <f t="shared" si="4"/>
        <v>Masonry lining</v>
      </c>
      <c r="G38" s="2" t="str">
        <f t="shared" si="5"/>
        <v>pieces</v>
      </c>
      <c r="H38" s="19">
        <f t="shared" si="6"/>
        <v>20</v>
      </c>
      <c r="J38" s="23">
        <v>31</v>
      </c>
      <c r="K38" s="2" t="str">
        <v>Material</v>
      </c>
      <c r="L38" s="2" t="str">
        <v>Masonry lining</v>
      </c>
      <c r="M38" s="2" t="str">
        <v>pieces</v>
      </c>
      <c r="N38" s="19">
        <v>20</v>
      </c>
      <c r="P38" s="6" t="str">
        <f ca="1">P19&amp;" - "&amp;"Cost according to Item Categories"</f>
        <v>Model 2 - Cost according to Item Categories</v>
      </c>
      <c r="R38" s="23" t="str">
        <f>IF('Dropdown Lists'!H44="","",'Dropdown Lists'!H44)</f>
        <v/>
      </c>
      <c r="S38" s="19">
        <f t="shared" si="7"/>
        <v>2031</v>
      </c>
      <c r="U38" s="23" t="str">
        <f>IF('Dropdown Lists'!L44="","",'Dropdown Lists'!L44)</f>
        <v/>
      </c>
      <c r="V38" s="19">
        <f t="shared" si="3"/>
        <v>1031</v>
      </c>
      <c r="X38" s="31" t="str">
        <v/>
      </c>
      <c r="Y38" s="32" t="str">
        <v/>
      </c>
      <c r="Z38" s="35"/>
      <c r="AA38" s="31" t="str">
        <v/>
      </c>
      <c r="AB38" s="32" t="str">
        <v/>
      </c>
    </row>
    <row r="39" spans="2:28" ht="13.2" x14ac:dyDescent="0.25">
      <c r="B39" s="6" t="str">
        <f t="shared" si="0"/>
        <v>32: Cement (pit)</v>
      </c>
      <c r="D39" s="23">
        <f t="shared" si="1"/>
        <v>32</v>
      </c>
      <c r="E39" s="2" t="str">
        <f t="shared" si="8"/>
        <v>Material</v>
      </c>
      <c r="F39" s="2" t="str">
        <f t="shared" si="4"/>
        <v>Cement (pit)</v>
      </c>
      <c r="G39" s="2" t="str">
        <f t="shared" si="5"/>
        <v>bags</v>
      </c>
      <c r="H39" s="19">
        <f t="shared" si="6"/>
        <v>1000</v>
      </c>
      <c r="J39" s="23">
        <v>32</v>
      </c>
      <c r="K39" s="2" t="str">
        <v>Material</v>
      </c>
      <c r="L39" s="2" t="str">
        <v>Cement (pit)</v>
      </c>
      <c r="M39" s="2" t="str">
        <v>bags</v>
      </c>
      <c r="N39" s="19">
        <v>1000</v>
      </c>
      <c r="P39" s="6" t="str">
        <f ca="1">P18&amp;" - "&amp;"Cost according to Components (Elements)"</f>
        <v>Model 1 - Cost according to Components (Elements)</v>
      </c>
      <c r="R39" s="23" t="str">
        <f>IF('Dropdown Lists'!H45="","",'Dropdown Lists'!H45)</f>
        <v/>
      </c>
      <c r="S39" s="19">
        <f t="shared" si="7"/>
        <v>2032</v>
      </c>
      <c r="U39" s="23" t="str">
        <f>IF('Dropdown Lists'!L45="","",'Dropdown Lists'!L45)</f>
        <v/>
      </c>
      <c r="V39" s="19">
        <f t="shared" si="3"/>
        <v>1032</v>
      </c>
      <c r="X39" s="31" t="str">
        <v/>
      </c>
      <c r="Y39" s="32" t="str">
        <v/>
      </c>
      <c r="Z39" s="35"/>
      <c r="AA39" s="31" t="str">
        <v/>
      </c>
      <c r="AB39" s="32" t="str">
        <v/>
      </c>
    </row>
    <row r="40" spans="2:28" ht="13.2" x14ac:dyDescent="0.25">
      <c r="B40" s="6" t="str">
        <f t="shared" ref="B40:B71" si="9">IF(D40="","",D40&amp;": "&amp;F40)</f>
        <v>33: Sand (pit)</v>
      </c>
      <c r="D40" s="23">
        <f t="shared" ref="D40:D71" si="10">IF(ISERROR(J40),"",IF(J40=0,"",J40))</f>
        <v>33</v>
      </c>
      <c r="E40" s="2" t="str">
        <f t="shared" si="8"/>
        <v>Material</v>
      </c>
      <c r="F40" s="2" t="str">
        <f t="shared" si="4"/>
        <v>Sand (pit)</v>
      </c>
      <c r="G40" s="2" t="str">
        <f t="shared" si="5"/>
        <v>wheelbarrows</v>
      </c>
      <c r="H40" s="19">
        <f t="shared" si="6"/>
        <v>100</v>
      </c>
      <c r="J40" s="23">
        <v>33</v>
      </c>
      <c r="K40" s="2" t="str">
        <v>Material</v>
      </c>
      <c r="L40" s="2" t="str">
        <v>Sand (pit)</v>
      </c>
      <c r="M40" s="2" t="str">
        <v>wheelbarrows</v>
      </c>
      <c r="N40" s="19">
        <v>100</v>
      </c>
      <c r="P40" s="8" t="str">
        <f ca="1">P19&amp;" - "&amp;"Cost according to Components (Elements)"</f>
        <v>Model 2 - Cost according to Components (Elements)</v>
      </c>
      <c r="R40" s="23" t="str">
        <f>IF('Dropdown Lists'!H46="","",'Dropdown Lists'!H46)</f>
        <v/>
      </c>
      <c r="S40" s="19">
        <f t="shared" si="7"/>
        <v>2033</v>
      </c>
      <c r="U40" s="23" t="str">
        <f>IF('Dropdown Lists'!L46="","",'Dropdown Lists'!L46)</f>
        <v/>
      </c>
      <c r="V40" s="19">
        <f t="shared" ref="V40:V71" si="11">ROW(V40)-ROW(V$8)+1001</f>
        <v>1033</v>
      </c>
      <c r="X40" s="31" t="str">
        <v/>
      </c>
      <c r="Y40" s="32" t="str">
        <v/>
      </c>
      <c r="Z40" s="35"/>
      <c r="AA40" s="31" t="str">
        <v/>
      </c>
      <c r="AB40" s="32" t="str">
        <v/>
      </c>
    </row>
    <row r="41" spans="2:28" ht="13.2" x14ac:dyDescent="0.25">
      <c r="B41" s="6" t="str">
        <f t="shared" si="9"/>
        <v>34: Ballast (pit)</v>
      </c>
      <c r="D41" s="23">
        <f t="shared" si="10"/>
        <v>34</v>
      </c>
      <c r="E41" s="2" t="str">
        <f t="shared" si="8"/>
        <v>Material</v>
      </c>
      <c r="F41" s="2" t="str">
        <f t="shared" si="4"/>
        <v>Ballast (pit)</v>
      </c>
      <c r="G41" s="2" t="str">
        <f t="shared" si="5"/>
        <v>wheelbarrows</v>
      </c>
      <c r="H41" s="19">
        <f t="shared" si="6"/>
        <v>150</v>
      </c>
      <c r="J41" s="23">
        <v>34</v>
      </c>
      <c r="K41" s="2" t="str">
        <v>Material</v>
      </c>
      <c r="L41" s="2" t="str">
        <v>Ballast (pit)</v>
      </c>
      <c r="M41" s="2" t="str">
        <v>wheelbarrows</v>
      </c>
      <c r="N41" s="19">
        <v>150</v>
      </c>
      <c r="R41" s="23" t="str">
        <f>IF('Dropdown Lists'!H47="","",'Dropdown Lists'!H47)</f>
        <v/>
      </c>
      <c r="S41" s="19">
        <f t="shared" si="7"/>
        <v>2034</v>
      </c>
      <c r="U41" s="23" t="str">
        <f>IF('Dropdown Lists'!L47="","",'Dropdown Lists'!L47)</f>
        <v/>
      </c>
      <c r="V41" s="19">
        <f t="shared" si="11"/>
        <v>1034</v>
      </c>
      <c r="X41" s="31" t="str">
        <v/>
      </c>
      <c r="Y41" s="32" t="str">
        <v/>
      </c>
      <c r="Z41" s="35"/>
      <c r="AA41" s="31" t="str">
        <v/>
      </c>
      <c r="AB41" s="32" t="str">
        <v/>
      </c>
    </row>
    <row r="42" spans="2:28" ht="13.2" x14ac:dyDescent="0.25">
      <c r="B42" s="6" t="str">
        <f t="shared" si="9"/>
        <v>35: Timber support</v>
      </c>
      <c r="D42" s="23">
        <f t="shared" si="10"/>
        <v>35</v>
      </c>
      <c r="E42" s="2" t="str">
        <f t="shared" si="8"/>
        <v>Material</v>
      </c>
      <c r="F42" s="2" t="str">
        <f t="shared" si="4"/>
        <v>Timber support</v>
      </c>
      <c r="G42" s="2" t="str">
        <f t="shared" si="5"/>
        <v>pieces</v>
      </c>
      <c r="H42" s="19">
        <f t="shared" si="6"/>
        <v>2000</v>
      </c>
      <c r="J42" s="23">
        <v>35</v>
      </c>
      <c r="K42" s="2" t="str">
        <v>Material</v>
      </c>
      <c r="L42" s="2" t="str">
        <v>Timber support</v>
      </c>
      <c r="M42" s="2" t="str">
        <v>pieces</v>
      </c>
      <c r="N42" s="19">
        <v>2000</v>
      </c>
      <c r="R42" s="23" t="str">
        <f>IF('Dropdown Lists'!H48="","",'Dropdown Lists'!H48)</f>
        <v/>
      </c>
      <c r="S42" s="19">
        <f t="shared" si="7"/>
        <v>2035</v>
      </c>
      <c r="U42" s="23" t="str">
        <f>IF('Dropdown Lists'!L48="","",'Dropdown Lists'!L48)</f>
        <v/>
      </c>
      <c r="V42" s="19">
        <f t="shared" si="11"/>
        <v>1035</v>
      </c>
      <c r="X42" s="31" t="str">
        <v/>
      </c>
      <c r="Y42" s="32" t="str">
        <v/>
      </c>
      <c r="Z42" s="35"/>
      <c r="AA42" s="31" t="str">
        <v/>
      </c>
      <c r="AB42" s="32" t="str">
        <v/>
      </c>
    </row>
    <row r="43" spans="2:28" ht="13.2" x14ac:dyDescent="0.25">
      <c r="B43" s="6" t="str">
        <f t="shared" si="9"/>
        <v>36: Cement (slab)</v>
      </c>
      <c r="D43" s="23">
        <f t="shared" si="10"/>
        <v>36</v>
      </c>
      <c r="E43" s="2" t="str">
        <f t="shared" si="8"/>
        <v>Material</v>
      </c>
      <c r="F43" s="2" t="str">
        <f t="shared" si="4"/>
        <v>Cement (slab)</v>
      </c>
      <c r="G43" s="2" t="str">
        <f t="shared" si="5"/>
        <v>bags</v>
      </c>
      <c r="H43" s="19">
        <f t="shared" si="6"/>
        <v>1000</v>
      </c>
      <c r="J43" s="23">
        <v>36</v>
      </c>
      <c r="K43" s="2" t="str">
        <v>Material</v>
      </c>
      <c r="L43" s="2" t="str">
        <v>Cement (slab)</v>
      </c>
      <c r="M43" s="2" t="str">
        <v>bags</v>
      </c>
      <c r="N43" s="19">
        <v>1000</v>
      </c>
      <c r="R43" s="23" t="str">
        <f>IF('Dropdown Lists'!H49="","",'Dropdown Lists'!H49)</f>
        <v/>
      </c>
      <c r="S43" s="19">
        <f t="shared" si="7"/>
        <v>2036</v>
      </c>
      <c r="U43" s="23" t="str">
        <f>IF('Dropdown Lists'!L49="","",'Dropdown Lists'!L49)</f>
        <v/>
      </c>
      <c r="V43" s="19">
        <f t="shared" si="11"/>
        <v>1036</v>
      </c>
      <c r="X43" s="31" t="str">
        <v/>
      </c>
      <c r="Y43" s="32" t="str">
        <v/>
      </c>
      <c r="Z43" s="35"/>
      <c r="AA43" s="31" t="str">
        <v/>
      </c>
      <c r="AB43" s="32" t="str">
        <v/>
      </c>
    </row>
    <row r="44" spans="2:28" ht="13.2" x14ac:dyDescent="0.25">
      <c r="B44" s="6" t="str">
        <f t="shared" si="9"/>
        <v>37: Sand (slab)</v>
      </c>
      <c r="D44" s="23">
        <f t="shared" si="10"/>
        <v>37</v>
      </c>
      <c r="E44" s="2" t="str">
        <f t="shared" si="8"/>
        <v>Material</v>
      </c>
      <c r="F44" s="2" t="str">
        <f t="shared" si="4"/>
        <v>Sand (slab)</v>
      </c>
      <c r="G44" s="2" t="str">
        <f t="shared" si="5"/>
        <v>wheelbarrows</v>
      </c>
      <c r="H44" s="19">
        <f t="shared" si="6"/>
        <v>100</v>
      </c>
      <c r="J44" s="23">
        <v>37</v>
      </c>
      <c r="K44" s="2" t="str">
        <v>Material</v>
      </c>
      <c r="L44" s="2" t="str">
        <v>Sand (slab)</v>
      </c>
      <c r="M44" s="2" t="str">
        <v>wheelbarrows</v>
      </c>
      <c r="N44" s="19">
        <v>100</v>
      </c>
      <c r="R44" s="23" t="str">
        <f>IF('Dropdown Lists'!H50="","",'Dropdown Lists'!H50)</f>
        <v/>
      </c>
      <c r="S44" s="19">
        <f t="shared" si="7"/>
        <v>2037</v>
      </c>
      <c r="U44" s="23" t="str">
        <f>IF('Dropdown Lists'!L50="","",'Dropdown Lists'!L50)</f>
        <v/>
      </c>
      <c r="V44" s="19">
        <f t="shared" si="11"/>
        <v>1037</v>
      </c>
      <c r="X44" s="31" t="str">
        <v/>
      </c>
      <c r="Y44" s="32" t="str">
        <v/>
      </c>
      <c r="Z44" s="35"/>
      <c r="AA44" s="31" t="str">
        <v/>
      </c>
      <c r="AB44" s="32" t="str">
        <v/>
      </c>
    </row>
    <row r="45" spans="2:28" ht="13.2" x14ac:dyDescent="0.25">
      <c r="B45" s="6" t="str">
        <f t="shared" si="9"/>
        <v>38: Ballast (slab)</v>
      </c>
      <c r="D45" s="23">
        <f t="shared" si="10"/>
        <v>38</v>
      </c>
      <c r="E45" s="2" t="str">
        <f t="shared" si="8"/>
        <v>Material</v>
      </c>
      <c r="F45" s="2" t="str">
        <f t="shared" si="4"/>
        <v>Ballast (slab)</v>
      </c>
      <c r="G45" s="2" t="str">
        <f t="shared" si="5"/>
        <v>wheelbarrows</v>
      </c>
      <c r="H45" s="19">
        <f t="shared" si="6"/>
        <v>150</v>
      </c>
      <c r="J45" s="23">
        <v>38</v>
      </c>
      <c r="K45" s="2" t="str">
        <v>Material</v>
      </c>
      <c r="L45" s="2" t="str">
        <v>Ballast (slab)</v>
      </c>
      <c r="M45" s="2" t="str">
        <v>wheelbarrows</v>
      </c>
      <c r="N45" s="19">
        <v>150</v>
      </c>
      <c r="R45" s="23" t="str">
        <f>IF('Dropdown Lists'!H51="","",'Dropdown Lists'!H51)</f>
        <v/>
      </c>
      <c r="S45" s="19">
        <f t="shared" si="7"/>
        <v>2038</v>
      </c>
      <c r="U45" s="23" t="str">
        <f>IF('Dropdown Lists'!L51="","",'Dropdown Lists'!L51)</f>
        <v/>
      </c>
      <c r="V45" s="19">
        <f t="shared" si="11"/>
        <v>1038</v>
      </c>
      <c r="X45" s="31" t="str">
        <v/>
      </c>
      <c r="Y45" s="32" t="str">
        <v/>
      </c>
      <c r="Z45" s="35"/>
      <c r="AA45" s="31" t="str">
        <v/>
      </c>
      <c r="AB45" s="32" t="str">
        <v/>
      </c>
    </row>
    <row r="46" spans="2:28" ht="13.2" x14ac:dyDescent="0.25">
      <c r="B46" s="6" t="str">
        <f t="shared" si="9"/>
        <v>39: Timber for mold (6" x 1")</v>
      </c>
      <c r="D46" s="23">
        <f t="shared" si="10"/>
        <v>39</v>
      </c>
      <c r="E46" s="2" t="str">
        <f t="shared" si="8"/>
        <v>Material</v>
      </c>
      <c r="F46" s="2" t="str">
        <f t="shared" si="4"/>
        <v>Timber for mold (6" x 1")</v>
      </c>
      <c r="G46" s="2" t="str">
        <f t="shared" si="5"/>
        <v>pieces</v>
      </c>
      <c r="H46" s="19">
        <f t="shared" si="6"/>
        <v>25</v>
      </c>
      <c r="J46" s="23">
        <v>39</v>
      </c>
      <c r="K46" s="2" t="str">
        <v>Material</v>
      </c>
      <c r="L46" s="2" t="str">
        <v>Timber for mold (6" x 1")</v>
      </c>
      <c r="M46" s="2" t="str">
        <v>pieces</v>
      </c>
      <c r="N46" s="19">
        <v>25</v>
      </c>
      <c r="R46" s="23" t="str">
        <f>IF('Dropdown Lists'!H52="","",'Dropdown Lists'!H52)</f>
        <v/>
      </c>
      <c r="S46" s="19">
        <f t="shared" si="7"/>
        <v>2039</v>
      </c>
      <c r="U46" s="23" t="str">
        <f>IF('Dropdown Lists'!L52="","",'Dropdown Lists'!L52)</f>
        <v/>
      </c>
      <c r="V46" s="19">
        <f t="shared" si="11"/>
        <v>1039</v>
      </c>
      <c r="X46" s="31" t="str">
        <v/>
      </c>
      <c r="Y46" s="32" t="str">
        <v/>
      </c>
      <c r="Z46" s="35"/>
      <c r="AA46" s="31" t="str">
        <v/>
      </c>
      <c r="AB46" s="32" t="str">
        <v/>
      </c>
    </row>
    <row r="47" spans="2:28" ht="13.2" x14ac:dyDescent="0.25">
      <c r="B47" s="6" t="str">
        <f t="shared" si="9"/>
        <v>40: Medium mesh (8' x 4')</v>
      </c>
      <c r="D47" s="23">
        <f t="shared" si="10"/>
        <v>40</v>
      </c>
      <c r="E47" s="2" t="str">
        <f t="shared" si="8"/>
        <v>Material</v>
      </c>
      <c r="F47" s="2" t="str">
        <f t="shared" si="4"/>
        <v>Medium mesh (8' x 4')</v>
      </c>
      <c r="G47" s="2" t="str">
        <f t="shared" si="5"/>
        <v>pieces</v>
      </c>
      <c r="H47" s="19">
        <f t="shared" si="6"/>
        <v>600</v>
      </c>
      <c r="J47" s="23">
        <v>40</v>
      </c>
      <c r="K47" s="2" t="str">
        <v>Material</v>
      </c>
      <c r="L47" s="2" t="str">
        <v>Medium mesh (8' x 4')</v>
      </c>
      <c r="M47" s="2" t="str">
        <v>pieces</v>
      </c>
      <c r="N47" s="19">
        <v>600</v>
      </c>
      <c r="R47" s="23" t="str">
        <f>IF('Dropdown Lists'!H53="","",'Dropdown Lists'!H53)</f>
        <v/>
      </c>
      <c r="S47" s="19">
        <f t="shared" si="7"/>
        <v>2040</v>
      </c>
      <c r="U47" s="23" t="str">
        <f>IF('Dropdown Lists'!L53="","",'Dropdown Lists'!L53)</f>
        <v/>
      </c>
      <c r="V47" s="19">
        <f t="shared" si="11"/>
        <v>1040</v>
      </c>
      <c r="X47" s="31" t="str">
        <v/>
      </c>
      <c r="Y47" s="32" t="str">
        <v/>
      </c>
      <c r="Z47" s="35"/>
      <c r="AA47" s="31" t="str">
        <v/>
      </c>
      <c r="AB47" s="32" t="str">
        <v/>
      </c>
    </row>
    <row r="48" spans="2:28" ht="13.2" x14ac:dyDescent="0.25">
      <c r="B48" s="6" t="str">
        <f t="shared" si="9"/>
        <v>41: Iron bars (10 mm)</v>
      </c>
      <c r="D48" s="23">
        <f t="shared" si="10"/>
        <v>41</v>
      </c>
      <c r="E48" s="2" t="str">
        <f t="shared" si="8"/>
        <v>Material</v>
      </c>
      <c r="F48" s="2" t="str">
        <f t="shared" si="4"/>
        <v>Iron bars (10 mm)</v>
      </c>
      <c r="G48" s="2" t="str">
        <f t="shared" si="5"/>
        <v>pieces</v>
      </c>
      <c r="H48" s="19">
        <f t="shared" si="6"/>
        <v>800</v>
      </c>
      <c r="J48" s="23">
        <v>41</v>
      </c>
      <c r="K48" s="2" t="str">
        <v>Material</v>
      </c>
      <c r="L48" s="2" t="str">
        <v>Iron bars (10 mm)</v>
      </c>
      <c r="M48" s="2" t="str">
        <v>pieces</v>
      </c>
      <c r="N48" s="19">
        <v>800</v>
      </c>
      <c r="R48" s="23" t="str">
        <f>IF('Dropdown Lists'!H54="","",'Dropdown Lists'!H54)</f>
        <v/>
      </c>
      <c r="S48" s="19">
        <f t="shared" si="7"/>
        <v>2041</v>
      </c>
      <c r="U48" s="23" t="str">
        <f>IF('Dropdown Lists'!L54="","",'Dropdown Lists'!L54)</f>
        <v/>
      </c>
      <c r="V48" s="19">
        <f t="shared" si="11"/>
        <v>1041</v>
      </c>
      <c r="X48" s="31" t="str">
        <v/>
      </c>
      <c r="Y48" s="32" t="str">
        <v/>
      </c>
      <c r="Z48" s="35"/>
      <c r="AA48" s="31" t="str">
        <v/>
      </c>
      <c r="AB48" s="32" t="str">
        <v/>
      </c>
    </row>
    <row r="49" spans="2:28" ht="13.2" x14ac:dyDescent="0.25">
      <c r="B49" s="6" t="str">
        <f t="shared" si="9"/>
        <v>42: Cement (floor)</v>
      </c>
      <c r="D49" s="23">
        <f t="shared" si="10"/>
        <v>42</v>
      </c>
      <c r="E49" s="2" t="str">
        <f t="shared" si="8"/>
        <v>Material</v>
      </c>
      <c r="F49" s="2" t="str">
        <f t="shared" si="4"/>
        <v>Cement (floor)</v>
      </c>
      <c r="G49" s="2" t="str">
        <f t="shared" si="5"/>
        <v>bags</v>
      </c>
      <c r="H49" s="19">
        <f t="shared" si="6"/>
        <v>1000</v>
      </c>
      <c r="J49" s="23">
        <v>42</v>
      </c>
      <c r="K49" s="2" t="str">
        <v>Material</v>
      </c>
      <c r="L49" s="2" t="str">
        <v>Cement (floor)</v>
      </c>
      <c r="M49" s="2" t="str">
        <v>bags</v>
      </c>
      <c r="N49" s="19">
        <v>1000</v>
      </c>
      <c r="R49" s="23" t="str">
        <f>IF('Dropdown Lists'!H55="","",'Dropdown Lists'!H55)</f>
        <v/>
      </c>
      <c r="S49" s="19">
        <f t="shared" si="7"/>
        <v>2042</v>
      </c>
      <c r="U49" s="23" t="str">
        <f>IF('Dropdown Lists'!L55="","",'Dropdown Lists'!L55)</f>
        <v/>
      </c>
      <c r="V49" s="19">
        <f t="shared" si="11"/>
        <v>1042</v>
      </c>
      <c r="X49" s="31" t="str">
        <v/>
      </c>
      <c r="Y49" s="32" t="str">
        <v/>
      </c>
      <c r="Z49" s="35"/>
      <c r="AA49" s="31" t="str">
        <v/>
      </c>
      <c r="AB49" s="32" t="str">
        <v/>
      </c>
    </row>
    <row r="50" spans="2:28" ht="13.2" x14ac:dyDescent="0.25">
      <c r="B50" s="6" t="str">
        <f t="shared" si="9"/>
        <v>43: Sand (floor)</v>
      </c>
      <c r="D50" s="23">
        <f t="shared" si="10"/>
        <v>43</v>
      </c>
      <c r="E50" s="2" t="str">
        <f t="shared" si="8"/>
        <v>Material</v>
      </c>
      <c r="F50" s="2" t="str">
        <f t="shared" si="4"/>
        <v>Sand (floor)</v>
      </c>
      <c r="G50" s="2" t="str">
        <f t="shared" si="5"/>
        <v>wheelbarrows</v>
      </c>
      <c r="H50" s="19">
        <f t="shared" si="6"/>
        <v>100</v>
      </c>
      <c r="J50" s="23">
        <v>43</v>
      </c>
      <c r="K50" s="2" t="str">
        <v>Material</v>
      </c>
      <c r="L50" s="2" t="str">
        <v>Sand (floor)</v>
      </c>
      <c r="M50" s="2" t="str">
        <v>wheelbarrows</v>
      </c>
      <c r="N50" s="19">
        <v>100</v>
      </c>
      <c r="R50" s="23" t="str">
        <f>IF('Dropdown Lists'!H56="","",'Dropdown Lists'!H56)</f>
        <v/>
      </c>
      <c r="S50" s="19">
        <f t="shared" si="7"/>
        <v>2043</v>
      </c>
      <c r="U50" s="23" t="str">
        <f>IF('Dropdown Lists'!L56="","",'Dropdown Lists'!L56)</f>
        <v/>
      </c>
      <c r="V50" s="19">
        <f t="shared" si="11"/>
        <v>1043</v>
      </c>
      <c r="X50" s="31" t="str">
        <v/>
      </c>
      <c r="Y50" s="32" t="str">
        <v/>
      </c>
      <c r="Z50" s="35"/>
      <c r="AA50" s="31" t="str">
        <v/>
      </c>
      <c r="AB50" s="32" t="str">
        <v/>
      </c>
    </row>
    <row r="51" spans="2:28" ht="13.2" x14ac:dyDescent="0.25">
      <c r="B51" s="6" t="str">
        <f t="shared" si="9"/>
        <v>44: 4" PVC pipe</v>
      </c>
      <c r="D51" s="23">
        <f t="shared" si="10"/>
        <v>44</v>
      </c>
      <c r="E51" s="2" t="str">
        <f t="shared" si="8"/>
        <v>Material</v>
      </c>
      <c r="F51" s="2" t="str">
        <f t="shared" si="4"/>
        <v>4" PVC pipe</v>
      </c>
      <c r="G51" s="2" t="str">
        <f t="shared" si="5"/>
        <v>ft</v>
      </c>
      <c r="H51" s="19">
        <f t="shared" si="6"/>
        <v>70</v>
      </c>
      <c r="J51" s="23">
        <v>44</v>
      </c>
      <c r="K51" s="2" t="str">
        <v>Material</v>
      </c>
      <c r="L51" s="2" t="str">
        <v>4" PVC pipe</v>
      </c>
      <c r="M51" s="2" t="str">
        <v>ft</v>
      </c>
      <c r="N51" s="19">
        <v>70</v>
      </c>
      <c r="R51" s="23" t="str">
        <f>IF('Dropdown Lists'!H57="","",'Dropdown Lists'!H57)</f>
        <v/>
      </c>
      <c r="S51" s="19">
        <f t="shared" si="7"/>
        <v>2044</v>
      </c>
      <c r="U51" s="23" t="str">
        <f>IF('Dropdown Lists'!L57="","",'Dropdown Lists'!L57)</f>
        <v/>
      </c>
      <c r="V51" s="19">
        <f t="shared" si="11"/>
        <v>1044</v>
      </c>
      <c r="X51" s="31" t="str">
        <v/>
      </c>
      <c r="Y51" s="32" t="str">
        <v/>
      </c>
      <c r="Z51" s="35"/>
      <c r="AA51" s="31" t="str">
        <v/>
      </c>
      <c r="AB51" s="32" t="str">
        <v/>
      </c>
    </row>
    <row r="52" spans="2:28" ht="13.2" x14ac:dyDescent="0.25">
      <c r="B52" s="6" t="str">
        <f t="shared" si="9"/>
        <v>45: Cover</v>
      </c>
      <c r="D52" s="23">
        <f t="shared" si="10"/>
        <v>45</v>
      </c>
      <c r="E52" s="2" t="str">
        <f t="shared" si="8"/>
        <v>Material</v>
      </c>
      <c r="F52" s="2" t="str">
        <f t="shared" si="4"/>
        <v>Cover</v>
      </c>
      <c r="G52" s="2" t="str">
        <f t="shared" si="5"/>
        <v>pieces</v>
      </c>
      <c r="H52" s="19">
        <f t="shared" si="6"/>
        <v>70</v>
      </c>
      <c r="J52" s="23">
        <v>45</v>
      </c>
      <c r="K52" s="2" t="str">
        <v>Material</v>
      </c>
      <c r="L52" s="2" t="str">
        <v>Cover</v>
      </c>
      <c r="M52" s="2" t="str">
        <v>pieces</v>
      </c>
      <c r="N52" s="19">
        <v>70</v>
      </c>
      <c r="R52" s="23" t="str">
        <f>IF('Dropdown Lists'!H58="","",'Dropdown Lists'!H58)</f>
        <v/>
      </c>
      <c r="S52" s="19">
        <f t="shared" si="7"/>
        <v>2045</v>
      </c>
      <c r="U52" s="23" t="str">
        <f>IF('Dropdown Lists'!L58="","",'Dropdown Lists'!L58)</f>
        <v/>
      </c>
      <c r="V52" s="19">
        <f t="shared" si="11"/>
        <v>1045</v>
      </c>
      <c r="X52" s="31" t="str">
        <v/>
      </c>
      <c r="Y52" s="32" t="str">
        <v/>
      </c>
      <c r="Z52" s="35"/>
      <c r="AA52" s="31" t="str">
        <v/>
      </c>
      <c r="AB52" s="32" t="str">
        <v/>
      </c>
    </row>
    <row r="53" spans="2:28" ht="13.2" x14ac:dyDescent="0.25">
      <c r="B53" s="6" t="str">
        <f t="shared" si="9"/>
        <v>46: Net for fly trap</v>
      </c>
      <c r="D53" s="23">
        <f t="shared" si="10"/>
        <v>46</v>
      </c>
      <c r="E53" s="2" t="str">
        <f t="shared" si="8"/>
        <v>Material</v>
      </c>
      <c r="F53" s="2" t="str">
        <f t="shared" si="4"/>
        <v>Net for fly trap</v>
      </c>
      <c r="G53" s="2" t="str">
        <f t="shared" si="5"/>
        <v>ft2</v>
      </c>
      <c r="H53" s="19">
        <f t="shared" si="6"/>
        <v>20</v>
      </c>
      <c r="J53" s="23">
        <v>46</v>
      </c>
      <c r="K53" s="2" t="str">
        <v>Material</v>
      </c>
      <c r="L53" s="2" t="str">
        <v>Net for fly trap</v>
      </c>
      <c r="M53" s="2" t="str">
        <v>ft2</v>
      </c>
      <c r="N53" s="19">
        <v>20</v>
      </c>
      <c r="R53" s="23" t="str">
        <f>IF('Dropdown Lists'!H59="","",'Dropdown Lists'!H59)</f>
        <v/>
      </c>
      <c r="S53" s="19">
        <f t="shared" si="7"/>
        <v>2046</v>
      </c>
      <c r="U53" s="23" t="str">
        <f>IF('Dropdown Lists'!L59="","",'Dropdown Lists'!L59)</f>
        <v/>
      </c>
      <c r="V53" s="19">
        <f t="shared" si="11"/>
        <v>1046</v>
      </c>
      <c r="X53" s="31" t="str">
        <v/>
      </c>
      <c r="Y53" s="32" t="str">
        <v/>
      </c>
      <c r="Z53" s="35"/>
      <c r="AA53" s="31" t="str">
        <v/>
      </c>
      <c r="AB53" s="32" t="str">
        <v/>
      </c>
    </row>
    <row r="54" spans="2:28" ht="13.2" x14ac:dyDescent="0.25">
      <c r="B54" s="6" t="str">
        <f t="shared" si="9"/>
        <v>47: Masonry stones (structure)</v>
      </c>
      <c r="D54" s="23">
        <f t="shared" si="10"/>
        <v>47</v>
      </c>
      <c r="E54" s="2" t="str">
        <f t="shared" si="8"/>
        <v>Material</v>
      </c>
      <c r="F54" s="2" t="str">
        <f t="shared" si="4"/>
        <v>Masonry stones (structure)</v>
      </c>
      <c r="G54" s="2" t="str">
        <f t="shared" si="5"/>
        <v>pieces</v>
      </c>
      <c r="H54" s="19">
        <f t="shared" si="6"/>
        <v>20</v>
      </c>
      <c r="J54" s="23">
        <v>47</v>
      </c>
      <c r="K54" s="2" t="str">
        <v>Material</v>
      </c>
      <c r="L54" s="2" t="str">
        <v>Masonry stones (structure)</v>
      </c>
      <c r="M54" s="2" t="str">
        <v>pieces</v>
      </c>
      <c r="N54" s="19">
        <v>20</v>
      </c>
      <c r="R54" s="23" t="str">
        <f>IF('Dropdown Lists'!H60="","",'Dropdown Lists'!H60)</f>
        <v/>
      </c>
      <c r="S54" s="19">
        <f t="shared" si="7"/>
        <v>2047</v>
      </c>
      <c r="U54" s="23" t="str">
        <f>IF('Dropdown Lists'!L60="","",'Dropdown Lists'!L60)</f>
        <v/>
      </c>
      <c r="V54" s="19">
        <f t="shared" si="11"/>
        <v>1047</v>
      </c>
      <c r="X54" s="31" t="str">
        <v/>
      </c>
      <c r="Y54" s="32" t="str">
        <v/>
      </c>
      <c r="Z54" s="35"/>
      <c r="AA54" s="31" t="str">
        <v/>
      </c>
      <c r="AB54" s="32" t="str">
        <v/>
      </c>
    </row>
    <row r="55" spans="2:28" ht="13.2" x14ac:dyDescent="0.25">
      <c r="B55" s="6" t="str">
        <f t="shared" si="9"/>
        <v>48: Cement (structure)</v>
      </c>
      <c r="D55" s="23">
        <f t="shared" si="10"/>
        <v>48</v>
      </c>
      <c r="E55" s="2" t="str">
        <f t="shared" si="8"/>
        <v>Material</v>
      </c>
      <c r="F55" s="2" t="str">
        <f t="shared" si="4"/>
        <v>Cement (structure)</v>
      </c>
      <c r="G55" s="2" t="str">
        <f t="shared" si="5"/>
        <v>bags</v>
      </c>
      <c r="H55" s="19">
        <f t="shared" si="6"/>
        <v>1000</v>
      </c>
      <c r="J55" s="23">
        <v>48</v>
      </c>
      <c r="K55" s="2" t="str">
        <v>Material</v>
      </c>
      <c r="L55" s="2" t="str">
        <v>Cement (structure)</v>
      </c>
      <c r="M55" s="2" t="str">
        <v>bags</v>
      </c>
      <c r="N55" s="19">
        <v>1000</v>
      </c>
      <c r="R55" s="23" t="str">
        <f>IF('Dropdown Lists'!H61="","",'Dropdown Lists'!H61)</f>
        <v/>
      </c>
      <c r="S55" s="19">
        <f t="shared" si="7"/>
        <v>2048</v>
      </c>
      <c r="U55" s="23" t="str">
        <f>IF('Dropdown Lists'!L61="","",'Dropdown Lists'!L61)</f>
        <v/>
      </c>
      <c r="V55" s="19">
        <f t="shared" si="11"/>
        <v>1048</v>
      </c>
      <c r="X55" s="31" t="str">
        <v/>
      </c>
      <c r="Y55" s="32" t="str">
        <v/>
      </c>
      <c r="Z55" s="35"/>
      <c r="AA55" s="31" t="str">
        <v/>
      </c>
      <c r="AB55" s="32" t="str">
        <v/>
      </c>
    </row>
    <row r="56" spans="2:28" ht="13.2" x14ac:dyDescent="0.25">
      <c r="B56" s="6" t="str">
        <f t="shared" si="9"/>
        <v>49: Sand</v>
      </c>
      <c r="D56" s="23">
        <f t="shared" si="10"/>
        <v>49</v>
      </c>
      <c r="E56" s="2" t="str">
        <f t="shared" si="8"/>
        <v>Material</v>
      </c>
      <c r="F56" s="2" t="str">
        <f t="shared" si="4"/>
        <v>Sand</v>
      </c>
      <c r="G56" s="2" t="str">
        <f t="shared" si="5"/>
        <v>wheelbarrows</v>
      </c>
      <c r="H56" s="19">
        <f t="shared" si="6"/>
        <v>100</v>
      </c>
      <c r="J56" s="23">
        <v>49</v>
      </c>
      <c r="K56" s="2" t="str">
        <v>Material</v>
      </c>
      <c r="L56" s="2" t="str">
        <v>Sand</v>
      </c>
      <c r="M56" s="2" t="str">
        <v>wheelbarrows</v>
      </c>
      <c r="N56" s="19">
        <v>100</v>
      </c>
      <c r="R56" s="23" t="str">
        <f>IF('Dropdown Lists'!H62="","",'Dropdown Lists'!H62)</f>
        <v/>
      </c>
      <c r="S56" s="19">
        <f t="shared" si="7"/>
        <v>2049</v>
      </c>
      <c r="U56" s="23" t="str">
        <f>IF('Dropdown Lists'!L62="","",'Dropdown Lists'!L62)</f>
        <v/>
      </c>
      <c r="V56" s="19">
        <f t="shared" si="11"/>
        <v>1049</v>
      </c>
      <c r="X56" s="31" t="str">
        <v/>
      </c>
      <c r="Y56" s="32" t="str">
        <v/>
      </c>
      <c r="Z56" s="35"/>
      <c r="AA56" s="31" t="str">
        <v/>
      </c>
      <c r="AB56" s="32" t="str">
        <v/>
      </c>
    </row>
    <row r="57" spans="2:28" ht="13.2" x14ac:dyDescent="0.25">
      <c r="B57" s="6" t="str">
        <f t="shared" si="9"/>
        <v>50: Door</v>
      </c>
      <c r="D57" s="23">
        <f t="shared" si="10"/>
        <v>50</v>
      </c>
      <c r="E57" s="2" t="str">
        <f t="shared" si="8"/>
        <v>Material</v>
      </c>
      <c r="F57" s="2" t="str">
        <f t="shared" si="4"/>
        <v>Door</v>
      </c>
      <c r="G57" s="2" t="str">
        <f t="shared" si="5"/>
        <v>pieces</v>
      </c>
      <c r="H57" s="19">
        <f t="shared" si="6"/>
        <v>4300</v>
      </c>
      <c r="J57" s="23">
        <v>50</v>
      </c>
      <c r="K57" s="2" t="str">
        <v>Material</v>
      </c>
      <c r="L57" s="2" t="str">
        <v>Door</v>
      </c>
      <c r="M57" s="2" t="str">
        <v>pieces</v>
      </c>
      <c r="N57" s="19">
        <v>4300</v>
      </c>
      <c r="R57" s="23" t="str">
        <f>IF('Dropdown Lists'!H63="","",'Dropdown Lists'!H63)</f>
        <v/>
      </c>
      <c r="S57" s="19">
        <f t="shared" si="7"/>
        <v>2050</v>
      </c>
      <c r="U57" s="23" t="str">
        <f>IF('Dropdown Lists'!L63="","",'Dropdown Lists'!L63)</f>
        <v/>
      </c>
      <c r="V57" s="19">
        <f t="shared" si="11"/>
        <v>1050</v>
      </c>
      <c r="X57" s="31" t="str">
        <v/>
      </c>
      <c r="Y57" s="32" t="str">
        <v/>
      </c>
      <c r="Z57" s="35"/>
      <c r="AA57" s="31" t="str">
        <v/>
      </c>
      <c r="AB57" s="32" t="str">
        <v/>
      </c>
    </row>
    <row r="58" spans="2:28" ht="13.2" x14ac:dyDescent="0.25">
      <c r="B58" s="6" t="str">
        <f t="shared" si="9"/>
        <v>51: Timber 2" x 2"  (roof)</v>
      </c>
      <c r="D58" s="23">
        <f t="shared" si="10"/>
        <v>51</v>
      </c>
      <c r="E58" s="2" t="str">
        <f t="shared" si="8"/>
        <v>Material</v>
      </c>
      <c r="F58" s="2" t="str">
        <f t="shared" si="4"/>
        <v>Timber 2" x 2"  (roof)</v>
      </c>
      <c r="G58" s="2" t="str">
        <f t="shared" si="5"/>
        <v>pieces</v>
      </c>
      <c r="H58" s="19">
        <f t="shared" si="6"/>
        <v>30</v>
      </c>
      <c r="J58" s="23">
        <v>51</v>
      </c>
      <c r="K58" s="2" t="str">
        <v>Material</v>
      </c>
      <c r="L58" s="2" t="str">
        <v>Timber 2" x 2"  (roof)</v>
      </c>
      <c r="M58" s="2" t="str">
        <v>pieces</v>
      </c>
      <c r="N58" s="19">
        <v>30</v>
      </c>
      <c r="R58" s="23" t="str">
        <f>IF('Dropdown Lists'!H64="","",'Dropdown Lists'!H64)</f>
        <v/>
      </c>
      <c r="S58" s="19">
        <f t="shared" si="7"/>
        <v>2051</v>
      </c>
      <c r="U58" s="23" t="str">
        <f>IF('Dropdown Lists'!L64="","",'Dropdown Lists'!L64)</f>
        <v/>
      </c>
      <c r="V58" s="19">
        <f t="shared" si="11"/>
        <v>1051</v>
      </c>
      <c r="X58" s="31" t="str">
        <v/>
      </c>
      <c r="Y58" s="32" t="str">
        <v/>
      </c>
      <c r="Z58" s="35"/>
      <c r="AA58" s="31" t="str">
        <v/>
      </c>
      <c r="AB58" s="32" t="str">
        <v/>
      </c>
    </row>
    <row r="59" spans="2:28" ht="13.2" x14ac:dyDescent="0.25">
      <c r="B59" s="6" t="str">
        <f t="shared" si="9"/>
        <v>52: Timber 3" x 2" (roof)</v>
      </c>
      <c r="D59" s="23">
        <f t="shared" si="10"/>
        <v>52</v>
      </c>
      <c r="E59" s="2" t="str">
        <f t="shared" si="8"/>
        <v>Material</v>
      </c>
      <c r="F59" s="2" t="str">
        <f t="shared" si="4"/>
        <v>Timber 3" x 2" (roof)</v>
      </c>
      <c r="G59" s="2" t="str">
        <f t="shared" si="5"/>
        <v>pieces</v>
      </c>
      <c r="H59" s="19">
        <f t="shared" si="6"/>
        <v>40</v>
      </c>
      <c r="J59" s="23">
        <v>52</v>
      </c>
      <c r="K59" s="2" t="str">
        <v>Material</v>
      </c>
      <c r="L59" s="2" t="str">
        <v>Timber 3" x 2" (roof)</v>
      </c>
      <c r="M59" s="2" t="str">
        <v>pieces</v>
      </c>
      <c r="N59" s="19">
        <v>40</v>
      </c>
      <c r="R59" s="23" t="str">
        <f>IF('Dropdown Lists'!H65="","",'Dropdown Lists'!H65)</f>
        <v/>
      </c>
      <c r="S59" s="19">
        <f t="shared" si="7"/>
        <v>2052</v>
      </c>
      <c r="U59" s="23" t="str">
        <f>IF('Dropdown Lists'!L65="","",'Dropdown Lists'!L65)</f>
        <v/>
      </c>
      <c r="V59" s="19">
        <f t="shared" si="11"/>
        <v>1052</v>
      </c>
      <c r="X59" s="31" t="str">
        <v/>
      </c>
      <c r="Y59" s="32" t="str">
        <v/>
      </c>
      <c r="Z59" s="35"/>
      <c r="AA59" s="31" t="str">
        <v/>
      </c>
      <c r="AB59" s="32" t="str">
        <v/>
      </c>
    </row>
    <row r="60" spans="2:28" ht="13.2" x14ac:dyDescent="0.25">
      <c r="B60" s="6" t="str">
        <f t="shared" si="9"/>
        <v>53: Iron sheets (roof)</v>
      </c>
      <c r="D60" s="23">
        <f t="shared" si="10"/>
        <v>53</v>
      </c>
      <c r="E60" s="2" t="str">
        <f t="shared" si="8"/>
        <v>Material</v>
      </c>
      <c r="F60" s="2" t="str">
        <f t="shared" si="4"/>
        <v>Iron sheets (roof)</v>
      </c>
      <c r="G60" s="2" t="str">
        <f t="shared" si="5"/>
        <v>pieces</v>
      </c>
      <c r="H60" s="19">
        <f t="shared" si="6"/>
        <v>600</v>
      </c>
      <c r="J60" s="23">
        <v>53</v>
      </c>
      <c r="K60" s="2" t="str">
        <v>Material</v>
      </c>
      <c r="L60" s="2" t="str">
        <v>Iron sheets (roof)</v>
      </c>
      <c r="M60" s="2" t="str">
        <v>pieces</v>
      </c>
      <c r="N60" s="19">
        <v>600</v>
      </c>
      <c r="R60" s="23" t="str">
        <f>IF('Dropdown Lists'!H66="","",'Dropdown Lists'!H66)</f>
        <v/>
      </c>
      <c r="S60" s="19">
        <f t="shared" si="7"/>
        <v>2053</v>
      </c>
      <c r="U60" s="23" t="str">
        <f>IF('Dropdown Lists'!L66="","",'Dropdown Lists'!L66)</f>
        <v/>
      </c>
      <c r="V60" s="19">
        <f t="shared" si="11"/>
        <v>1053</v>
      </c>
      <c r="X60" s="31" t="str">
        <v/>
      </c>
      <c r="Y60" s="32" t="str">
        <v/>
      </c>
      <c r="Z60" s="35"/>
      <c r="AA60" s="31" t="str">
        <v/>
      </c>
      <c r="AB60" s="32" t="str">
        <v/>
      </c>
    </row>
    <row r="61" spans="2:28" ht="13.2" x14ac:dyDescent="0.25">
      <c r="B61" s="6" t="str">
        <f t="shared" si="9"/>
        <v>54: Roofing nails (roof)</v>
      </c>
      <c r="D61" s="23">
        <f t="shared" si="10"/>
        <v>54</v>
      </c>
      <c r="E61" s="2" t="str">
        <f t="shared" si="8"/>
        <v>Material</v>
      </c>
      <c r="F61" s="2" t="str">
        <f t="shared" si="4"/>
        <v>Roofing nails (roof)</v>
      </c>
      <c r="G61" s="2" t="str">
        <f t="shared" si="5"/>
        <v>kg</v>
      </c>
      <c r="H61" s="19">
        <f t="shared" si="6"/>
        <v>200</v>
      </c>
      <c r="J61" s="23">
        <v>54</v>
      </c>
      <c r="K61" s="2" t="str">
        <v>Material</v>
      </c>
      <c r="L61" s="2" t="str">
        <v>Roofing nails (roof)</v>
      </c>
      <c r="M61" s="2" t="str">
        <v>kg</v>
      </c>
      <c r="N61" s="19">
        <v>200</v>
      </c>
      <c r="R61" s="23" t="str">
        <f>IF('Dropdown Lists'!H67="","",'Dropdown Lists'!H67)</f>
        <v/>
      </c>
      <c r="S61" s="19">
        <f t="shared" si="7"/>
        <v>2054</v>
      </c>
      <c r="U61" s="23" t="str">
        <f>IF('Dropdown Lists'!L67="","",'Dropdown Lists'!L67)</f>
        <v/>
      </c>
      <c r="V61" s="19">
        <f t="shared" si="11"/>
        <v>1054</v>
      </c>
      <c r="X61" s="31" t="str">
        <v/>
      </c>
      <c r="Y61" s="32" t="str">
        <v/>
      </c>
      <c r="Z61" s="35"/>
      <c r="AA61" s="31" t="str">
        <v/>
      </c>
      <c r="AB61" s="32" t="str">
        <v/>
      </c>
    </row>
    <row r="62" spans="2:28" ht="13.2" x14ac:dyDescent="0.25">
      <c r="B62" s="6" t="str">
        <f t="shared" si="9"/>
        <v>55: 2" nails (roof)</v>
      </c>
      <c r="D62" s="23">
        <f t="shared" si="10"/>
        <v>55</v>
      </c>
      <c r="E62" s="2" t="str">
        <f t="shared" si="8"/>
        <v>Material</v>
      </c>
      <c r="F62" s="2" t="str">
        <f t="shared" si="4"/>
        <v>2" nails (roof)</v>
      </c>
      <c r="G62" s="2" t="str">
        <f t="shared" si="5"/>
        <v>kg</v>
      </c>
      <c r="H62" s="19">
        <f t="shared" si="6"/>
        <v>130</v>
      </c>
      <c r="J62" s="23">
        <v>55</v>
      </c>
      <c r="K62" s="2" t="str">
        <v>Material</v>
      </c>
      <c r="L62" s="2" t="str">
        <v>2" nails (roof)</v>
      </c>
      <c r="M62" s="2" t="str">
        <v>kg</v>
      </c>
      <c r="N62" s="19">
        <v>130</v>
      </c>
      <c r="R62" s="23" t="str">
        <f>IF('Dropdown Lists'!H68="","",'Dropdown Lists'!H68)</f>
        <v/>
      </c>
      <c r="S62" s="19">
        <f t="shared" si="7"/>
        <v>2055</v>
      </c>
      <c r="U62" s="23" t="str">
        <f>IF('Dropdown Lists'!L68="","",'Dropdown Lists'!L68)</f>
        <v/>
      </c>
      <c r="V62" s="19">
        <f t="shared" si="11"/>
        <v>1055</v>
      </c>
      <c r="X62" s="31" t="str">
        <v/>
      </c>
      <c r="Y62" s="32" t="str">
        <v/>
      </c>
      <c r="Z62" s="35"/>
      <c r="AA62" s="31" t="str">
        <v/>
      </c>
      <c r="AB62" s="32" t="str">
        <v/>
      </c>
    </row>
    <row r="63" spans="2:28" ht="13.2" x14ac:dyDescent="0.25">
      <c r="B63" s="6" t="str">
        <f t="shared" si="9"/>
        <v>56: Skilled labour</v>
      </c>
      <c r="D63" s="23">
        <f t="shared" si="10"/>
        <v>56</v>
      </c>
      <c r="E63" s="2" t="str">
        <f t="shared" si="8"/>
        <v>Labour</v>
      </c>
      <c r="F63" s="2" t="str">
        <f t="shared" si="4"/>
        <v>Skilled labour</v>
      </c>
      <c r="G63" s="2" t="str">
        <f t="shared" si="5"/>
        <v>days</v>
      </c>
      <c r="H63" s="19">
        <f t="shared" si="6"/>
        <v>800</v>
      </c>
      <c r="J63" s="23">
        <v>56</v>
      </c>
      <c r="K63" s="2" t="str">
        <v>Labour</v>
      </c>
      <c r="L63" s="2" t="str">
        <v>Skilled labour</v>
      </c>
      <c r="M63" s="2" t="str">
        <v>days</v>
      </c>
      <c r="N63" s="19">
        <v>800</v>
      </c>
      <c r="R63" s="23" t="str">
        <f>IF('Dropdown Lists'!H69="","",'Dropdown Lists'!H69)</f>
        <v/>
      </c>
      <c r="S63" s="19">
        <f t="shared" si="7"/>
        <v>2056</v>
      </c>
      <c r="U63" s="23" t="str">
        <f>IF('Dropdown Lists'!L69="","",'Dropdown Lists'!L69)</f>
        <v/>
      </c>
      <c r="V63" s="19">
        <f t="shared" si="11"/>
        <v>1056</v>
      </c>
      <c r="X63" s="31" t="str">
        <v/>
      </c>
      <c r="Y63" s="32" t="str">
        <v/>
      </c>
      <c r="Z63" s="35"/>
      <c r="AA63" s="31" t="str">
        <v/>
      </c>
      <c r="AB63" s="32" t="str">
        <v/>
      </c>
    </row>
    <row r="64" spans="2:28" ht="13.2" x14ac:dyDescent="0.25">
      <c r="B64" s="6" t="str">
        <f t="shared" si="9"/>
        <v>57: Unskilled labour</v>
      </c>
      <c r="D64" s="23">
        <f t="shared" si="10"/>
        <v>57</v>
      </c>
      <c r="E64" s="2" t="str">
        <f t="shared" si="8"/>
        <v>Labour</v>
      </c>
      <c r="F64" s="2" t="str">
        <f t="shared" si="4"/>
        <v>Unskilled labour</v>
      </c>
      <c r="G64" s="2" t="str">
        <f t="shared" si="5"/>
        <v>days</v>
      </c>
      <c r="H64" s="19">
        <f t="shared" si="6"/>
        <v>350</v>
      </c>
      <c r="J64" s="23">
        <v>57</v>
      </c>
      <c r="K64" s="2" t="str">
        <v>Labour</v>
      </c>
      <c r="L64" s="2" t="str">
        <v>Unskilled labour</v>
      </c>
      <c r="M64" s="2" t="str">
        <v>days</v>
      </c>
      <c r="N64" s="19">
        <v>350</v>
      </c>
      <c r="R64" s="23" t="str">
        <f>IF('Dropdown Lists'!H70="","",'Dropdown Lists'!H70)</f>
        <v/>
      </c>
      <c r="S64" s="19">
        <f t="shared" si="7"/>
        <v>2057</v>
      </c>
      <c r="U64" s="23" t="str">
        <f>IF('Dropdown Lists'!L70="","",'Dropdown Lists'!L70)</f>
        <v/>
      </c>
      <c r="V64" s="19">
        <f t="shared" si="11"/>
        <v>1057</v>
      </c>
      <c r="X64" s="31" t="str">
        <v/>
      </c>
      <c r="Y64" s="32" t="str">
        <v/>
      </c>
      <c r="Z64" s="35"/>
      <c r="AA64" s="31" t="str">
        <v/>
      </c>
      <c r="AB64" s="32" t="str">
        <v/>
      </c>
    </row>
    <row r="65" spans="2:28" ht="13.2" x14ac:dyDescent="0.25">
      <c r="B65" s="6" t="str">
        <f t="shared" si="9"/>
        <v/>
      </c>
      <c r="D65" s="23" t="str">
        <f t="shared" si="10"/>
        <v/>
      </c>
      <c r="E65" s="2" t="str">
        <f t="shared" si="8"/>
        <v/>
      </c>
      <c r="F65" s="2" t="str">
        <f t="shared" si="4"/>
        <v/>
      </c>
      <c r="G65" s="2" t="str">
        <f t="shared" si="5"/>
        <v/>
      </c>
      <c r="H65" s="19" t="str">
        <f t="shared" si="6"/>
        <v/>
      </c>
      <c r="J65" s="23" t="str">
        <v/>
      </c>
      <c r="K65" s="2">
        <v>0</v>
      </c>
      <c r="L65" s="2">
        <v>0</v>
      </c>
      <c r="M65" s="2">
        <v>0</v>
      </c>
      <c r="N65" s="19" t="str">
        <v/>
      </c>
      <c r="R65" s="23" t="str">
        <f>IF('Dropdown Lists'!H71="","",'Dropdown Lists'!H71)</f>
        <v/>
      </c>
      <c r="S65" s="19">
        <f t="shared" si="7"/>
        <v>2058</v>
      </c>
      <c r="U65" s="23" t="str">
        <f>IF('Dropdown Lists'!L71="","",'Dropdown Lists'!L71)</f>
        <v/>
      </c>
      <c r="V65" s="19">
        <f t="shared" si="11"/>
        <v>1058</v>
      </c>
      <c r="X65" s="31" t="str">
        <v/>
      </c>
      <c r="Y65" s="32" t="str">
        <v/>
      </c>
      <c r="Z65" s="35"/>
      <c r="AA65" s="31" t="str">
        <v/>
      </c>
      <c r="AB65" s="32" t="str">
        <v/>
      </c>
    </row>
    <row r="66" spans="2:28" ht="13.2" x14ac:dyDescent="0.25">
      <c r="B66" s="6" t="str">
        <f t="shared" si="9"/>
        <v/>
      </c>
      <c r="D66" s="23" t="str">
        <f t="shared" si="10"/>
        <v/>
      </c>
      <c r="E66" s="2" t="str">
        <f t="shared" si="8"/>
        <v/>
      </c>
      <c r="F66" s="2" t="str">
        <f t="shared" si="4"/>
        <v/>
      </c>
      <c r="G66" s="2" t="str">
        <f t="shared" si="5"/>
        <v/>
      </c>
      <c r="H66" s="19" t="str">
        <f t="shared" si="6"/>
        <v/>
      </c>
      <c r="J66" s="23" t="e">
        <v>#N/A</v>
      </c>
      <c r="K66" s="2" t="e">
        <v>#N/A</v>
      </c>
      <c r="L66" s="2" t="e">
        <v>#N/A</v>
      </c>
      <c r="M66" s="2" t="e">
        <v>#N/A</v>
      </c>
      <c r="N66" s="19" t="e">
        <v>#N/A</v>
      </c>
      <c r="R66" s="23" t="str">
        <f>IF('Dropdown Lists'!H72="","",'Dropdown Lists'!H72)</f>
        <v/>
      </c>
      <c r="S66" s="19">
        <f t="shared" si="7"/>
        <v>2059</v>
      </c>
      <c r="U66" s="23" t="str">
        <f>IF('Dropdown Lists'!L72="","",'Dropdown Lists'!L72)</f>
        <v/>
      </c>
      <c r="V66" s="19">
        <f t="shared" si="11"/>
        <v>1059</v>
      </c>
      <c r="X66" s="31" t="str">
        <v/>
      </c>
      <c r="Y66" s="32" t="str">
        <v/>
      </c>
      <c r="Z66" s="35"/>
      <c r="AA66" s="31" t="str">
        <v/>
      </c>
      <c r="AB66" s="32" t="str">
        <v/>
      </c>
    </row>
    <row r="67" spans="2:28" ht="13.2" x14ac:dyDescent="0.25">
      <c r="B67" s="6" t="str">
        <f t="shared" si="9"/>
        <v/>
      </c>
      <c r="D67" s="23" t="str">
        <f t="shared" si="10"/>
        <v/>
      </c>
      <c r="E67" s="2" t="str">
        <f t="shared" si="8"/>
        <v/>
      </c>
      <c r="F67" s="2" t="str">
        <f t="shared" si="4"/>
        <v/>
      </c>
      <c r="G67" s="2" t="str">
        <f t="shared" si="5"/>
        <v/>
      </c>
      <c r="H67" s="19" t="str">
        <f t="shared" si="6"/>
        <v/>
      </c>
      <c r="J67" s="23" t="e">
        <v>#N/A</v>
      </c>
      <c r="K67" s="2" t="e">
        <v>#N/A</v>
      </c>
      <c r="L67" s="2" t="e">
        <v>#N/A</v>
      </c>
      <c r="M67" s="2" t="e">
        <v>#N/A</v>
      </c>
      <c r="N67" s="19" t="e">
        <v>#N/A</v>
      </c>
      <c r="R67" s="23" t="str">
        <f>IF('Dropdown Lists'!H73="","",'Dropdown Lists'!H73)</f>
        <v/>
      </c>
      <c r="S67" s="19">
        <f t="shared" si="7"/>
        <v>2060</v>
      </c>
      <c r="U67" s="23" t="str">
        <f>IF('Dropdown Lists'!L73="","",'Dropdown Lists'!L73)</f>
        <v/>
      </c>
      <c r="V67" s="19">
        <f t="shared" si="11"/>
        <v>1060</v>
      </c>
      <c r="X67" s="31" t="str">
        <v/>
      </c>
      <c r="Y67" s="32" t="str">
        <v/>
      </c>
      <c r="Z67" s="35"/>
      <c r="AA67" s="31" t="str">
        <v/>
      </c>
      <c r="AB67" s="32" t="str">
        <v/>
      </c>
    </row>
    <row r="68" spans="2:28" ht="13.2" x14ac:dyDescent="0.25">
      <c r="B68" s="6" t="str">
        <f t="shared" si="9"/>
        <v/>
      </c>
      <c r="D68" s="23" t="str">
        <f t="shared" si="10"/>
        <v/>
      </c>
      <c r="E68" s="2" t="str">
        <f t="shared" si="8"/>
        <v/>
      </c>
      <c r="F68" s="2" t="str">
        <f t="shared" si="4"/>
        <v/>
      </c>
      <c r="G68" s="2" t="str">
        <f t="shared" si="5"/>
        <v/>
      </c>
      <c r="H68" s="19" t="str">
        <f t="shared" si="6"/>
        <v/>
      </c>
      <c r="J68" s="23" t="e">
        <v>#N/A</v>
      </c>
      <c r="K68" s="2" t="e">
        <v>#N/A</v>
      </c>
      <c r="L68" s="2" t="e">
        <v>#N/A</v>
      </c>
      <c r="M68" s="2" t="e">
        <v>#N/A</v>
      </c>
      <c r="N68" s="19" t="e">
        <v>#N/A</v>
      </c>
      <c r="R68" s="23" t="str">
        <f>IF('Dropdown Lists'!H74="","",'Dropdown Lists'!H74)</f>
        <v/>
      </c>
      <c r="S68" s="19">
        <f t="shared" si="7"/>
        <v>2061</v>
      </c>
      <c r="U68" s="23" t="str">
        <f>IF('Dropdown Lists'!L74="","",'Dropdown Lists'!L74)</f>
        <v/>
      </c>
      <c r="V68" s="19">
        <f t="shared" si="11"/>
        <v>1061</v>
      </c>
      <c r="X68" s="31" t="str">
        <v/>
      </c>
      <c r="Y68" s="32" t="str">
        <v/>
      </c>
      <c r="Z68" s="35"/>
      <c r="AA68" s="31" t="str">
        <v/>
      </c>
      <c r="AB68" s="32" t="str">
        <v/>
      </c>
    </row>
    <row r="69" spans="2:28" ht="13.2" x14ac:dyDescent="0.25">
      <c r="B69" s="6" t="str">
        <f t="shared" si="9"/>
        <v/>
      </c>
      <c r="D69" s="23" t="str">
        <f t="shared" si="10"/>
        <v/>
      </c>
      <c r="E69" s="2" t="str">
        <f t="shared" si="8"/>
        <v/>
      </c>
      <c r="F69" s="2" t="str">
        <f t="shared" si="4"/>
        <v/>
      </c>
      <c r="G69" s="2" t="str">
        <f t="shared" si="5"/>
        <v/>
      </c>
      <c r="H69" s="19" t="str">
        <f t="shared" si="6"/>
        <v/>
      </c>
      <c r="J69" s="23" t="e">
        <v>#N/A</v>
      </c>
      <c r="K69" s="2" t="e">
        <v>#N/A</v>
      </c>
      <c r="L69" s="2" t="e">
        <v>#N/A</v>
      </c>
      <c r="M69" s="2" t="e">
        <v>#N/A</v>
      </c>
      <c r="N69" s="19" t="e">
        <v>#N/A</v>
      </c>
      <c r="R69" s="23" t="str">
        <f>IF('Dropdown Lists'!H75="","",'Dropdown Lists'!H75)</f>
        <v/>
      </c>
      <c r="S69" s="19">
        <f t="shared" si="7"/>
        <v>2062</v>
      </c>
      <c r="U69" s="23" t="str">
        <f>IF('Dropdown Lists'!L75="","",'Dropdown Lists'!L75)</f>
        <v/>
      </c>
      <c r="V69" s="19">
        <f t="shared" si="11"/>
        <v>1062</v>
      </c>
      <c r="X69" s="31" t="str">
        <v/>
      </c>
      <c r="Y69" s="32" t="str">
        <v/>
      </c>
      <c r="Z69" s="35"/>
      <c r="AA69" s="31" t="str">
        <v/>
      </c>
      <c r="AB69" s="32" t="str">
        <v/>
      </c>
    </row>
    <row r="70" spans="2:28" ht="13.2" x14ac:dyDescent="0.25">
      <c r="B70" s="6" t="str">
        <f t="shared" si="9"/>
        <v/>
      </c>
      <c r="D70" s="23" t="str">
        <f t="shared" si="10"/>
        <v/>
      </c>
      <c r="E70" s="2" t="str">
        <f t="shared" si="8"/>
        <v/>
      </c>
      <c r="F70" s="2" t="str">
        <f t="shared" si="4"/>
        <v/>
      </c>
      <c r="G70" s="2" t="str">
        <f t="shared" si="5"/>
        <v/>
      </c>
      <c r="H70" s="19" t="str">
        <f t="shared" si="6"/>
        <v/>
      </c>
      <c r="J70" s="23" t="e">
        <v>#N/A</v>
      </c>
      <c r="K70" s="2" t="e">
        <v>#N/A</v>
      </c>
      <c r="L70" s="2" t="e">
        <v>#N/A</v>
      </c>
      <c r="M70" s="2" t="e">
        <v>#N/A</v>
      </c>
      <c r="N70" s="19" t="e">
        <v>#N/A</v>
      </c>
      <c r="R70" s="23" t="str">
        <f>IF('Dropdown Lists'!H76="","",'Dropdown Lists'!H76)</f>
        <v/>
      </c>
      <c r="S70" s="19">
        <f t="shared" si="7"/>
        <v>2063</v>
      </c>
      <c r="U70" s="23" t="str">
        <f>IF('Dropdown Lists'!L76="","",'Dropdown Lists'!L76)</f>
        <v/>
      </c>
      <c r="V70" s="19">
        <f t="shared" si="11"/>
        <v>1063</v>
      </c>
      <c r="X70" s="31" t="str">
        <v/>
      </c>
      <c r="Y70" s="32" t="str">
        <v/>
      </c>
      <c r="Z70" s="35"/>
      <c r="AA70" s="31" t="str">
        <v/>
      </c>
      <c r="AB70" s="32" t="str">
        <v/>
      </c>
    </row>
    <row r="71" spans="2:28" ht="13.2" x14ac:dyDescent="0.25">
      <c r="B71" s="6" t="str">
        <f t="shared" si="9"/>
        <v/>
      </c>
      <c r="D71" s="23" t="str">
        <f t="shared" si="10"/>
        <v/>
      </c>
      <c r="E71" s="2" t="str">
        <f t="shared" si="8"/>
        <v/>
      </c>
      <c r="F71" s="2" t="str">
        <f t="shared" si="4"/>
        <v/>
      </c>
      <c r="G71" s="2" t="str">
        <f t="shared" si="5"/>
        <v/>
      </c>
      <c r="H71" s="19" t="str">
        <f t="shared" si="6"/>
        <v/>
      </c>
      <c r="J71" s="23" t="e">
        <v>#N/A</v>
      </c>
      <c r="K71" s="2" t="e">
        <v>#N/A</v>
      </c>
      <c r="L71" s="2" t="e">
        <v>#N/A</v>
      </c>
      <c r="M71" s="2" t="e">
        <v>#N/A</v>
      </c>
      <c r="N71" s="19" t="e">
        <v>#N/A</v>
      </c>
      <c r="R71" s="23" t="str">
        <f>IF('Dropdown Lists'!H77="","",'Dropdown Lists'!H77)</f>
        <v/>
      </c>
      <c r="S71" s="19">
        <f t="shared" si="7"/>
        <v>2064</v>
      </c>
      <c r="U71" s="23" t="str">
        <f>IF('Dropdown Lists'!L77="","",'Dropdown Lists'!L77)</f>
        <v/>
      </c>
      <c r="V71" s="19">
        <f t="shared" si="11"/>
        <v>1064</v>
      </c>
      <c r="X71" s="31" t="str">
        <v/>
      </c>
      <c r="Y71" s="32" t="str">
        <v/>
      </c>
      <c r="Z71" s="35"/>
      <c r="AA71" s="31" t="str">
        <v/>
      </c>
      <c r="AB71" s="32" t="str">
        <v/>
      </c>
    </row>
    <row r="72" spans="2:28" ht="13.2" x14ac:dyDescent="0.25">
      <c r="B72" s="6" t="str">
        <f t="shared" ref="B72:B107" si="12">IF(D72="","",D72&amp;": "&amp;F72)</f>
        <v/>
      </c>
      <c r="D72" s="23" t="str">
        <f t="shared" ref="D72:D107" si="13">IF(ISERROR(J72),"",IF(J72=0,"",J72))</f>
        <v/>
      </c>
      <c r="E72" s="2" t="str">
        <f t="shared" si="8"/>
        <v/>
      </c>
      <c r="F72" s="2" t="str">
        <f t="shared" si="4"/>
        <v/>
      </c>
      <c r="G72" s="2" t="str">
        <f t="shared" si="5"/>
        <v/>
      </c>
      <c r="H72" s="19" t="str">
        <f t="shared" si="6"/>
        <v/>
      </c>
      <c r="J72" s="23" t="e">
        <v>#N/A</v>
      </c>
      <c r="K72" s="2" t="e">
        <v>#N/A</v>
      </c>
      <c r="L72" s="2" t="e">
        <v>#N/A</v>
      </c>
      <c r="M72" s="2" t="e">
        <v>#N/A</v>
      </c>
      <c r="N72" s="19" t="e">
        <v>#N/A</v>
      </c>
      <c r="R72" s="23" t="str">
        <f>IF('Dropdown Lists'!H78="","",'Dropdown Lists'!H78)</f>
        <v/>
      </c>
      <c r="S72" s="19">
        <f t="shared" si="7"/>
        <v>2065</v>
      </c>
      <c r="U72" s="23" t="str">
        <f>IF('Dropdown Lists'!L78="","",'Dropdown Lists'!L78)</f>
        <v/>
      </c>
      <c r="V72" s="19">
        <f t="shared" ref="V72:V107" si="14">ROW(V72)-ROW(V$8)+1001</f>
        <v>1065</v>
      </c>
      <c r="X72" s="31" t="str">
        <v/>
      </c>
      <c r="Y72" s="32" t="str">
        <v/>
      </c>
      <c r="Z72" s="35"/>
      <c r="AA72" s="31" t="str">
        <v/>
      </c>
      <c r="AB72" s="32" t="str">
        <v/>
      </c>
    </row>
    <row r="73" spans="2:28" ht="13.2" x14ac:dyDescent="0.25">
      <c r="B73" s="6" t="str">
        <f t="shared" si="12"/>
        <v/>
      </c>
      <c r="D73" s="23" t="str">
        <f t="shared" si="13"/>
        <v/>
      </c>
      <c r="E73" s="2" t="str">
        <f t="shared" si="8"/>
        <v/>
      </c>
      <c r="F73" s="2" t="str">
        <f t="shared" ref="F73:F104" si="15">IF(ISERROR(L73),"",IF(L73=0,"",L73))</f>
        <v/>
      </c>
      <c r="G73" s="2" t="str">
        <f t="shared" ref="G73:G104" si="16">IF(ISERROR(M73),"",IF(M73=0,"",M73))</f>
        <v/>
      </c>
      <c r="H73" s="19" t="str">
        <f t="shared" ref="H73:H104" si="17">IF(ISERROR(N73),"",IF(N73=0,"",N73))</f>
        <v/>
      </c>
      <c r="J73" s="23" t="e">
        <v>#N/A</v>
      </c>
      <c r="K73" s="2" t="e">
        <v>#N/A</v>
      </c>
      <c r="L73" s="2" t="e">
        <v>#N/A</v>
      </c>
      <c r="M73" s="2" t="e">
        <v>#N/A</v>
      </c>
      <c r="N73" s="19" t="e">
        <v>#N/A</v>
      </c>
      <c r="R73" s="23" t="str">
        <f>IF('Dropdown Lists'!H79="","",'Dropdown Lists'!H79)</f>
        <v/>
      </c>
      <c r="S73" s="19">
        <f t="shared" ref="S73:S107" si="18">ROW(S73)-ROW(S$8)+2001</f>
        <v>2066</v>
      </c>
      <c r="U73" s="23" t="str">
        <f>IF('Dropdown Lists'!L79="","",'Dropdown Lists'!L79)</f>
        <v/>
      </c>
      <c r="V73" s="19">
        <f t="shared" si="14"/>
        <v>1066</v>
      </c>
      <c r="X73" s="31" t="str">
        <v/>
      </c>
      <c r="Y73" s="32" t="str">
        <v/>
      </c>
      <c r="Z73" s="35"/>
      <c r="AA73" s="31" t="str">
        <v/>
      </c>
      <c r="AB73" s="32" t="str">
        <v/>
      </c>
    </row>
    <row r="74" spans="2:28" ht="13.2" x14ac:dyDescent="0.25">
      <c r="B74" s="6" t="str">
        <f t="shared" si="12"/>
        <v/>
      </c>
      <c r="D74" s="23" t="str">
        <f t="shared" si="13"/>
        <v/>
      </c>
      <c r="E74" s="2" t="str">
        <f t="shared" si="8"/>
        <v/>
      </c>
      <c r="F74" s="2" t="str">
        <f t="shared" si="15"/>
        <v/>
      </c>
      <c r="G74" s="2" t="str">
        <f t="shared" si="16"/>
        <v/>
      </c>
      <c r="H74" s="19" t="str">
        <f t="shared" si="17"/>
        <v/>
      </c>
      <c r="J74" s="23" t="e">
        <v>#N/A</v>
      </c>
      <c r="K74" s="2" t="e">
        <v>#N/A</v>
      </c>
      <c r="L74" s="2" t="e">
        <v>#N/A</v>
      </c>
      <c r="M74" s="2" t="e">
        <v>#N/A</v>
      </c>
      <c r="N74" s="19" t="e">
        <v>#N/A</v>
      </c>
      <c r="R74" s="23" t="str">
        <f>IF('Dropdown Lists'!H80="","",'Dropdown Lists'!H80)</f>
        <v/>
      </c>
      <c r="S74" s="19">
        <f t="shared" si="18"/>
        <v>2067</v>
      </c>
      <c r="U74" s="23" t="str">
        <f>IF('Dropdown Lists'!L80="","",'Dropdown Lists'!L80)</f>
        <v/>
      </c>
      <c r="V74" s="19">
        <f t="shared" si="14"/>
        <v>1067</v>
      </c>
      <c r="X74" s="31" t="str">
        <v/>
      </c>
      <c r="Y74" s="32" t="str">
        <v/>
      </c>
      <c r="Z74" s="35"/>
      <c r="AA74" s="31" t="str">
        <v/>
      </c>
      <c r="AB74" s="32" t="str">
        <v/>
      </c>
    </row>
    <row r="75" spans="2:28" ht="13.2" x14ac:dyDescent="0.25">
      <c r="B75" s="6" t="str">
        <f t="shared" si="12"/>
        <v/>
      </c>
      <c r="D75" s="23" t="str">
        <f t="shared" si="13"/>
        <v/>
      </c>
      <c r="E75" s="2" t="str">
        <f t="shared" si="8"/>
        <v/>
      </c>
      <c r="F75" s="2" t="str">
        <f t="shared" si="15"/>
        <v/>
      </c>
      <c r="G75" s="2" t="str">
        <f t="shared" si="16"/>
        <v/>
      </c>
      <c r="H75" s="19" t="str">
        <f t="shared" si="17"/>
        <v/>
      </c>
      <c r="J75" s="23" t="e">
        <v>#N/A</v>
      </c>
      <c r="K75" s="2" t="e">
        <v>#N/A</v>
      </c>
      <c r="L75" s="2" t="e">
        <v>#N/A</v>
      </c>
      <c r="M75" s="2" t="e">
        <v>#N/A</v>
      </c>
      <c r="N75" s="19" t="e">
        <v>#N/A</v>
      </c>
      <c r="R75" s="23" t="str">
        <f>IF('Dropdown Lists'!H81="","",'Dropdown Lists'!H81)</f>
        <v/>
      </c>
      <c r="S75" s="19">
        <f t="shared" si="18"/>
        <v>2068</v>
      </c>
      <c r="U75" s="23" t="str">
        <f>IF('Dropdown Lists'!L81="","",'Dropdown Lists'!L81)</f>
        <v/>
      </c>
      <c r="V75" s="19">
        <f t="shared" si="14"/>
        <v>1068</v>
      </c>
      <c r="X75" s="31" t="str">
        <v/>
      </c>
      <c r="Y75" s="32" t="str">
        <v/>
      </c>
      <c r="Z75" s="35"/>
      <c r="AA75" s="31" t="str">
        <v/>
      </c>
      <c r="AB75" s="32" t="str">
        <v/>
      </c>
    </row>
    <row r="76" spans="2:28" ht="13.2" x14ac:dyDescent="0.25">
      <c r="B76" s="6" t="str">
        <f t="shared" si="12"/>
        <v/>
      </c>
      <c r="D76" s="23" t="str">
        <f t="shared" si="13"/>
        <v/>
      </c>
      <c r="E76" s="2" t="str">
        <f t="shared" si="8"/>
        <v/>
      </c>
      <c r="F76" s="2" t="str">
        <f t="shared" si="15"/>
        <v/>
      </c>
      <c r="G76" s="2" t="str">
        <f t="shared" si="16"/>
        <v/>
      </c>
      <c r="H76" s="19" t="str">
        <f t="shared" si="17"/>
        <v/>
      </c>
      <c r="J76" s="23" t="e">
        <v>#N/A</v>
      </c>
      <c r="K76" s="2" t="e">
        <v>#N/A</v>
      </c>
      <c r="L76" s="2" t="e">
        <v>#N/A</v>
      </c>
      <c r="M76" s="2" t="e">
        <v>#N/A</v>
      </c>
      <c r="N76" s="19" t="e">
        <v>#N/A</v>
      </c>
      <c r="R76" s="23" t="str">
        <f>IF('Dropdown Lists'!H82="","",'Dropdown Lists'!H82)</f>
        <v/>
      </c>
      <c r="S76" s="19">
        <f t="shared" si="18"/>
        <v>2069</v>
      </c>
      <c r="U76" s="23" t="str">
        <f>IF('Dropdown Lists'!L82="","",'Dropdown Lists'!L82)</f>
        <v/>
      </c>
      <c r="V76" s="19">
        <f t="shared" si="14"/>
        <v>1069</v>
      </c>
      <c r="X76" s="31" t="str">
        <v/>
      </c>
      <c r="Y76" s="32" t="str">
        <v/>
      </c>
      <c r="Z76" s="35"/>
      <c r="AA76" s="31" t="str">
        <v/>
      </c>
      <c r="AB76" s="32" t="str">
        <v/>
      </c>
    </row>
    <row r="77" spans="2:28" ht="13.2" x14ac:dyDescent="0.25">
      <c r="B77" s="6" t="str">
        <f t="shared" si="12"/>
        <v/>
      </c>
      <c r="D77" s="23" t="str">
        <f t="shared" si="13"/>
        <v/>
      </c>
      <c r="E77" s="2" t="str">
        <f t="shared" si="8"/>
        <v/>
      </c>
      <c r="F77" s="2" t="str">
        <f t="shared" si="15"/>
        <v/>
      </c>
      <c r="G77" s="2" t="str">
        <f t="shared" si="16"/>
        <v/>
      </c>
      <c r="H77" s="19" t="str">
        <f t="shared" si="17"/>
        <v/>
      </c>
      <c r="J77" s="23" t="e">
        <v>#N/A</v>
      </c>
      <c r="K77" s="2" t="e">
        <v>#N/A</v>
      </c>
      <c r="L77" s="2" t="e">
        <v>#N/A</v>
      </c>
      <c r="M77" s="2" t="e">
        <v>#N/A</v>
      </c>
      <c r="N77" s="19" t="e">
        <v>#N/A</v>
      </c>
      <c r="R77" s="23" t="str">
        <f>IF('Dropdown Lists'!H83="","",'Dropdown Lists'!H83)</f>
        <v/>
      </c>
      <c r="S77" s="19">
        <f t="shared" si="18"/>
        <v>2070</v>
      </c>
      <c r="U77" s="23" t="str">
        <f>IF('Dropdown Lists'!L83="","",'Dropdown Lists'!L83)</f>
        <v/>
      </c>
      <c r="V77" s="19">
        <f t="shared" si="14"/>
        <v>1070</v>
      </c>
      <c r="X77" s="31" t="str">
        <v/>
      </c>
      <c r="Y77" s="32" t="str">
        <v/>
      </c>
      <c r="Z77" s="35"/>
      <c r="AA77" s="31" t="str">
        <v/>
      </c>
      <c r="AB77" s="32" t="str">
        <v/>
      </c>
    </row>
    <row r="78" spans="2:28" ht="13.2" x14ac:dyDescent="0.25">
      <c r="B78" s="6" t="str">
        <f t="shared" si="12"/>
        <v/>
      </c>
      <c r="D78" s="23" t="str">
        <f t="shared" si="13"/>
        <v/>
      </c>
      <c r="E78" s="2" t="str">
        <f t="shared" si="8"/>
        <v/>
      </c>
      <c r="F78" s="2" t="str">
        <f t="shared" si="15"/>
        <v/>
      </c>
      <c r="G78" s="2" t="str">
        <f t="shared" si="16"/>
        <v/>
      </c>
      <c r="H78" s="19" t="str">
        <f t="shared" si="17"/>
        <v/>
      </c>
      <c r="J78" s="23" t="e">
        <v>#N/A</v>
      </c>
      <c r="K78" s="2" t="e">
        <v>#N/A</v>
      </c>
      <c r="L78" s="2" t="e">
        <v>#N/A</v>
      </c>
      <c r="M78" s="2" t="e">
        <v>#N/A</v>
      </c>
      <c r="N78" s="19" t="e">
        <v>#N/A</v>
      </c>
      <c r="R78" s="23" t="str">
        <f>IF('Dropdown Lists'!H84="","",'Dropdown Lists'!H84)</f>
        <v/>
      </c>
      <c r="S78" s="19">
        <f t="shared" si="18"/>
        <v>2071</v>
      </c>
      <c r="U78" s="23" t="str">
        <f>IF('Dropdown Lists'!L84="","",'Dropdown Lists'!L84)</f>
        <v/>
      </c>
      <c r="V78" s="19">
        <f t="shared" si="14"/>
        <v>1071</v>
      </c>
      <c r="X78" s="31" t="str">
        <v/>
      </c>
      <c r="Y78" s="32" t="str">
        <v/>
      </c>
      <c r="Z78" s="35"/>
      <c r="AA78" s="31" t="str">
        <v/>
      </c>
      <c r="AB78" s="32" t="str">
        <v/>
      </c>
    </row>
    <row r="79" spans="2:28" ht="13.2" x14ac:dyDescent="0.25">
      <c r="B79" s="6" t="str">
        <f t="shared" si="12"/>
        <v/>
      </c>
      <c r="D79" s="23" t="str">
        <f t="shared" si="13"/>
        <v/>
      </c>
      <c r="E79" s="2" t="str">
        <f t="shared" si="8"/>
        <v/>
      </c>
      <c r="F79" s="2" t="str">
        <f t="shared" si="15"/>
        <v/>
      </c>
      <c r="G79" s="2" t="str">
        <f t="shared" si="16"/>
        <v/>
      </c>
      <c r="H79" s="19" t="str">
        <f t="shared" si="17"/>
        <v/>
      </c>
      <c r="J79" s="23" t="e">
        <v>#N/A</v>
      </c>
      <c r="K79" s="2" t="e">
        <v>#N/A</v>
      </c>
      <c r="L79" s="2" t="e">
        <v>#N/A</v>
      </c>
      <c r="M79" s="2" t="e">
        <v>#N/A</v>
      </c>
      <c r="N79" s="19" t="e">
        <v>#N/A</v>
      </c>
      <c r="R79" s="23" t="str">
        <f>IF('Dropdown Lists'!H85="","",'Dropdown Lists'!H85)</f>
        <v/>
      </c>
      <c r="S79" s="19">
        <f t="shared" si="18"/>
        <v>2072</v>
      </c>
      <c r="U79" s="23" t="str">
        <f>IF('Dropdown Lists'!L85="","",'Dropdown Lists'!L85)</f>
        <v/>
      </c>
      <c r="V79" s="19">
        <f t="shared" si="14"/>
        <v>1072</v>
      </c>
      <c r="X79" s="31" t="str">
        <v/>
      </c>
      <c r="Y79" s="32" t="str">
        <v/>
      </c>
      <c r="Z79" s="35"/>
      <c r="AA79" s="31" t="str">
        <v/>
      </c>
      <c r="AB79" s="32" t="str">
        <v/>
      </c>
    </row>
    <row r="80" spans="2:28" ht="13.2" x14ac:dyDescent="0.25">
      <c r="B80" s="6" t="str">
        <f t="shared" si="12"/>
        <v/>
      </c>
      <c r="D80" s="23" t="str">
        <f t="shared" si="13"/>
        <v/>
      </c>
      <c r="E80" s="2" t="str">
        <f t="shared" si="8"/>
        <v/>
      </c>
      <c r="F80" s="2" t="str">
        <f t="shared" si="15"/>
        <v/>
      </c>
      <c r="G80" s="2" t="str">
        <f t="shared" si="16"/>
        <v/>
      </c>
      <c r="H80" s="19" t="str">
        <f t="shared" si="17"/>
        <v/>
      </c>
      <c r="J80" s="23" t="e">
        <v>#N/A</v>
      </c>
      <c r="K80" s="2" t="e">
        <v>#N/A</v>
      </c>
      <c r="L80" s="2" t="e">
        <v>#N/A</v>
      </c>
      <c r="M80" s="2" t="e">
        <v>#N/A</v>
      </c>
      <c r="N80" s="19" t="e">
        <v>#N/A</v>
      </c>
      <c r="R80" s="23" t="str">
        <f>IF('Dropdown Lists'!H86="","",'Dropdown Lists'!H86)</f>
        <v/>
      </c>
      <c r="S80" s="19">
        <f t="shared" si="18"/>
        <v>2073</v>
      </c>
      <c r="U80" s="23" t="str">
        <f>IF('Dropdown Lists'!L86="","",'Dropdown Lists'!L86)</f>
        <v/>
      </c>
      <c r="V80" s="19">
        <f t="shared" si="14"/>
        <v>1073</v>
      </c>
      <c r="X80" s="31" t="str">
        <v/>
      </c>
      <c r="Y80" s="32" t="str">
        <v/>
      </c>
      <c r="Z80" s="35"/>
      <c r="AA80" s="31" t="str">
        <v/>
      </c>
      <c r="AB80" s="32" t="str">
        <v/>
      </c>
    </row>
    <row r="81" spans="2:28" ht="13.2" x14ac:dyDescent="0.25">
      <c r="B81" s="6" t="str">
        <f t="shared" si="12"/>
        <v/>
      </c>
      <c r="D81" s="23" t="str">
        <f t="shared" si="13"/>
        <v/>
      </c>
      <c r="E81" s="2" t="str">
        <f t="shared" si="8"/>
        <v/>
      </c>
      <c r="F81" s="2" t="str">
        <f t="shared" si="15"/>
        <v/>
      </c>
      <c r="G81" s="2" t="str">
        <f t="shared" si="16"/>
        <v/>
      </c>
      <c r="H81" s="19" t="str">
        <f t="shared" si="17"/>
        <v/>
      </c>
      <c r="J81" s="23" t="e">
        <v>#N/A</v>
      </c>
      <c r="K81" s="2" t="e">
        <v>#N/A</v>
      </c>
      <c r="L81" s="2" t="e">
        <v>#N/A</v>
      </c>
      <c r="M81" s="2" t="e">
        <v>#N/A</v>
      </c>
      <c r="N81" s="19" t="e">
        <v>#N/A</v>
      </c>
      <c r="R81" s="23" t="str">
        <f>IF('Dropdown Lists'!H87="","",'Dropdown Lists'!H87)</f>
        <v/>
      </c>
      <c r="S81" s="19">
        <f t="shared" si="18"/>
        <v>2074</v>
      </c>
      <c r="U81" s="23" t="str">
        <f>IF('Dropdown Lists'!L87="","",'Dropdown Lists'!L87)</f>
        <v/>
      </c>
      <c r="V81" s="19">
        <f t="shared" si="14"/>
        <v>1074</v>
      </c>
      <c r="X81" s="31" t="str">
        <v/>
      </c>
      <c r="Y81" s="32" t="str">
        <v/>
      </c>
      <c r="Z81" s="35"/>
      <c r="AA81" s="31" t="str">
        <v/>
      </c>
      <c r="AB81" s="32" t="str">
        <v/>
      </c>
    </row>
    <row r="82" spans="2:28" ht="13.2" x14ac:dyDescent="0.25">
      <c r="B82" s="6" t="str">
        <f t="shared" si="12"/>
        <v/>
      </c>
      <c r="D82" s="23" t="str">
        <f t="shared" si="13"/>
        <v/>
      </c>
      <c r="E82" s="2" t="str">
        <f t="shared" si="8"/>
        <v/>
      </c>
      <c r="F82" s="2" t="str">
        <f t="shared" si="15"/>
        <v/>
      </c>
      <c r="G82" s="2" t="str">
        <f t="shared" si="16"/>
        <v/>
      </c>
      <c r="H82" s="19" t="str">
        <f t="shared" si="17"/>
        <v/>
      </c>
      <c r="J82" s="23" t="e">
        <v>#N/A</v>
      </c>
      <c r="K82" s="2" t="e">
        <v>#N/A</v>
      </c>
      <c r="L82" s="2" t="e">
        <v>#N/A</v>
      </c>
      <c r="M82" s="2" t="e">
        <v>#N/A</v>
      </c>
      <c r="N82" s="19" t="e">
        <v>#N/A</v>
      </c>
      <c r="R82" s="23" t="str">
        <f>IF('Dropdown Lists'!H88="","",'Dropdown Lists'!H88)</f>
        <v/>
      </c>
      <c r="S82" s="19">
        <f t="shared" si="18"/>
        <v>2075</v>
      </c>
      <c r="U82" s="23" t="str">
        <f>IF('Dropdown Lists'!L88="","",'Dropdown Lists'!L88)</f>
        <v/>
      </c>
      <c r="V82" s="19">
        <f t="shared" si="14"/>
        <v>1075</v>
      </c>
      <c r="X82" s="31" t="str">
        <v/>
      </c>
      <c r="Y82" s="32" t="str">
        <v/>
      </c>
      <c r="Z82" s="35"/>
      <c r="AA82" s="31" t="str">
        <v/>
      </c>
      <c r="AB82" s="32" t="str">
        <v/>
      </c>
    </row>
    <row r="83" spans="2:28" ht="13.2" x14ac:dyDescent="0.25">
      <c r="B83" s="6" t="str">
        <f t="shared" si="12"/>
        <v/>
      </c>
      <c r="D83" s="23" t="str">
        <f t="shared" si="13"/>
        <v/>
      </c>
      <c r="E83" s="2" t="str">
        <f t="shared" si="8"/>
        <v/>
      </c>
      <c r="F83" s="2" t="str">
        <f t="shared" si="15"/>
        <v/>
      </c>
      <c r="G83" s="2" t="str">
        <f t="shared" si="16"/>
        <v/>
      </c>
      <c r="H83" s="19" t="str">
        <f t="shared" si="17"/>
        <v/>
      </c>
      <c r="J83" s="23" t="e">
        <v>#N/A</v>
      </c>
      <c r="K83" s="2" t="e">
        <v>#N/A</v>
      </c>
      <c r="L83" s="2" t="e">
        <v>#N/A</v>
      </c>
      <c r="M83" s="2" t="e">
        <v>#N/A</v>
      </c>
      <c r="N83" s="19" t="e">
        <v>#N/A</v>
      </c>
      <c r="R83" s="23" t="str">
        <f>IF('Dropdown Lists'!H89="","",'Dropdown Lists'!H89)</f>
        <v/>
      </c>
      <c r="S83" s="19">
        <f t="shared" si="18"/>
        <v>2076</v>
      </c>
      <c r="U83" s="23" t="str">
        <f>IF('Dropdown Lists'!L89="","",'Dropdown Lists'!L89)</f>
        <v/>
      </c>
      <c r="V83" s="19">
        <f t="shared" si="14"/>
        <v>1076</v>
      </c>
      <c r="X83" s="31" t="str">
        <v/>
      </c>
      <c r="Y83" s="32" t="str">
        <v/>
      </c>
      <c r="Z83" s="35"/>
      <c r="AA83" s="31" t="str">
        <v/>
      </c>
      <c r="AB83" s="32" t="str">
        <v/>
      </c>
    </row>
    <row r="84" spans="2:28" ht="13.2" x14ac:dyDescent="0.25">
      <c r="B84" s="6" t="str">
        <f t="shared" si="12"/>
        <v/>
      </c>
      <c r="D84" s="23" t="str">
        <f t="shared" si="13"/>
        <v/>
      </c>
      <c r="E84" s="2" t="str">
        <f t="shared" si="8"/>
        <v/>
      </c>
      <c r="F84" s="2" t="str">
        <f t="shared" si="15"/>
        <v/>
      </c>
      <c r="G84" s="2" t="str">
        <f t="shared" si="16"/>
        <v/>
      </c>
      <c r="H84" s="19" t="str">
        <f t="shared" si="17"/>
        <v/>
      </c>
      <c r="J84" s="23" t="e">
        <v>#N/A</v>
      </c>
      <c r="K84" s="2" t="e">
        <v>#N/A</v>
      </c>
      <c r="L84" s="2" t="e">
        <v>#N/A</v>
      </c>
      <c r="M84" s="2" t="e">
        <v>#N/A</v>
      </c>
      <c r="N84" s="19" t="e">
        <v>#N/A</v>
      </c>
      <c r="R84" s="23" t="str">
        <f>IF('Dropdown Lists'!H90="","",'Dropdown Lists'!H90)</f>
        <v/>
      </c>
      <c r="S84" s="19">
        <f t="shared" si="18"/>
        <v>2077</v>
      </c>
      <c r="U84" s="23" t="str">
        <f>IF('Dropdown Lists'!L90="","",'Dropdown Lists'!L90)</f>
        <v/>
      </c>
      <c r="V84" s="19">
        <f t="shared" si="14"/>
        <v>1077</v>
      </c>
      <c r="X84" s="31" t="str">
        <v/>
      </c>
      <c r="Y84" s="32" t="str">
        <v/>
      </c>
      <c r="Z84" s="35"/>
      <c r="AA84" s="31" t="str">
        <v/>
      </c>
      <c r="AB84" s="32" t="str">
        <v/>
      </c>
    </row>
    <row r="85" spans="2:28" ht="13.2" x14ac:dyDescent="0.25">
      <c r="B85" s="6" t="str">
        <f t="shared" si="12"/>
        <v/>
      </c>
      <c r="D85" s="23" t="str">
        <f t="shared" si="13"/>
        <v/>
      </c>
      <c r="E85" s="2" t="str">
        <f t="shared" si="8"/>
        <v/>
      </c>
      <c r="F85" s="2" t="str">
        <f t="shared" si="15"/>
        <v/>
      </c>
      <c r="G85" s="2" t="str">
        <f t="shared" si="16"/>
        <v/>
      </c>
      <c r="H85" s="19" t="str">
        <f t="shared" si="17"/>
        <v/>
      </c>
      <c r="J85" s="23" t="e">
        <v>#N/A</v>
      </c>
      <c r="K85" s="2" t="e">
        <v>#N/A</v>
      </c>
      <c r="L85" s="2" t="e">
        <v>#N/A</v>
      </c>
      <c r="M85" s="2" t="e">
        <v>#N/A</v>
      </c>
      <c r="N85" s="19" t="e">
        <v>#N/A</v>
      </c>
      <c r="R85" s="23" t="str">
        <f>IF('Dropdown Lists'!H91="","",'Dropdown Lists'!H91)</f>
        <v/>
      </c>
      <c r="S85" s="19">
        <f t="shared" si="18"/>
        <v>2078</v>
      </c>
      <c r="U85" s="23" t="str">
        <f>IF('Dropdown Lists'!L91="","",'Dropdown Lists'!L91)</f>
        <v/>
      </c>
      <c r="V85" s="19">
        <f t="shared" si="14"/>
        <v>1078</v>
      </c>
      <c r="X85" s="31" t="str">
        <v/>
      </c>
      <c r="Y85" s="32" t="str">
        <v/>
      </c>
      <c r="Z85" s="35"/>
      <c r="AA85" s="31" t="str">
        <v/>
      </c>
      <c r="AB85" s="32" t="str">
        <v/>
      </c>
    </row>
    <row r="86" spans="2:28" ht="13.2" x14ac:dyDescent="0.25">
      <c r="B86" s="6" t="str">
        <f t="shared" si="12"/>
        <v/>
      </c>
      <c r="D86" s="23" t="str">
        <f t="shared" si="13"/>
        <v/>
      </c>
      <c r="E86" s="2" t="str">
        <f t="shared" si="8"/>
        <v/>
      </c>
      <c r="F86" s="2" t="str">
        <f t="shared" si="15"/>
        <v/>
      </c>
      <c r="G86" s="2" t="str">
        <f t="shared" si="16"/>
        <v/>
      </c>
      <c r="H86" s="19" t="str">
        <f t="shared" si="17"/>
        <v/>
      </c>
      <c r="J86" s="23" t="e">
        <v>#N/A</v>
      </c>
      <c r="K86" s="2" t="e">
        <v>#N/A</v>
      </c>
      <c r="L86" s="2" t="e">
        <v>#N/A</v>
      </c>
      <c r="M86" s="2" t="e">
        <v>#N/A</v>
      </c>
      <c r="N86" s="19" t="e">
        <v>#N/A</v>
      </c>
      <c r="R86" s="23" t="str">
        <f>IF('Dropdown Lists'!H92="","",'Dropdown Lists'!H92)</f>
        <v/>
      </c>
      <c r="S86" s="19">
        <f t="shared" si="18"/>
        <v>2079</v>
      </c>
      <c r="U86" s="23" t="str">
        <f>IF('Dropdown Lists'!L92="","",'Dropdown Lists'!L92)</f>
        <v/>
      </c>
      <c r="V86" s="19">
        <f t="shared" si="14"/>
        <v>1079</v>
      </c>
      <c r="X86" s="31" t="str">
        <v/>
      </c>
      <c r="Y86" s="32" t="str">
        <v/>
      </c>
      <c r="Z86" s="35"/>
      <c r="AA86" s="31" t="str">
        <v/>
      </c>
      <c r="AB86" s="32" t="str">
        <v/>
      </c>
    </row>
    <row r="87" spans="2:28" ht="13.2" x14ac:dyDescent="0.25">
      <c r="B87" s="6" t="str">
        <f t="shared" si="12"/>
        <v/>
      </c>
      <c r="D87" s="23" t="str">
        <f t="shared" si="13"/>
        <v/>
      </c>
      <c r="E87" s="2" t="str">
        <f t="shared" si="8"/>
        <v/>
      </c>
      <c r="F87" s="2" t="str">
        <f t="shared" si="15"/>
        <v/>
      </c>
      <c r="G87" s="2" t="str">
        <f t="shared" si="16"/>
        <v/>
      </c>
      <c r="H87" s="19" t="str">
        <f t="shared" si="17"/>
        <v/>
      </c>
      <c r="J87" s="23" t="e">
        <v>#N/A</v>
      </c>
      <c r="K87" s="2" t="e">
        <v>#N/A</v>
      </c>
      <c r="L87" s="2" t="e">
        <v>#N/A</v>
      </c>
      <c r="M87" s="2" t="e">
        <v>#N/A</v>
      </c>
      <c r="N87" s="19" t="e">
        <v>#N/A</v>
      </c>
      <c r="R87" s="23" t="str">
        <f>IF('Dropdown Lists'!H93="","",'Dropdown Lists'!H93)</f>
        <v/>
      </c>
      <c r="S87" s="19">
        <f t="shared" si="18"/>
        <v>2080</v>
      </c>
      <c r="U87" s="23" t="str">
        <f>IF('Dropdown Lists'!L93="","",'Dropdown Lists'!L93)</f>
        <v/>
      </c>
      <c r="V87" s="19">
        <f t="shared" si="14"/>
        <v>1080</v>
      </c>
      <c r="X87" s="31" t="str">
        <v/>
      </c>
      <c r="Y87" s="32" t="str">
        <v/>
      </c>
      <c r="Z87" s="35"/>
      <c r="AA87" s="31" t="str">
        <v/>
      </c>
      <c r="AB87" s="32" t="str">
        <v/>
      </c>
    </row>
    <row r="88" spans="2:28" ht="13.2" x14ac:dyDescent="0.25">
      <c r="B88" s="6" t="str">
        <f t="shared" si="12"/>
        <v/>
      </c>
      <c r="D88" s="23" t="str">
        <f t="shared" si="13"/>
        <v/>
      </c>
      <c r="E88" s="2" t="str">
        <f t="shared" ref="E88:E107" si="19">IF(ISERROR(K88),"",IF(K88=0,"",K88))</f>
        <v/>
      </c>
      <c r="F88" s="2" t="str">
        <f t="shared" si="15"/>
        <v/>
      </c>
      <c r="G88" s="2" t="str">
        <f t="shared" si="16"/>
        <v/>
      </c>
      <c r="H88" s="19" t="str">
        <f t="shared" si="17"/>
        <v/>
      </c>
      <c r="J88" s="23" t="e">
        <v>#N/A</v>
      </c>
      <c r="K88" s="2" t="e">
        <v>#N/A</v>
      </c>
      <c r="L88" s="2" t="e">
        <v>#N/A</v>
      </c>
      <c r="M88" s="2" t="e">
        <v>#N/A</v>
      </c>
      <c r="N88" s="19" t="e">
        <v>#N/A</v>
      </c>
      <c r="R88" s="23" t="str">
        <f>IF('Dropdown Lists'!H94="","",'Dropdown Lists'!H94)</f>
        <v/>
      </c>
      <c r="S88" s="19">
        <f t="shared" si="18"/>
        <v>2081</v>
      </c>
      <c r="U88" s="23" t="str">
        <f>IF('Dropdown Lists'!L94="","",'Dropdown Lists'!L94)</f>
        <v/>
      </c>
      <c r="V88" s="19">
        <f t="shared" si="14"/>
        <v>1081</v>
      </c>
      <c r="X88" s="31" t="str">
        <v/>
      </c>
      <c r="Y88" s="32" t="str">
        <v/>
      </c>
      <c r="Z88" s="35"/>
      <c r="AA88" s="31" t="str">
        <v/>
      </c>
      <c r="AB88" s="32" t="str">
        <v/>
      </c>
    </row>
    <row r="89" spans="2:28" ht="13.2" x14ac:dyDescent="0.25">
      <c r="B89" s="6" t="str">
        <f t="shared" si="12"/>
        <v/>
      </c>
      <c r="D89" s="23" t="str">
        <f t="shared" si="13"/>
        <v/>
      </c>
      <c r="E89" s="2" t="str">
        <f t="shared" si="19"/>
        <v/>
      </c>
      <c r="F89" s="2" t="str">
        <f t="shared" si="15"/>
        <v/>
      </c>
      <c r="G89" s="2" t="str">
        <f t="shared" si="16"/>
        <v/>
      </c>
      <c r="H89" s="19" t="str">
        <f t="shared" si="17"/>
        <v/>
      </c>
      <c r="J89" s="23" t="e">
        <v>#N/A</v>
      </c>
      <c r="K89" s="2" t="e">
        <v>#N/A</v>
      </c>
      <c r="L89" s="2" t="e">
        <v>#N/A</v>
      </c>
      <c r="M89" s="2" t="e">
        <v>#N/A</v>
      </c>
      <c r="N89" s="19" t="e">
        <v>#N/A</v>
      </c>
      <c r="R89" s="23" t="str">
        <f>IF('Dropdown Lists'!H95="","",'Dropdown Lists'!H95)</f>
        <v/>
      </c>
      <c r="S89" s="19">
        <f t="shared" si="18"/>
        <v>2082</v>
      </c>
      <c r="U89" s="23" t="str">
        <f>IF('Dropdown Lists'!L95="","",'Dropdown Lists'!L95)</f>
        <v/>
      </c>
      <c r="V89" s="19">
        <f t="shared" si="14"/>
        <v>1082</v>
      </c>
      <c r="X89" s="31" t="str">
        <v/>
      </c>
      <c r="Y89" s="32" t="str">
        <v/>
      </c>
      <c r="Z89" s="35"/>
      <c r="AA89" s="31" t="str">
        <v/>
      </c>
      <c r="AB89" s="32" t="str">
        <v/>
      </c>
    </row>
    <row r="90" spans="2:28" ht="13.2" x14ac:dyDescent="0.25">
      <c r="B90" s="6" t="str">
        <f t="shared" si="12"/>
        <v/>
      </c>
      <c r="D90" s="23" t="str">
        <f t="shared" si="13"/>
        <v/>
      </c>
      <c r="E90" s="2" t="str">
        <f t="shared" si="19"/>
        <v/>
      </c>
      <c r="F90" s="2" t="str">
        <f t="shared" si="15"/>
        <v/>
      </c>
      <c r="G90" s="2" t="str">
        <f t="shared" si="16"/>
        <v/>
      </c>
      <c r="H90" s="19" t="str">
        <f t="shared" si="17"/>
        <v/>
      </c>
      <c r="J90" s="23" t="e">
        <v>#N/A</v>
      </c>
      <c r="K90" s="2" t="e">
        <v>#N/A</v>
      </c>
      <c r="L90" s="2" t="e">
        <v>#N/A</v>
      </c>
      <c r="M90" s="2" t="e">
        <v>#N/A</v>
      </c>
      <c r="N90" s="19" t="e">
        <v>#N/A</v>
      </c>
      <c r="R90" s="23" t="str">
        <f>IF('Dropdown Lists'!H96="","",'Dropdown Lists'!H96)</f>
        <v/>
      </c>
      <c r="S90" s="19">
        <f t="shared" si="18"/>
        <v>2083</v>
      </c>
      <c r="U90" s="23" t="str">
        <f>IF('Dropdown Lists'!L96="","",'Dropdown Lists'!L96)</f>
        <v/>
      </c>
      <c r="V90" s="19">
        <f t="shared" si="14"/>
        <v>1083</v>
      </c>
      <c r="X90" s="31" t="str">
        <v/>
      </c>
      <c r="Y90" s="32" t="str">
        <v/>
      </c>
      <c r="Z90" s="35"/>
      <c r="AA90" s="31" t="str">
        <v/>
      </c>
      <c r="AB90" s="32" t="str">
        <v/>
      </c>
    </row>
    <row r="91" spans="2:28" ht="13.2" x14ac:dyDescent="0.25">
      <c r="B91" s="6" t="str">
        <f t="shared" si="12"/>
        <v/>
      </c>
      <c r="D91" s="23" t="str">
        <f t="shared" si="13"/>
        <v/>
      </c>
      <c r="E91" s="2" t="str">
        <f t="shared" si="19"/>
        <v/>
      </c>
      <c r="F91" s="2" t="str">
        <f t="shared" si="15"/>
        <v/>
      </c>
      <c r="G91" s="2" t="str">
        <f t="shared" si="16"/>
        <v/>
      </c>
      <c r="H91" s="19" t="str">
        <f t="shared" si="17"/>
        <v/>
      </c>
      <c r="J91" s="23" t="e">
        <v>#N/A</v>
      </c>
      <c r="K91" s="2" t="e">
        <v>#N/A</v>
      </c>
      <c r="L91" s="2" t="e">
        <v>#N/A</v>
      </c>
      <c r="M91" s="2" t="e">
        <v>#N/A</v>
      </c>
      <c r="N91" s="19" t="e">
        <v>#N/A</v>
      </c>
      <c r="R91" s="23" t="str">
        <f>IF('Dropdown Lists'!H97="","",'Dropdown Lists'!H97)</f>
        <v/>
      </c>
      <c r="S91" s="19">
        <f t="shared" si="18"/>
        <v>2084</v>
      </c>
      <c r="U91" s="23" t="str">
        <f>IF('Dropdown Lists'!L97="","",'Dropdown Lists'!L97)</f>
        <v/>
      </c>
      <c r="V91" s="19">
        <f t="shared" si="14"/>
        <v>1084</v>
      </c>
      <c r="X91" s="31" t="str">
        <v/>
      </c>
      <c r="Y91" s="32" t="str">
        <v/>
      </c>
      <c r="Z91" s="35"/>
      <c r="AA91" s="31" t="str">
        <v/>
      </c>
      <c r="AB91" s="32" t="str">
        <v/>
      </c>
    </row>
    <row r="92" spans="2:28" ht="13.2" x14ac:dyDescent="0.25">
      <c r="B92" s="6" t="str">
        <f t="shared" si="12"/>
        <v/>
      </c>
      <c r="D92" s="23" t="str">
        <f t="shared" si="13"/>
        <v/>
      </c>
      <c r="E92" s="2" t="str">
        <f t="shared" si="19"/>
        <v/>
      </c>
      <c r="F92" s="2" t="str">
        <f t="shared" si="15"/>
        <v/>
      </c>
      <c r="G92" s="2" t="str">
        <f t="shared" si="16"/>
        <v/>
      </c>
      <c r="H92" s="19" t="str">
        <f t="shared" si="17"/>
        <v/>
      </c>
      <c r="J92" s="23" t="e">
        <v>#N/A</v>
      </c>
      <c r="K92" s="2" t="e">
        <v>#N/A</v>
      </c>
      <c r="L92" s="2" t="e">
        <v>#N/A</v>
      </c>
      <c r="M92" s="2" t="e">
        <v>#N/A</v>
      </c>
      <c r="N92" s="19" t="e">
        <v>#N/A</v>
      </c>
      <c r="R92" s="23" t="str">
        <f>IF('Dropdown Lists'!H98="","",'Dropdown Lists'!H98)</f>
        <v/>
      </c>
      <c r="S92" s="19">
        <f t="shared" si="18"/>
        <v>2085</v>
      </c>
      <c r="U92" s="23" t="str">
        <f>IF('Dropdown Lists'!L98="","",'Dropdown Lists'!L98)</f>
        <v/>
      </c>
      <c r="V92" s="19">
        <f t="shared" si="14"/>
        <v>1085</v>
      </c>
      <c r="X92" s="31" t="str">
        <v/>
      </c>
      <c r="Y92" s="32" t="str">
        <v/>
      </c>
      <c r="Z92" s="35"/>
      <c r="AA92" s="31" t="str">
        <v/>
      </c>
      <c r="AB92" s="32" t="str">
        <v/>
      </c>
    </row>
    <row r="93" spans="2:28" ht="13.2" x14ac:dyDescent="0.25">
      <c r="B93" s="6" t="str">
        <f t="shared" si="12"/>
        <v/>
      </c>
      <c r="D93" s="23" t="str">
        <f t="shared" si="13"/>
        <v/>
      </c>
      <c r="E93" s="2" t="str">
        <f t="shared" si="19"/>
        <v/>
      </c>
      <c r="F93" s="2" t="str">
        <f t="shared" si="15"/>
        <v/>
      </c>
      <c r="G93" s="2" t="str">
        <f t="shared" si="16"/>
        <v/>
      </c>
      <c r="H93" s="19" t="str">
        <f t="shared" si="17"/>
        <v/>
      </c>
      <c r="J93" s="23" t="e">
        <v>#N/A</v>
      </c>
      <c r="K93" s="2" t="e">
        <v>#N/A</v>
      </c>
      <c r="L93" s="2" t="e">
        <v>#N/A</v>
      </c>
      <c r="M93" s="2" t="e">
        <v>#N/A</v>
      </c>
      <c r="N93" s="19" t="e">
        <v>#N/A</v>
      </c>
      <c r="R93" s="23" t="str">
        <f>IF('Dropdown Lists'!H99="","",'Dropdown Lists'!H99)</f>
        <v/>
      </c>
      <c r="S93" s="19">
        <f t="shared" si="18"/>
        <v>2086</v>
      </c>
      <c r="U93" s="23" t="str">
        <f>IF('Dropdown Lists'!L99="","",'Dropdown Lists'!L99)</f>
        <v/>
      </c>
      <c r="V93" s="19">
        <f t="shared" si="14"/>
        <v>1086</v>
      </c>
      <c r="X93" s="31" t="str">
        <v/>
      </c>
      <c r="Y93" s="32" t="str">
        <v/>
      </c>
      <c r="Z93" s="35"/>
      <c r="AA93" s="31" t="str">
        <v/>
      </c>
      <c r="AB93" s="32" t="str">
        <v/>
      </c>
    </row>
    <row r="94" spans="2:28" ht="13.2" x14ac:dyDescent="0.25">
      <c r="B94" s="6" t="str">
        <f t="shared" si="12"/>
        <v/>
      </c>
      <c r="D94" s="23" t="str">
        <f t="shared" si="13"/>
        <v/>
      </c>
      <c r="E94" s="2" t="str">
        <f t="shared" si="19"/>
        <v/>
      </c>
      <c r="F94" s="2" t="str">
        <f t="shared" si="15"/>
        <v/>
      </c>
      <c r="G94" s="2" t="str">
        <f t="shared" si="16"/>
        <v/>
      </c>
      <c r="H94" s="19" t="str">
        <f t="shared" si="17"/>
        <v/>
      </c>
      <c r="J94" s="23" t="e">
        <v>#N/A</v>
      </c>
      <c r="K94" s="2" t="e">
        <v>#N/A</v>
      </c>
      <c r="L94" s="2" t="e">
        <v>#N/A</v>
      </c>
      <c r="M94" s="2" t="e">
        <v>#N/A</v>
      </c>
      <c r="N94" s="19" t="e">
        <v>#N/A</v>
      </c>
      <c r="R94" s="23" t="str">
        <f>IF('Dropdown Lists'!H100="","",'Dropdown Lists'!H100)</f>
        <v/>
      </c>
      <c r="S94" s="19">
        <f t="shared" si="18"/>
        <v>2087</v>
      </c>
      <c r="U94" s="23" t="str">
        <f>IF('Dropdown Lists'!L100="","",'Dropdown Lists'!L100)</f>
        <v/>
      </c>
      <c r="V94" s="19">
        <f t="shared" si="14"/>
        <v>1087</v>
      </c>
      <c r="X94" s="31" t="str">
        <v/>
      </c>
      <c r="Y94" s="32" t="str">
        <v/>
      </c>
      <c r="Z94" s="35"/>
      <c r="AA94" s="31" t="str">
        <v/>
      </c>
      <c r="AB94" s="32" t="str">
        <v/>
      </c>
    </row>
    <row r="95" spans="2:28" ht="13.2" x14ac:dyDescent="0.25">
      <c r="B95" s="6" t="str">
        <f t="shared" si="12"/>
        <v/>
      </c>
      <c r="D95" s="23" t="str">
        <f t="shared" si="13"/>
        <v/>
      </c>
      <c r="E95" s="2" t="str">
        <f t="shared" si="19"/>
        <v/>
      </c>
      <c r="F95" s="2" t="str">
        <f t="shared" si="15"/>
        <v/>
      </c>
      <c r="G95" s="2" t="str">
        <f t="shared" si="16"/>
        <v/>
      </c>
      <c r="H95" s="19" t="str">
        <f t="shared" si="17"/>
        <v/>
      </c>
      <c r="J95" s="23" t="e">
        <v>#N/A</v>
      </c>
      <c r="K95" s="2" t="e">
        <v>#N/A</v>
      </c>
      <c r="L95" s="2" t="e">
        <v>#N/A</v>
      </c>
      <c r="M95" s="2" t="e">
        <v>#N/A</v>
      </c>
      <c r="N95" s="19" t="e">
        <v>#N/A</v>
      </c>
      <c r="R95" s="23" t="str">
        <f>IF('Dropdown Lists'!H101="","",'Dropdown Lists'!H101)</f>
        <v/>
      </c>
      <c r="S95" s="19">
        <f t="shared" si="18"/>
        <v>2088</v>
      </c>
      <c r="U95" s="23" t="str">
        <f>IF('Dropdown Lists'!L101="","",'Dropdown Lists'!L101)</f>
        <v/>
      </c>
      <c r="V95" s="19">
        <f t="shared" si="14"/>
        <v>1088</v>
      </c>
      <c r="X95" s="31" t="str">
        <v/>
      </c>
      <c r="Y95" s="32" t="str">
        <v/>
      </c>
      <c r="Z95" s="35"/>
      <c r="AA95" s="31" t="str">
        <v/>
      </c>
      <c r="AB95" s="32" t="str">
        <v/>
      </c>
    </row>
    <row r="96" spans="2:28" ht="13.2" x14ac:dyDescent="0.25">
      <c r="B96" s="6" t="str">
        <f t="shared" si="12"/>
        <v/>
      </c>
      <c r="D96" s="23" t="str">
        <f t="shared" si="13"/>
        <v/>
      </c>
      <c r="E96" s="2" t="str">
        <f t="shared" si="19"/>
        <v/>
      </c>
      <c r="F96" s="2" t="str">
        <f t="shared" si="15"/>
        <v/>
      </c>
      <c r="G96" s="2" t="str">
        <f t="shared" si="16"/>
        <v/>
      </c>
      <c r="H96" s="19" t="str">
        <f t="shared" si="17"/>
        <v/>
      </c>
      <c r="J96" s="23" t="e">
        <v>#N/A</v>
      </c>
      <c r="K96" s="2" t="e">
        <v>#N/A</v>
      </c>
      <c r="L96" s="2" t="e">
        <v>#N/A</v>
      </c>
      <c r="M96" s="2" t="e">
        <v>#N/A</v>
      </c>
      <c r="N96" s="19" t="e">
        <v>#N/A</v>
      </c>
      <c r="R96" s="23" t="str">
        <f>IF('Dropdown Lists'!H102="","",'Dropdown Lists'!H102)</f>
        <v/>
      </c>
      <c r="S96" s="19">
        <f t="shared" si="18"/>
        <v>2089</v>
      </c>
      <c r="U96" s="23" t="str">
        <f>IF('Dropdown Lists'!L102="","",'Dropdown Lists'!L102)</f>
        <v/>
      </c>
      <c r="V96" s="19">
        <f t="shared" si="14"/>
        <v>1089</v>
      </c>
      <c r="X96" s="31" t="str">
        <v/>
      </c>
      <c r="Y96" s="32" t="str">
        <v/>
      </c>
      <c r="Z96" s="35"/>
      <c r="AA96" s="31" t="str">
        <v/>
      </c>
      <c r="AB96" s="32" t="str">
        <v/>
      </c>
    </row>
    <row r="97" spans="2:28" ht="13.2" x14ac:dyDescent="0.25">
      <c r="B97" s="6" t="str">
        <f t="shared" si="12"/>
        <v/>
      </c>
      <c r="D97" s="23" t="str">
        <f t="shared" si="13"/>
        <v/>
      </c>
      <c r="E97" s="2" t="str">
        <f t="shared" si="19"/>
        <v/>
      </c>
      <c r="F97" s="2" t="str">
        <f t="shared" si="15"/>
        <v/>
      </c>
      <c r="G97" s="2" t="str">
        <f t="shared" si="16"/>
        <v/>
      </c>
      <c r="H97" s="19" t="str">
        <f t="shared" si="17"/>
        <v/>
      </c>
      <c r="J97" s="23" t="e">
        <v>#N/A</v>
      </c>
      <c r="K97" s="2" t="e">
        <v>#N/A</v>
      </c>
      <c r="L97" s="2" t="e">
        <v>#N/A</v>
      </c>
      <c r="M97" s="2" t="e">
        <v>#N/A</v>
      </c>
      <c r="N97" s="19" t="e">
        <v>#N/A</v>
      </c>
      <c r="R97" s="23" t="str">
        <f>IF('Dropdown Lists'!H103="","",'Dropdown Lists'!H103)</f>
        <v/>
      </c>
      <c r="S97" s="19">
        <f t="shared" si="18"/>
        <v>2090</v>
      </c>
      <c r="U97" s="23" t="str">
        <f>IF('Dropdown Lists'!L103="","",'Dropdown Lists'!L103)</f>
        <v/>
      </c>
      <c r="V97" s="19">
        <f t="shared" si="14"/>
        <v>1090</v>
      </c>
      <c r="X97" s="31" t="str">
        <v/>
      </c>
      <c r="Y97" s="32" t="str">
        <v/>
      </c>
      <c r="Z97" s="35"/>
      <c r="AA97" s="31" t="str">
        <v/>
      </c>
      <c r="AB97" s="32" t="str">
        <v/>
      </c>
    </row>
    <row r="98" spans="2:28" ht="13.2" x14ac:dyDescent="0.25">
      <c r="B98" s="6" t="str">
        <f t="shared" si="12"/>
        <v/>
      </c>
      <c r="D98" s="23" t="str">
        <f t="shared" si="13"/>
        <v/>
      </c>
      <c r="E98" s="2" t="str">
        <f t="shared" si="19"/>
        <v/>
      </c>
      <c r="F98" s="2" t="str">
        <f t="shared" si="15"/>
        <v/>
      </c>
      <c r="G98" s="2" t="str">
        <f t="shared" si="16"/>
        <v/>
      </c>
      <c r="H98" s="19" t="str">
        <f t="shared" si="17"/>
        <v/>
      </c>
      <c r="J98" s="23" t="e">
        <v>#N/A</v>
      </c>
      <c r="K98" s="2" t="e">
        <v>#N/A</v>
      </c>
      <c r="L98" s="2" t="e">
        <v>#N/A</v>
      </c>
      <c r="M98" s="2" t="e">
        <v>#N/A</v>
      </c>
      <c r="N98" s="19" t="e">
        <v>#N/A</v>
      </c>
      <c r="R98" s="23" t="str">
        <f>IF('Dropdown Lists'!H104="","",'Dropdown Lists'!H104)</f>
        <v/>
      </c>
      <c r="S98" s="19">
        <f t="shared" si="18"/>
        <v>2091</v>
      </c>
      <c r="U98" s="23" t="str">
        <f>IF('Dropdown Lists'!L104="","",'Dropdown Lists'!L104)</f>
        <v/>
      </c>
      <c r="V98" s="19">
        <f t="shared" si="14"/>
        <v>1091</v>
      </c>
      <c r="X98" s="31" t="str">
        <v/>
      </c>
      <c r="Y98" s="32" t="str">
        <v/>
      </c>
      <c r="Z98" s="35"/>
      <c r="AA98" s="31" t="str">
        <v/>
      </c>
      <c r="AB98" s="32" t="str">
        <v/>
      </c>
    </row>
    <row r="99" spans="2:28" ht="13.2" x14ac:dyDescent="0.25">
      <c r="B99" s="6" t="str">
        <f t="shared" si="12"/>
        <v/>
      </c>
      <c r="D99" s="23" t="str">
        <f t="shared" si="13"/>
        <v/>
      </c>
      <c r="E99" s="2" t="str">
        <f t="shared" si="19"/>
        <v/>
      </c>
      <c r="F99" s="2" t="str">
        <f t="shared" si="15"/>
        <v/>
      </c>
      <c r="G99" s="2" t="str">
        <f t="shared" si="16"/>
        <v/>
      </c>
      <c r="H99" s="19" t="str">
        <f t="shared" si="17"/>
        <v/>
      </c>
      <c r="J99" s="23" t="e">
        <v>#N/A</v>
      </c>
      <c r="K99" s="2" t="e">
        <v>#N/A</v>
      </c>
      <c r="L99" s="2" t="e">
        <v>#N/A</v>
      </c>
      <c r="M99" s="2" t="e">
        <v>#N/A</v>
      </c>
      <c r="N99" s="19" t="e">
        <v>#N/A</v>
      </c>
      <c r="R99" s="23" t="str">
        <f>IF('Dropdown Lists'!H105="","",'Dropdown Lists'!H105)</f>
        <v/>
      </c>
      <c r="S99" s="19">
        <f t="shared" si="18"/>
        <v>2092</v>
      </c>
      <c r="U99" s="23" t="str">
        <f>IF('Dropdown Lists'!L105="","",'Dropdown Lists'!L105)</f>
        <v/>
      </c>
      <c r="V99" s="19">
        <f t="shared" si="14"/>
        <v>1092</v>
      </c>
      <c r="X99" s="31" t="str">
        <v/>
      </c>
      <c r="Y99" s="32" t="str">
        <v/>
      </c>
      <c r="Z99" s="35"/>
      <c r="AA99" s="31" t="str">
        <v/>
      </c>
      <c r="AB99" s="32" t="str">
        <v/>
      </c>
    </row>
    <row r="100" spans="2:28" ht="13.2" x14ac:dyDescent="0.25">
      <c r="B100" s="6" t="str">
        <f t="shared" si="12"/>
        <v/>
      </c>
      <c r="D100" s="23" t="str">
        <f t="shared" si="13"/>
        <v/>
      </c>
      <c r="E100" s="2" t="str">
        <f t="shared" si="19"/>
        <v/>
      </c>
      <c r="F100" s="2" t="str">
        <f t="shared" si="15"/>
        <v/>
      </c>
      <c r="G100" s="2" t="str">
        <f t="shared" si="16"/>
        <v/>
      </c>
      <c r="H100" s="19" t="str">
        <f t="shared" si="17"/>
        <v/>
      </c>
      <c r="J100" s="23" t="e">
        <v>#N/A</v>
      </c>
      <c r="K100" s="2" t="e">
        <v>#N/A</v>
      </c>
      <c r="L100" s="2" t="e">
        <v>#N/A</v>
      </c>
      <c r="M100" s="2" t="e">
        <v>#N/A</v>
      </c>
      <c r="N100" s="19" t="e">
        <v>#N/A</v>
      </c>
      <c r="R100" s="23" t="str">
        <f>IF('Dropdown Lists'!H106="","",'Dropdown Lists'!H106)</f>
        <v/>
      </c>
      <c r="S100" s="19">
        <f t="shared" si="18"/>
        <v>2093</v>
      </c>
      <c r="U100" s="23" t="str">
        <f>IF('Dropdown Lists'!L106="","",'Dropdown Lists'!L106)</f>
        <v/>
      </c>
      <c r="V100" s="19">
        <f t="shared" si="14"/>
        <v>1093</v>
      </c>
      <c r="X100" s="31" t="str">
        <v/>
      </c>
      <c r="Y100" s="32" t="str">
        <v/>
      </c>
      <c r="Z100" s="35"/>
      <c r="AA100" s="31" t="str">
        <v/>
      </c>
      <c r="AB100" s="32" t="str">
        <v/>
      </c>
    </row>
    <row r="101" spans="2:28" ht="13.2" x14ac:dyDescent="0.25">
      <c r="B101" s="6" t="str">
        <f t="shared" si="12"/>
        <v/>
      </c>
      <c r="D101" s="23" t="str">
        <f t="shared" si="13"/>
        <v/>
      </c>
      <c r="E101" s="2" t="str">
        <f t="shared" si="19"/>
        <v/>
      </c>
      <c r="F101" s="2" t="str">
        <f t="shared" si="15"/>
        <v/>
      </c>
      <c r="G101" s="2" t="str">
        <f t="shared" si="16"/>
        <v/>
      </c>
      <c r="H101" s="19" t="str">
        <f t="shared" si="17"/>
        <v/>
      </c>
      <c r="J101" s="23" t="e">
        <v>#N/A</v>
      </c>
      <c r="K101" s="2" t="e">
        <v>#N/A</v>
      </c>
      <c r="L101" s="2" t="e">
        <v>#N/A</v>
      </c>
      <c r="M101" s="2" t="e">
        <v>#N/A</v>
      </c>
      <c r="N101" s="19" t="e">
        <v>#N/A</v>
      </c>
      <c r="R101" s="23" t="str">
        <f>IF('Dropdown Lists'!H107="","",'Dropdown Lists'!H107)</f>
        <v/>
      </c>
      <c r="S101" s="19">
        <f t="shared" si="18"/>
        <v>2094</v>
      </c>
      <c r="U101" s="23" t="str">
        <f>IF('Dropdown Lists'!L107="","",'Dropdown Lists'!L107)</f>
        <v/>
      </c>
      <c r="V101" s="19">
        <f t="shared" si="14"/>
        <v>1094</v>
      </c>
      <c r="X101" s="31" t="str">
        <v/>
      </c>
      <c r="Y101" s="32" t="str">
        <v/>
      </c>
      <c r="Z101" s="35"/>
      <c r="AA101" s="31" t="str">
        <v/>
      </c>
      <c r="AB101" s="32" t="str">
        <v/>
      </c>
    </row>
    <row r="102" spans="2:28" ht="13.2" x14ac:dyDescent="0.25">
      <c r="B102" s="6" t="str">
        <f t="shared" si="12"/>
        <v/>
      </c>
      <c r="D102" s="23" t="str">
        <f t="shared" si="13"/>
        <v/>
      </c>
      <c r="E102" s="2" t="str">
        <f t="shared" si="19"/>
        <v/>
      </c>
      <c r="F102" s="2" t="str">
        <f t="shared" si="15"/>
        <v/>
      </c>
      <c r="G102" s="2" t="str">
        <f t="shared" si="16"/>
        <v/>
      </c>
      <c r="H102" s="19" t="str">
        <f t="shared" si="17"/>
        <v/>
      </c>
      <c r="J102" s="23" t="e">
        <v>#N/A</v>
      </c>
      <c r="K102" s="2" t="e">
        <v>#N/A</v>
      </c>
      <c r="L102" s="2" t="e">
        <v>#N/A</v>
      </c>
      <c r="M102" s="2" t="e">
        <v>#N/A</v>
      </c>
      <c r="N102" s="19" t="e">
        <v>#N/A</v>
      </c>
      <c r="R102" s="23" t="str">
        <f>IF('Dropdown Lists'!H108="","",'Dropdown Lists'!H108)</f>
        <v/>
      </c>
      <c r="S102" s="19">
        <f t="shared" si="18"/>
        <v>2095</v>
      </c>
      <c r="U102" s="23" t="str">
        <f>IF('Dropdown Lists'!L108="","",'Dropdown Lists'!L108)</f>
        <v/>
      </c>
      <c r="V102" s="19">
        <f t="shared" si="14"/>
        <v>1095</v>
      </c>
      <c r="X102" s="31" t="str">
        <v/>
      </c>
      <c r="Y102" s="32" t="str">
        <v/>
      </c>
      <c r="Z102" s="35"/>
      <c r="AA102" s="31" t="str">
        <v/>
      </c>
      <c r="AB102" s="32" t="str">
        <v/>
      </c>
    </row>
    <row r="103" spans="2:28" ht="13.2" x14ac:dyDescent="0.25">
      <c r="B103" s="6" t="str">
        <f t="shared" si="12"/>
        <v/>
      </c>
      <c r="D103" s="23" t="str">
        <f t="shared" si="13"/>
        <v/>
      </c>
      <c r="E103" s="2" t="str">
        <f t="shared" si="19"/>
        <v/>
      </c>
      <c r="F103" s="2" t="str">
        <f t="shared" si="15"/>
        <v/>
      </c>
      <c r="G103" s="2" t="str">
        <f t="shared" si="16"/>
        <v/>
      </c>
      <c r="H103" s="19" t="str">
        <f t="shared" si="17"/>
        <v/>
      </c>
      <c r="J103" s="23" t="e">
        <v>#N/A</v>
      </c>
      <c r="K103" s="2" t="e">
        <v>#N/A</v>
      </c>
      <c r="L103" s="2" t="e">
        <v>#N/A</v>
      </c>
      <c r="M103" s="2" t="e">
        <v>#N/A</v>
      </c>
      <c r="N103" s="19" t="e">
        <v>#N/A</v>
      </c>
      <c r="R103" s="23" t="str">
        <f>IF('Dropdown Lists'!H109="","",'Dropdown Lists'!H109)</f>
        <v/>
      </c>
      <c r="S103" s="19">
        <f t="shared" si="18"/>
        <v>2096</v>
      </c>
      <c r="U103" s="23" t="str">
        <f>IF('Dropdown Lists'!L109="","",'Dropdown Lists'!L109)</f>
        <v/>
      </c>
      <c r="V103" s="19">
        <f t="shared" si="14"/>
        <v>1096</v>
      </c>
      <c r="X103" s="31" t="str">
        <v/>
      </c>
      <c r="Y103" s="32" t="str">
        <v/>
      </c>
      <c r="Z103" s="35"/>
      <c r="AA103" s="31" t="str">
        <v/>
      </c>
      <c r="AB103" s="32" t="str">
        <v/>
      </c>
    </row>
    <row r="104" spans="2:28" ht="13.2" x14ac:dyDescent="0.25">
      <c r="B104" s="6" t="str">
        <f t="shared" si="12"/>
        <v/>
      </c>
      <c r="D104" s="23" t="str">
        <f t="shared" si="13"/>
        <v/>
      </c>
      <c r="E104" s="2" t="str">
        <f t="shared" si="19"/>
        <v/>
      </c>
      <c r="F104" s="2" t="str">
        <f t="shared" si="15"/>
        <v/>
      </c>
      <c r="G104" s="2" t="str">
        <f t="shared" si="16"/>
        <v/>
      </c>
      <c r="H104" s="19" t="str">
        <f t="shared" si="17"/>
        <v/>
      </c>
      <c r="J104" s="23" t="e">
        <v>#N/A</v>
      </c>
      <c r="K104" s="2" t="e">
        <v>#N/A</v>
      </c>
      <c r="L104" s="2" t="e">
        <v>#N/A</v>
      </c>
      <c r="M104" s="2" t="e">
        <v>#N/A</v>
      </c>
      <c r="N104" s="19" t="e">
        <v>#N/A</v>
      </c>
      <c r="R104" s="23" t="str">
        <f>IF('Dropdown Lists'!H110="","",'Dropdown Lists'!H110)</f>
        <v/>
      </c>
      <c r="S104" s="19">
        <f t="shared" si="18"/>
        <v>2097</v>
      </c>
      <c r="U104" s="23" t="str">
        <f>IF('Dropdown Lists'!L110="","",'Dropdown Lists'!L110)</f>
        <v/>
      </c>
      <c r="V104" s="19">
        <f t="shared" si="14"/>
        <v>1097</v>
      </c>
      <c r="X104" s="31" t="str">
        <v/>
      </c>
      <c r="Y104" s="32" t="str">
        <v/>
      </c>
      <c r="Z104" s="35"/>
      <c r="AA104" s="31" t="str">
        <v/>
      </c>
      <c r="AB104" s="32" t="str">
        <v/>
      </c>
    </row>
    <row r="105" spans="2:28" ht="13.2" x14ac:dyDescent="0.25">
      <c r="B105" s="6" t="str">
        <f t="shared" si="12"/>
        <v/>
      </c>
      <c r="D105" s="23" t="str">
        <f t="shared" si="13"/>
        <v/>
      </c>
      <c r="E105" s="2" t="str">
        <f t="shared" si="19"/>
        <v/>
      </c>
      <c r="F105" s="2" t="str">
        <f t="shared" ref="F105:F107" si="20">IF(ISERROR(L105),"",IF(L105=0,"",L105))</f>
        <v/>
      </c>
      <c r="G105" s="2" t="str">
        <f t="shared" ref="G105:G107" si="21">IF(ISERROR(M105),"",IF(M105=0,"",M105))</f>
        <v/>
      </c>
      <c r="H105" s="19" t="str">
        <f t="shared" ref="H105:H107" si="22">IF(ISERROR(N105),"",IF(N105=0,"",N105))</f>
        <v/>
      </c>
      <c r="J105" s="23" t="e">
        <v>#N/A</v>
      </c>
      <c r="K105" s="2" t="e">
        <v>#N/A</v>
      </c>
      <c r="L105" s="2" t="e">
        <v>#N/A</v>
      </c>
      <c r="M105" s="2" t="e">
        <v>#N/A</v>
      </c>
      <c r="N105" s="19" t="e">
        <v>#N/A</v>
      </c>
      <c r="R105" s="23" t="str">
        <f>IF('Dropdown Lists'!H111="","",'Dropdown Lists'!H111)</f>
        <v/>
      </c>
      <c r="S105" s="19">
        <f t="shared" si="18"/>
        <v>2098</v>
      </c>
      <c r="U105" s="23" t="str">
        <f>IF('Dropdown Lists'!L111="","",'Dropdown Lists'!L111)</f>
        <v/>
      </c>
      <c r="V105" s="19">
        <f t="shared" si="14"/>
        <v>1098</v>
      </c>
      <c r="X105" s="31" t="str">
        <v/>
      </c>
      <c r="Y105" s="32" t="str">
        <v/>
      </c>
      <c r="Z105" s="35"/>
      <c r="AA105" s="31" t="str">
        <v/>
      </c>
      <c r="AB105" s="32" t="str">
        <v/>
      </c>
    </row>
    <row r="106" spans="2:28" ht="13.2" x14ac:dyDescent="0.25">
      <c r="B106" s="6" t="str">
        <f t="shared" si="12"/>
        <v/>
      </c>
      <c r="D106" s="23" t="str">
        <f t="shared" si="13"/>
        <v/>
      </c>
      <c r="E106" s="2" t="str">
        <f t="shared" si="19"/>
        <v/>
      </c>
      <c r="F106" s="2" t="str">
        <f t="shared" si="20"/>
        <v/>
      </c>
      <c r="G106" s="2" t="str">
        <f t="shared" si="21"/>
        <v/>
      </c>
      <c r="H106" s="19" t="str">
        <f t="shared" si="22"/>
        <v/>
      </c>
      <c r="J106" s="23" t="e">
        <v>#N/A</v>
      </c>
      <c r="K106" s="2" t="e">
        <v>#N/A</v>
      </c>
      <c r="L106" s="2" t="e">
        <v>#N/A</v>
      </c>
      <c r="M106" s="2" t="e">
        <v>#N/A</v>
      </c>
      <c r="N106" s="19" t="e">
        <v>#N/A</v>
      </c>
      <c r="R106" s="23" t="str">
        <f>IF('Dropdown Lists'!H112="","",'Dropdown Lists'!H112)</f>
        <v/>
      </c>
      <c r="S106" s="19">
        <f t="shared" si="18"/>
        <v>2099</v>
      </c>
      <c r="U106" s="23" t="str">
        <f>IF('Dropdown Lists'!L112="","",'Dropdown Lists'!L112)</f>
        <v/>
      </c>
      <c r="V106" s="19">
        <f t="shared" si="14"/>
        <v>1099</v>
      </c>
      <c r="X106" s="31" t="str">
        <v/>
      </c>
      <c r="Y106" s="32" t="str">
        <v/>
      </c>
      <c r="Z106" s="35"/>
      <c r="AA106" s="31" t="str">
        <v/>
      </c>
      <c r="AB106" s="32" t="str">
        <v/>
      </c>
    </row>
    <row r="107" spans="2:28" ht="13.2" x14ac:dyDescent="0.25">
      <c r="B107" s="8" t="str">
        <f t="shared" si="12"/>
        <v/>
      </c>
      <c r="D107" s="9" t="str">
        <f t="shared" si="13"/>
        <v/>
      </c>
      <c r="E107" s="3" t="str">
        <f t="shared" si="19"/>
        <v/>
      </c>
      <c r="F107" s="3" t="str">
        <f t="shared" si="20"/>
        <v/>
      </c>
      <c r="G107" s="3" t="str">
        <f t="shared" si="21"/>
        <v/>
      </c>
      <c r="H107" s="12" t="str">
        <f t="shared" si="22"/>
        <v/>
      </c>
      <c r="J107" s="9" t="e">
        <v>#N/A</v>
      </c>
      <c r="K107" s="3" t="e">
        <v>#N/A</v>
      </c>
      <c r="L107" s="3" t="e">
        <v>#N/A</v>
      </c>
      <c r="M107" s="3" t="e">
        <v>#N/A</v>
      </c>
      <c r="N107" s="12" t="e">
        <v>#N/A</v>
      </c>
      <c r="R107" s="9" t="str">
        <f>IF('Dropdown Lists'!H113="","",'Dropdown Lists'!H113)</f>
        <v/>
      </c>
      <c r="S107" s="12">
        <f t="shared" si="18"/>
        <v>2100</v>
      </c>
      <c r="U107" s="9" t="str">
        <f>IF('Dropdown Lists'!L113="","",'Dropdown Lists'!L113)</f>
        <v/>
      </c>
      <c r="V107" s="12">
        <f t="shared" si="14"/>
        <v>1100</v>
      </c>
      <c r="X107" s="33" t="str">
        <v/>
      </c>
      <c r="Y107" s="34" t="str">
        <v/>
      </c>
      <c r="Z107" s="35"/>
      <c r="AA107" s="33" t="str">
        <v/>
      </c>
      <c r="AB107" s="34" t="str">
        <v/>
      </c>
    </row>
  </sheetData>
  <sheetProtection password="CC3D" sheet="1" objects="1" scenarios="1"/>
  <dataConsolidate/>
  <mergeCells count="7">
    <mergeCell ref="X3:AB3"/>
    <mergeCell ref="AA4:AB4"/>
    <mergeCell ref="J4:N4"/>
    <mergeCell ref="D4:H4"/>
    <mergeCell ref="R4:S4"/>
    <mergeCell ref="U4:V4"/>
    <mergeCell ref="X4:Y4"/>
  </mergeCells>
  <pageMargins left="0.7" right="0.7" top="0.78740157499999996" bottom="0.78740157499999996" header="0.3" footer="0.3"/>
  <headerFooter>
    <oddFooter>&amp;C&amp;D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ReadMe</vt:lpstr>
      <vt:lpstr>Dropdown Lists</vt:lpstr>
      <vt:lpstr>Item Prices &amp; Rates</vt:lpstr>
      <vt:lpstr>Model 1</vt:lpstr>
      <vt:lpstr>Model 2</vt:lpstr>
      <vt:lpstr>Comparison</vt:lpstr>
      <vt:lpstr>Calculations</vt:lpstr>
      <vt:lpstr>TotalPriceModel1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Jüstrich, Stefan</dc:creator>
  <dc:description>Design by Sandro Lochau</dc:description>
  <cp:lastModifiedBy>Dalla Torre, Caterina</cp:lastModifiedBy>
  <cp:lastPrinted>2015-09-24T15:14:02Z</cp:lastPrinted>
  <dcterms:created xsi:type="dcterms:W3CDTF">2011-04-04T18:10:52Z</dcterms:created>
  <dcterms:modified xsi:type="dcterms:W3CDTF">2016-12-23T15:34:50Z</dcterms:modified>
</cp:coreProperties>
</file>