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eawagch-my.sharepoint.com/personal/dorian_tosirobinson_eawag_ch/Documents/HAWAI_revision_2/Tools/Tool 4/T 4.3 - Technology Evaluation Tool/"/>
    </mc:Choice>
  </mc:AlternateContent>
  <xr:revisionPtr revIDLastSave="581" documentId="11_AC9BBA67697DB550A9E247EE72BD75DCD9C046C7" xr6:coauthVersionLast="47" xr6:coauthVersionMax="47" xr10:uidLastSave="{F9FB6F76-84CA-452B-81DA-BFD775489A42}"/>
  <bookViews>
    <workbookView xWindow="-110" yWindow="-110" windowWidth="19420" windowHeight="10300" xr2:uid="{00000000-000D-0000-FFFF-FFFF00000000}"/>
  </bookViews>
  <sheets>
    <sheet name="0 Intro" sheetId="1" r:id="rId1"/>
    <sheet name=" 1 Technology_check" sheetId="3" r:id="rId2"/>
    <sheet name="1.1 Composting" sheetId="4" r:id="rId3"/>
    <sheet name="1.2 AD" sheetId="5" r:id="rId4"/>
    <sheet name="1.3 BSF" sheetId="6" r:id="rId5"/>
    <sheet name="Specific_Formulas" sheetId="7" state="hidden" r:id="rId6"/>
    <sheet name="Language" sheetId="8" state="hidden" r:id="rId7"/>
    <sheet name="2 Feedstock database" sheetId="2" r:id="rId8"/>
    <sheet name="3 Referen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C16" i="4"/>
  <c r="B17" i="4"/>
  <c r="C17" i="4"/>
  <c r="B18" i="6"/>
  <c r="B19" i="6"/>
  <c r="B15" i="4" l="1"/>
  <c r="D51" i="4" s="1"/>
  <c r="C15" i="4"/>
  <c r="B18" i="4"/>
  <c r="C18" i="4"/>
  <c r="B19" i="4"/>
  <c r="C19" i="4"/>
  <c r="B15" i="6"/>
  <c r="C15" i="6"/>
  <c r="B16" i="6"/>
  <c r="C16" i="6"/>
  <c r="B17" i="6"/>
  <c r="C17" i="6"/>
  <c r="B16" i="5"/>
  <c r="C16" i="5"/>
  <c r="B17" i="5"/>
  <c r="C17" i="5"/>
  <c r="B18" i="5"/>
  <c r="C18" i="5"/>
  <c r="B19" i="5"/>
  <c r="C19" i="5"/>
  <c r="H24" i="3"/>
  <c r="H23" i="3"/>
  <c r="H22" i="3"/>
  <c r="H21" i="3"/>
  <c r="H20" i="3"/>
  <c r="H19" i="3"/>
  <c r="H18" i="3"/>
  <c r="H17" i="3"/>
  <c r="H16" i="3"/>
  <c r="H15" i="3"/>
  <c r="H14" i="3"/>
  <c r="D12" i="2" l="1"/>
  <c r="E12" i="2"/>
  <c r="D53" i="6"/>
  <c r="C25" i="6"/>
  <c r="B25" i="6"/>
  <c r="F25" i="6" s="1"/>
  <c r="C24" i="6"/>
  <c r="B24" i="6"/>
  <c r="T24" i="6" s="1"/>
  <c r="C23" i="6"/>
  <c r="B23" i="6"/>
  <c r="Q23" i="6" s="1"/>
  <c r="C22" i="6"/>
  <c r="B22" i="6"/>
  <c r="S22" i="6" s="1"/>
  <c r="C21" i="6"/>
  <c r="B21" i="6"/>
  <c r="N21" i="6" s="1"/>
  <c r="C20" i="6"/>
  <c r="B20" i="6"/>
  <c r="C19" i="6"/>
  <c r="M19" i="6"/>
  <c r="U18" i="6"/>
  <c r="C18" i="6"/>
  <c r="Q18" i="6"/>
  <c r="U17" i="6"/>
  <c r="T17" i="6"/>
  <c r="S17" i="6"/>
  <c r="Q17" i="6"/>
  <c r="N17" i="6"/>
  <c r="E17" i="6"/>
  <c r="D17" i="6"/>
  <c r="U16" i="6"/>
  <c r="T16" i="6"/>
  <c r="S16" i="6"/>
  <c r="Q16" i="6"/>
  <c r="O16" i="6"/>
  <c r="N16" i="6"/>
  <c r="M16" i="6"/>
  <c r="W16" i="6" s="1"/>
  <c r="L16" i="6"/>
  <c r="V16" i="6" s="1"/>
  <c r="G16" i="6"/>
  <c r="Z16" i="6" s="1"/>
  <c r="Q15" i="6"/>
  <c r="N15" i="6"/>
  <c r="L15" i="6"/>
  <c r="V15" i="6" s="1"/>
  <c r="G15" i="6"/>
  <c r="AA15" i="6" s="1"/>
  <c r="D15" i="6"/>
  <c r="D93" i="5"/>
  <c r="C26" i="5"/>
  <c r="B26" i="5"/>
  <c r="F26" i="5" s="1"/>
  <c r="C25" i="5"/>
  <c r="B25" i="5"/>
  <c r="O25" i="5" s="1"/>
  <c r="C24" i="5"/>
  <c r="B24" i="5"/>
  <c r="N24" i="5" s="1"/>
  <c r="C23" i="5"/>
  <c r="B23" i="5"/>
  <c r="F23" i="5" s="1"/>
  <c r="U22" i="5"/>
  <c r="T22" i="5"/>
  <c r="S22" i="5"/>
  <c r="Q22" i="5"/>
  <c r="O22" i="5"/>
  <c r="N22" i="5"/>
  <c r="M22" i="5"/>
  <c r="L22" i="5"/>
  <c r="G22" i="5"/>
  <c r="F22" i="5"/>
  <c r="E22" i="5"/>
  <c r="D22" i="5"/>
  <c r="C22" i="5"/>
  <c r="C21" i="5"/>
  <c r="B21" i="5"/>
  <c r="M21" i="5" s="1"/>
  <c r="C20" i="5"/>
  <c r="B20" i="5"/>
  <c r="O20" i="5" s="1"/>
  <c r="U19" i="5"/>
  <c r="T19" i="5"/>
  <c r="S19" i="5"/>
  <c r="Q19" i="5"/>
  <c r="O19" i="5"/>
  <c r="N19" i="5"/>
  <c r="M19" i="5"/>
  <c r="L19" i="5"/>
  <c r="V19" i="5" s="1"/>
  <c r="G19" i="5"/>
  <c r="Q18" i="5"/>
  <c r="N18" i="5"/>
  <c r="L18" i="5"/>
  <c r="V18" i="5" s="1"/>
  <c r="Q17" i="5"/>
  <c r="N17" i="5"/>
  <c r="L17" i="5"/>
  <c r="V17" i="5" s="1"/>
  <c r="Q16" i="5"/>
  <c r="N16" i="5"/>
  <c r="L16" i="5"/>
  <c r="V16" i="5" s="1"/>
  <c r="C25" i="4"/>
  <c r="B25" i="4"/>
  <c r="P25" i="4" s="1"/>
  <c r="C24" i="4"/>
  <c r="B24" i="4"/>
  <c r="R24" i="4" s="1"/>
  <c r="C23" i="4"/>
  <c r="B23" i="4"/>
  <c r="K23" i="4" s="1"/>
  <c r="C22" i="4"/>
  <c r="B22" i="4"/>
  <c r="P22" i="4" s="1"/>
  <c r="C21" i="4"/>
  <c r="B21" i="4"/>
  <c r="R21" i="4" s="1"/>
  <c r="C20" i="4"/>
  <c r="B20" i="4"/>
  <c r="S20" i="4" s="1"/>
  <c r="T19" i="4"/>
  <c r="S19" i="4"/>
  <c r="R19" i="4"/>
  <c r="N19" i="4"/>
  <c r="K19" i="4"/>
  <c r="G19" i="4"/>
  <c r="F19" i="4"/>
  <c r="E19" i="4"/>
  <c r="D19" i="4"/>
  <c r="P19" i="4"/>
  <c r="R18" i="4"/>
  <c r="P18" i="4"/>
  <c r="N18" i="4"/>
  <c r="K18" i="4"/>
  <c r="G18" i="4"/>
  <c r="M18" i="4"/>
  <c r="R17" i="4"/>
  <c r="P17" i="4"/>
  <c r="M17" i="4"/>
  <c r="K17" i="4"/>
  <c r="U17" i="4" s="1"/>
  <c r="D17" i="4"/>
  <c r="P16" i="4"/>
  <c r="N16" i="4"/>
  <c r="M16" i="4"/>
  <c r="R15" i="4"/>
  <c r="P15" i="4"/>
  <c r="M15" i="4"/>
  <c r="L15" i="4"/>
  <c r="V15" i="4" s="1"/>
  <c r="K15" i="4"/>
  <c r="U15" i="4" s="1"/>
  <c r="D15" i="4"/>
  <c r="C31" i="3"/>
  <c r="R24" i="3"/>
  <c r="Q24" i="3"/>
  <c r="P24" i="3"/>
  <c r="N24" i="3"/>
  <c r="L24" i="3"/>
  <c r="K24" i="3"/>
  <c r="J24" i="3"/>
  <c r="I24" i="3"/>
  <c r="S24" i="3" s="1"/>
  <c r="X24" i="3"/>
  <c r="G24" i="3"/>
  <c r="F24" i="3"/>
  <c r="E24" i="3"/>
  <c r="D24" i="3"/>
  <c r="W23" i="3"/>
  <c r="R23" i="3"/>
  <c r="Q23" i="3"/>
  <c r="P23" i="3"/>
  <c r="N23" i="3"/>
  <c r="L23" i="3"/>
  <c r="K23" i="3"/>
  <c r="J23" i="3"/>
  <c r="I23" i="3"/>
  <c r="S23" i="3" s="1"/>
  <c r="X23" i="3"/>
  <c r="G23" i="3"/>
  <c r="F23" i="3"/>
  <c r="E23" i="3"/>
  <c r="D23" i="3"/>
  <c r="W22" i="3"/>
  <c r="R22" i="3"/>
  <c r="Q22" i="3"/>
  <c r="P22" i="3"/>
  <c r="N22" i="3"/>
  <c r="L22" i="3"/>
  <c r="K22" i="3"/>
  <c r="J22" i="3"/>
  <c r="T22" i="3" s="1"/>
  <c r="I22" i="3"/>
  <c r="S22" i="3" s="1"/>
  <c r="X22" i="3"/>
  <c r="G22" i="3"/>
  <c r="F22" i="3"/>
  <c r="E22" i="3"/>
  <c r="D22" i="3"/>
  <c r="R21" i="3"/>
  <c r="Q21" i="3"/>
  <c r="P21" i="3"/>
  <c r="N21" i="3"/>
  <c r="L21" i="3"/>
  <c r="K21" i="3"/>
  <c r="J21" i="3"/>
  <c r="T21" i="3" s="1"/>
  <c r="I21" i="3"/>
  <c r="S21" i="3" s="1"/>
  <c r="X21" i="3"/>
  <c r="G21" i="3"/>
  <c r="F21" i="3"/>
  <c r="E21" i="3"/>
  <c r="D21" i="3"/>
  <c r="R20" i="3"/>
  <c r="Q20" i="3"/>
  <c r="P20" i="3"/>
  <c r="N20" i="3"/>
  <c r="L20" i="3"/>
  <c r="K20" i="3"/>
  <c r="J20" i="3"/>
  <c r="I20" i="3"/>
  <c r="S20" i="3" s="1"/>
  <c r="X20" i="3"/>
  <c r="G20" i="3"/>
  <c r="F20" i="3"/>
  <c r="E20" i="3"/>
  <c r="D20" i="3"/>
  <c r="W19" i="3"/>
  <c r="R19" i="3"/>
  <c r="Q19" i="3"/>
  <c r="P19" i="3"/>
  <c r="N19" i="3"/>
  <c r="L19" i="3"/>
  <c r="K19" i="3"/>
  <c r="J19" i="3"/>
  <c r="I19" i="3"/>
  <c r="S19" i="3" s="1"/>
  <c r="X19" i="3"/>
  <c r="G19" i="3"/>
  <c r="F19" i="3"/>
  <c r="E19" i="3"/>
  <c r="D19" i="3"/>
  <c r="W18" i="3"/>
  <c r="R18" i="3"/>
  <c r="Q18" i="3"/>
  <c r="P18" i="3"/>
  <c r="N18" i="3"/>
  <c r="L18" i="3"/>
  <c r="K18" i="3"/>
  <c r="J18" i="3"/>
  <c r="T18" i="3" s="1"/>
  <c r="I18" i="3"/>
  <c r="S18" i="3" s="1"/>
  <c r="X18" i="3"/>
  <c r="G18" i="3"/>
  <c r="F18" i="3"/>
  <c r="E18" i="3"/>
  <c r="D18" i="3"/>
  <c r="R17" i="3"/>
  <c r="Q17" i="3"/>
  <c r="P17" i="3"/>
  <c r="N17" i="3"/>
  <c r="L17" i="3"/>
  <c r="K17" i="3"/>
  <c r="J17" i="3"/>
  <c r="T17" i="3" s="1"/>
  <c r="I17" i="3"/>
  <c r="S17" i="3" s="1"/>
  <c r="X17" i="3"/>
  <c r="G17" i="3"/>
  <c r="F17" i="3"/>
  <c r="E17" i="3"/>
  <c r="D17" i="3"/>
  <c r="R16" i="3"/>
  <c r="Q16" i="3"/>
  <c r="P16" i="3"/>
  <c r="N16" i="3"/>
  <c r="L16" i="3"/>
  <c r="K16" i="3"/>
  <c r="J16" i="3"/>
  <c r="T16" i="3" s="1"/>
  <c r="I16" i="3"/>
  <c r="S16" i="3" s="1"/>
  <c r="X16" i="3"/>
  <c r="G16" i="3"/>
  <c r="F16" i="3"/>
  <c r="E16" i="3"/>
  <c r="D16" i="3"/>
  <c r="R15" i="3"/>
  <c r="Q15" i="3"/>
  <c r="P15" i="3"/>
  <c r="N15" i="3"/>
  <c r="L15" i="3"/>
  <c r="K15" i="3"/>
  <c r="J15" i="3"/>
  <c r="I15" i="3"/>
  <c r="S15" i="3" s="1"/>
  <c r="X15" i="3"/>
  <c r="G15" i="3"/>
  <c r="F15" i="3"/>
  <c r="E15" i="3"/>
  <c r="D15" i="3"/>
  <c r="W14" i="3"/>
  <c r="N14" i="3"/>
  <c r="K14" i="3"/>
  <c r="I14" i="3"/>
  <c r="S14" i="3" s="1"/>
  <c r="X14" i="3"/>
  <c r="L21" i="2"/>
  <c r="S18" i="5" s="1"/>
  <c r="H21" i="2"/>
  <c r="M21" i="2" s="1"/>
  <c r="C21" i="2"/>
  <c r="D18" i="5" s="1"/>
  <c r="L20" i="2"/>
  <c r="K20" i="2"/>
  <c r="H20" i="2"/>
  <c r="D20" i="2" s="1"/>
  <c r="C20" i="2"/>
  <c r="M19" i="2"/>
  <c r="L19" i="2"/>
  <c r="N19" i="2" s="1"/>
  <c r="J19" i="2"/>
  <c r="H19" i="2"/>
  <c r="E19" i="2"/>
  <c r="C19" i="2"/>
  <c r="N18" i="2"/>
  <c r="J18" i="2"/>
  <c r="H18" i="2"/>
  <c r="D18" i="2" s="1"/>
  <c r="E18" i="2"/>
  <c r="C18" i="2"/>
  <c r="L17" i="2"/>
  <c r="H17" i="2"/>
  <c r="J17" i="2" s="1"/>
  <c r="D17" i="2"/>
  <c r="C17" i="2"/>
  <c r="M16" i="2"/>
  <c r="N16" i="2" s="1"/>
  <c r="L16" i="2"/>
  <c r="D16" i="2" s="1"/>
  <c r="H16" i="2"/>
  <c r="J16" i="2" s="1"/>
  <c r="C16" i="2"/>
  <c r="E15" i="2"/>
  <c r="D15" i="2"/>
  <c r="C15" i="2"/>
  <c r="M14" i="2"/>
  <c r="S16" i="4" s="1"/>
  <c r="L14" i="2"/>
  <c r="N14" i="2" s="1"/>
  <c r="G14" i="2"/>
  <c r="H14" i="2" s="1"/>
  <c r="N13" i="2"/>
  <c r="M13" i="2"/>
  <c r="E13" i="2" s="1"/>
  <c r="H13" i="2"/>
  <c r="J13" i="2" s="1"/>
  <c r="C13" i="2"/>
  <c r="E15" i="4"/>
  <c r="S15" i="6"/>
  <c r="M15" i="6"/>
  <c r="D17" i="5"/>
  <c r="L11" i="2"/>
  <c r="H11" i="2"/>
  <c r="M11" i="2" s="1"/>
  <c r="E11" i="2" s="1"/>
  <c r="C11" i="2"/>
  <c r="L10" i="2"/>
  <c r="D10" i="2" s="1"/>
  <c r="H10" i="2"/>
  <c r="M10" i="2" s="1"/>
  <c r="C10" i="2"/>
  <c r="L9" i="2"/>
  <c r="S16" i="5" s="1"/>
  <c r="H9" i="2"/>
  <c r="J14" i="3" s="1"/>
  <c r="C9" i="2"/>
  <c r="D16" i="5" s="1"/>
  <c r="E8" i="2"/>
  <c r="F19" i="5" s="1"/>
  <c r="D8" i="2"/>
  <c r="E16" i="6" s="1"/>
  <c r="C8" i="2"/>
  <c r="D19" i="5" s="1"/>
  <c r="D51" i="5" l="1"/>
  <c r="D50" i="6"/>
  <c r="P21" i="4"/>
  <c r="R22" i="4"/>
  <c r="K21" i="4"/>
  <c r="N22" i="4"/>
  <c r="T23" i="4"/>
  <c r="P24" i="4"/>
  <c r="G24" i="4"/>
  <c r="D20" i="4"/>
  <c r="K24" i="4"/>
  <c r="U24" i="4" s="1"/>
  <c r="E20" i="4"/>
  <c r="N24" i="4"/>
  <c r="M20" i="3"/>
  <c r="O20" i="3" s="1"/>
  <c r="F20" i="4"/>
  <c r="L20" i="4"/>
  <c r="V20" i="4" s="1"/>
  <c r="X20" i="4" s="1"/>
  <c r="S20" i="6"/>
  <c r="G165" i="6"/>
  <c r="G167" i="6"/>
  <c r="G166" i="6"/>
  <c r="G20" i="4"/>
  <c r="M20" i="4"/>
  <c r="O20" i="4" s="1"/>
  <c r="T20" i="4"/>
  <c r="M23" i="4"/>
  <c r="N23" i="4"/>
  <c r="G21" i="4"/>
  <c r="E24" i="6"/>
  <c r="G24" i="6"/>
  <c r="AA24" i="6" s="1"/>
  <c r="C66" i="6"/>
  <c r="O21" i="6"/>
  <c r="D18" i="6"/>
  <c r="Q21" i="6"/>
  <c r="E18" i="6"/>
  <c r="AA16" i="6"/>
  <c r="G18" i="6"/>
  <c r="AA18" i="6" s="1"/>
  <c r="L18" i="6"/>
  <c r="V18" i="6" s="1"/>
  <c r="Q22" i="6"/>
  <c r="G21" i="5"/>
  <c r="V22" i="5"/>
  <c r="D23" i="5"/>
  <c r="K22" i="4"/>
  <c r="U22" i="4" s="1"/>
  <c r="L23" i="4"/>
  <c r="V23" i="4" s="1"/>
  <c r="Q24" i="6"/>
  <c r="S22" i="4"/>
  <c r="P23" i="4"/>
  <c r="D25" i="4"/>
  <c r="K20" i="4"/>
  <c r="U20" i="4" s="1"/>
  <c r="N21" i="4"/>
  <c r="T22" i="4"/>
  <c r="R23" i="4"/>
  <c r="E25" i="4"/>
  <c r="S18" i="6"/>
  <c r="S23" i="4"/>
  <c r="F25" i="4"/>
  <c r="T18" i="6"/>
  <c r="L22" i="6"/>
  <c r="V22" i="6" s="1"/>
  <c r="L25" i="6"/>
  <c r="V25" i="6" s="1"/>
  <c r="G25" i="4"/>
  <c r="N20" i="4"/>
  <c r="D23" i="4"/>
  <c r="K25" i="4"/>
  <c r="U25" i="4" s="1"/>
  <c r="P20" i="4"/>
  <c r="D22" i="4"/>
  <c r="E23" i="4"/>
  <c r="N25" i="4"/>
  <c r="W21" i="5"/>
  <c r="R20" i="4"/>
  <c r="E22" i="4"/>
  <c r="F23" i="4"/>
  <c r="R25" i="4"/>
  <c r="D23" i="6"/>
  <c r="F22" i="4"/>
  <c r="G23" i="4"/>
  <c r="S25" i="4"/>
  <c r="M19" i="3"/>
  <c r="O19" i="3" s="1"/>
  <c r="G22" i="4"/>
  <c r="T25" i="4"/>
  <c r="F20" i="6"/>
  <c r="O23" i="6"/>
  <c r="L20" i="6"/>
  <c r="V20" i="6" s="1"/>
  <c r="T23" i="6"/>
  <c r="G25" i="6"/>
  <c r="AA25" i="6" s="1"/>
  <c r="M20" i="6"/>
  <c r="W20" i="6" s="1"/>
  <c r="U23" i="6"/>
  <c r="P16" i="6"/>
  <c r="R16" i="6" s="1"/>
  <c r="N20" i="6"/>
  <c r="M25" i="6"/>
  <c r="W25" i="6" s="1"/>
  <c r="G20" i="6"/>
  <c r="AA20" i="6" s="1"/>
  <c r="S23" i="6"/>
  <c r="W19" i="6"/>
  <c r="O20" i="6"/>
  <c r="S25" i="6"/>
  <c r="Q20" i="6"/>
  <c r="G19" i="6"/>
  <c r="AA19" i="6" s="1"/>
  <c r="T20" i="6"/>
  <c r="F24" i="6"/>
  <c r="U20" i="6"/>
  <c r="E23" i="6"/>
  <c r="L24" i="6"/>
  <c r="V24" i="6" s="1"/>
  <c r="D20" i="6"/>
  <c r="F23" i="6"/>
  <c r="F18" i="6"/>
  <c r="E20" i="6"/>
  <c r="F21" i="6"/>
  <c r="N23" i="6"/>
  <c r="U24" i="6"/>
  <c r="T20" i="5"/>
  <c r="W22" i="5"/>
  <c r="Y22" i="5" s="1"/>
  <c r="O23" i="5"/>
  <c r="D26" i="5"/>
  <c r="U20" i="5"/>
  <c r="T23" i="5"/>
  <c r="N26" i="5"/>
  <c r="O26" i="5"/>
  <c r="T26" i="5"/>
  <c r="C67" i="5"/>
  <c r="E57" i="5" s="1"/>
  <c r="Q21" i="5"/>
  <c r="D20" i="5"/>
  <c r="F25" i="5"/>
  <c r="E20" i="5"/>
  <c r="G25" i="5"/>
  <c r="M20" i="5"/>
  <c r="W20" i="5" s="1"/>
  <c r="N25" i="5"/>
  <c r="P19" i="5"/>
  <c r="R19" i="5" s="1"/>
  <c r="N20" i="5"/>
  <c r="Q25" i="5"/>
  <c r="Q20" i="5"/>
  <c r="S20" i="5"/>
  <c r="N23" i="5"/>
  <c r="M22" i="3"/>
  <c r="O22" i="3" s="1"/>
  <c r="M15" i="3"/>
  <c r="O15" i="3" s="1"/>
  <c r="M16" i="3"/>
  <c r="O16" i="3" s="1"/>
  <c r="V18" i="3"/>
  <c r="D11" i="2"/>
  <c r="M17" i="2"/>
  <c r="E17" i="2" s="1"/>
  <c r="T20" i="3"/>
  <c r="V20" i="3" s="1"/>
  <c r="M23" i="3"/>
  <c r="O23" i="3" s="1"/>
  <c r="J20" i="2"/>
  <c r="M18" i="3"/>
  <c r="O18" i="3" s="1"/>
  <c r="V16" i="3"/>
  <c r="M24" i="3"/>
  <c r="O24" i="3" s="1"/>
  <c r="E16" i="2"/>
  <c r="V22" i="3"/>
  <c r="L13" i="2"/>
  <c r="D13" i="2" s="1"/>
  <c r="E19" i="5"/>
  <c r="U16" i="3"/>
  <c r="P22" i="5"/>
  <c r="R22" i="5" s="1"/>
  <c r="T24" i="3"/>
  <c r="W15" i="3"/>
  <c r="E14" i="2"/>
  <c r="F16" i="4" s="1"/>
  <c r="L16" i="4"/>
  <c r="D14" i="2"/>
  <c r="E16" i="4" s="1"/>
  <c r="W15" i="6"/>
  <c r="P15" i="6"/>
  <c r="R15" i="6" s="1"/>
  <c r="Y16" i="6"/>
  <c r="X16" i="6"/>
  <c r="M14" i="3"/>
  <c r="O14" i="3" s="1"/>
  <c r="T14" i="3"/>
  <c r="F15" i="4"/>
  <c r="S15" i="4"/>
  <c r="X15" i="4" s="1"/>
  <c r="V17" i="3"/>
  <c r="U17" i="3"/>
  <c r="E10" i="2"/>
  <c r="N10" i="2"/>
  <c r="W15" i="4"/>
  <c r="T16" i="4"/>
  <c r="G16" i="4"/>
  <c r="T18" i="5"/>
  <c r="E21" i="2"/>
  <c r="F18" i="5" s="1"/>
  <c r="U21" i="3"/>
  <c r="V21" i="3"/>
  <c r="R16" i="4"/>
  <c r="N11" i="2"/>
  <c r="N21" i="2"/>
  <c r="J10" i="2"/>
  <c r="N15" i="4"/>
  <c r="D19" i="2"/>
  <c r="P14" i="3"/>
  <c r="D18" i="4"/>
  <c r="S18" i="4"/>
  <c r="D21" i="4"/>
  <c r="D24" i="4"/>
  <c r="S24" i="4"/>
  <c r="F20" i="5"/>
  <c r="N21" i="5"/>
  <c r="P21" i="5" s="1"/>
  <c r="G23" i="5"/>
  <c r="O24" i="5"/>
  <c r="S25" i="5"/>
  <c r="G26" i="5"/>
  <c r="D16" i="6"/>
  <c r="F17" i="6"/>
  <c r="N19" i="6"/>
  <c r="P19" i="6" s="1"/>
  <c r="D22" i="6"/>
  <c r="T22" i="6"/>
  <c r="N25" i="6"/>
  <c r="L17" i="4"/>
  <c r="D14" i="3"/>
  <c r="M17" i="3"/>
  <c r="O17" i="3" s="1"/>
  <c r="M21" i="3"/>
  <c r="O21" i="3" s="1"/>
  <c r="O15" i="4"/>
  <c r="Q15" i="4" s="1"/>
  <c r="S21" i="4"/>
  <c r="D9" i="2"/>
  <c r="T15" i="3"/>
  <c r="W16" i="3"/>
  <c r="T19" i="3"/>
  <c r="W20" i="3"/>
  <c r="T23" i="3"/>
  <c r="W24" i="3"/>
  <c r="E18" i="4"/>
  <c r="T18" i="4"/>
  <c r="L19" i="4"/>
  <c r="E21" i="4"/>
  <c r="T21" i="4"/>
  <c r="L22" i="4"/>
  <c r="E24" i="4"/>
  <c r="T24" i="4"/>
  <c r="L25" i="4"/>
  <c r="M16" i="5"/>
  <c r="S17" i="5"/>
  <c r="M18" i="5"/>
  <c r="G20" i="5"/>
  <c r="O21" i="5"/>
  <c r="L23" i="5"/>
  <c r="V23" i="5" s="1"/>
  <c r="D25" i="5"/>
  <c r="T25" i="5"/>
  <c r="L26" i="5"/>
  <c r="V26" i="5" s="1"/>
  <c r="G17" i="6"/>
  <c r="M18" i="6"/>
  <c r="W18" i="6" s="1"/>
  <c r="O19" i="6"/>
  <c r="S21" i="6"/>
  <c r="E22" i="6"/>
  <c r="U22" i="6"/>
  <c r="G23" i="6"/>
  <c r="M24" i="6"/>
  <c r="O25" i="6"/>
  <c r="C14" i="2"/>
  <c r="D16" i="4" s="1"/>
  <c r="M20" i="2"/>
  <c r="K16" i="4"/>
  <c r="U16" i="4" s="1"/>
  <c r="F18" i="4"/>
  <c r="U18" i="4"/>
  <c r="M19" i="4"/>
  <c r="F21" i="4"/>
  <c r="U21" i="4"/>
  <c r="M22" i="4"/>
  <c r="F24" i="4"/>
  <c r="M25" i="4"/>
  <c r="L20" i="5"/>
  <c r="V20" i="5" s="1"/>
  <c r="M23" i="5"/>
  <c r="Q24" i="5"/>
  <c r="E25" i="5"/>
  <c r="U25" i="5"/>
  <c r="M26" i="5"/>
  <c r="W26" i="5" s="1"/>
  <c r="F16" i="6"/>
  <c r="L17" i="6"/>
  <c r="V17" i="6" s="1"/>
  <c r="N18" i="6"/>
  <c r="D21" i="6"/>
  <c r="T21" i="6"/>
  <c r="F22" i="6"/>
  <c r="L23" i="6"/>
  <c r="V23" i="6" s="1"/>
  <c r="N24" i="6"/>
  <c r="M17" i="6"/>
  <c r="P17" i="6" s="1"/>
  <c r="R17" i="6" s="1"/>
  <c r="O18" i="6"/>
  <c r="Q19" i="6"/>
  <c r="E21" i="6"/>
  <c r="U21" i="6"/>
  <c r="G22" i="6"/>
  <c r="M23" i="6"/>
  <c r="O24" i="6"/>
  <c r="Q25" i="6"/>
  <c r="N17" i="2"/>
  <c r="D31" i="3"/>
  <c r="S24" i="5"/>
  <c r="J9" i="2"/>
  <c r="C65" i="4"/>
  <c r="D21" i="2"/>
  <c r="E18" i="5" s="1"/>
  <c r="U18" i="3"/>
  <c r="U22" i="3"/>
  <c r="L18" i="4"/>
  <c r="V18" i="4" s="1"/>
  <c r="L21" i="4"/>
  <c r="V21" i="4" s="1"/>
  <c r="L24" i="4"/>
  <c r="V24" i="4" s="1"/>
  <c r="W19" i="5"/>
  <c r="S21" i="5"/>
  <c r="D24" i="5"/>
  <c r="T24" i="5"/>
  <c r="L25" i="5"/>
  <c r="V25" i="5" s="1"/>
  <c r="O17" i="6"/>
  <c r="S19" i="6"/>
  <c r="G21" i="6"/>
  <c r="M22" i="6"/>
  <c r="M9" i="2"/>
  <c r="M21" i="4"/>
  <c r="U23" i="4"/>
  <c r="M24" i="4"/>
  <c r="D21" i="5"/>
  <c r="T21" i="5"/>
  <c r="Q23" i="5"/>
  <c r="E24" i="5"/>
  <c r="U24" i="5"/>
  <c r="M25" i="5"/>
  <c r="Q26" i="5"/>
  <c r="D19" i="6"/>
  <c r="T19" i="6"/>
  <c r="L21" i="6"/>
  <c r="V21" i="6" s="1"/>
  <c r="N22" i="6"/>
  <c r="D25" i="6"/>
  <c r="T25" i="6"/>
  <c r="M17" i="5"/>
  <c r="E21" i="5"/>
  <c r="U21" i="5"/>
  <c r="F24" i="5"/>
  <c r="E19" i="6"/>
  <c r="U19" i="6"/>
  <c r="M21" i="6"/>
  <c r="O22" i="6"/>
  <c r="S24" i="6"/>
  <c r="E25" i="6"/>
  <c r="U25" i="6"/>
  <c r="J11" i="2"/>
  <c r="I13" i="2"/>
  <c r="K13" i="2" s="1"/>
  <c r="J21" i="2"/>
  <c r="O18" i="5" s="1"/>
  <c r="F21" i="5"/>
  <c r="S23" i="5"/>
  <c r="G24" i="5"/>
  <c r="S26" i="5"/>
  <c r="F19" i="6"/>
  <c r="D24" i="6"/>
  <c r="L24" i="5"/>
  <c r="V24" i="5" s="1"/>
  <c r="W17" i="3"/>
  <c r="W21" i="3"/>
  <c r="U19" i="4"/>
  <c r="L21" i="5"/>
  <c r="V21" i="5" s="1"/>
  <c r="E23" i="5"/>
  <c r="U23" i="5"/>
  <c r="M24" i="5"/>
  <c r="W24" i="5" s="1"/>
  <c r="E26" i="5"/>
  <c r="U26" i="5"/>
  <c r="Z15" i="6"/>
  <c r="L19" i="6"/>
  <c r="V19" i="6" s="1"/>
  <c r="Z24" i="6" l="1"/>
  <c r="W23" i="4"/>
  <c r="G38" i="6"/>
  <c r="Q20" i="4"/>
  <c r="X20" i="6"/>
  <c r="X21" i="5"/>
  <c r="P20" i="6"/>
  <c r="R20" i="6" s="1"/>
  <c r="Y19" i="6"/>
  <c r="Z18" i="6"/>
  <c r="Z25" i="6"/>
  <c r="Z19" i="6"/>
  <c r="P23" i="6"/>
  <c r="R23" i="6" s="1"/>
  <c r="P20" i="5"/>
  <c r="R20" i="5" s="1"/>
  <c r="O23" i="4"/>
  <c r="Q23" i="4" s="1"/>
  <c r="X25" i="6"/>
  <c r="U20" i="3"/>
  <c r="Y20" i="6"/>
  <c r="X19" i="6"/>
  <c r="Y21" i="5"/>
  <c r="D49" i="5"/>
  <c r="E49" i="5"/>
  <c r="D50" i="5"/>
  <c r="D57" i="5"/>
  <c r="E50" i="5"/>
  <c r="D55" i="5"/>
  <c r="Z20" i="6"/>
  <c r="Y25" i="6"/>
  <c r="P25" i="6"/>
  <c r="R25" i="6" s="1"/>
  <c r="X22" i="5"/>
  <c r="P23" i="5"/>
  <c r="R23" i="5" s="1"/>
  <c r="R21" i="5"/>
  <c r="W20" i="4"/>
  <c r="P22" i="6"/>
  <c r="R22" i="6" s="1"/>
  <c r="W23" i="6"/>
  <c r="Y23" i="6" s="1"/>
  <c r="P24" i="5"/>
  <c r="R24" i="5" s="1"/>
  <c r="R19" i="6"/>
  <c r="X23" i="4"/>
  <c r="O19" i="4"/>
  <c r="Q19" i="4" s="1"/>
  <c r="V24" i="3"/>
  <c r="U24" i="3"/>
  <c r="O21" i="4"/>
  <c r="Q21" i="4" s="1"/>
  <c r="O24" i="4"/>
  <c r="Q24" i="4" s="1"/>
  <c r="W17" i="6"/>
  <c r="X17" i="6" s="1"/>
  <c r="O25" i="4"/>
  <c r="Q25" i="4" s="1"/>
  <c r="Y26" i="5"/>
  <c r="X26" i="5"/>
  <c r="Y18" i="6"/>
  <c r="X18" i="6"/>
  <c r="Y24" i="5"/>
  <c r="X24" i="5"/>
  <c r="D67" i="5"/>
  <c r="D66" i="6"/>
  <c r="AA22" i="6"/>
  <c r="Z22" i="6"/>
  <c r="V15" i="3"/>
  <c r="U15" i="3"/>
  <c r="W23" i="5"/>
  <c r="E31" i="3"/>
  <c r="V19" i="4"/>
  <c r="D65" i="4"/>
  <c r="C30" i="4" s="1"/>
  <c r="W24" i="6"/>
  <c r="P24" i="6"/>
  <c r="R24" i="6" s="1"/>
  <c r="O22" i="4"/>
  <c r="Q22" i="4" s="1"/>
  <c r="E17" i="5"/>
  <c r="E15" i="6"/>
  <c r="E17" i="4"/>
  <c r="U14" i="3"/>
  <c r="P26" i="5"/>
  <c r="R26" i="5" s="1"/>
  <c r="L14" i="3"/>
  <c r="O16" i="5"/>
  <c r="AA23" i="6"/>
  <c r="Z23" i="6"/>
  <c r="G18" i="5"/>
  <c r="U18" i="5"/>
  <c r="O16" i="4"/>
  <c r="Q16" i="4" s="1"/>
  <c r="V16" i="4"/>
  <c r="P21" i="6"/>
  <c r="R21" i="6" s="1"/>
  <c r="W21" i="6"/>
  <c r="Y20" i="5"/>
  <c r="X20" i="5"/>
  <c r="W22" i="6"/>
  <c r="O15" i="6"/>
  <c r="N17" i="4"/>
  <c r="O17" i="5"/>
  <c r="E14" i="3"/>
  <c r="E16" i="5"/>
  <c r="Y19" i="5"/>
  <c r="X19" i="5"/>
  <c r="V25" i="4"/>
  <c r="S17" i="4"/>
  <c r="T15" i="6"/>
  <c r="Y15" i="6" s="1"/>
  <c r="T17" i="5"/>
  <c r="X24" i="4"/>
  <c r="W24" i="4"/>
  <c r="W18" i="5"/>
  <c r="P18" i="5"/>
  <c r="R18" i="5" s="1"/>
  <c r="O18" i="4"/>
  <c r="Q18" i="4" s="1"/>
  <c r="X18" i="4"/>
  <c r="W18" i="4"/>
  <c r="P17" i="5"/>
  <c r="R17" i="5" s="1"/>
  <c r="W17" i="5"/>
  <c r="W25" i="5"/>
  <c r="P25" i="5"/>
  <c r="R25" i="5" s="1"/>
  <c r="T16" i="5"/>
  <c r="E9" i="2"/>
  <c r="Q14" i="3"/>
  <c r="V14" i="3" s="1"/>
  <c r="N9" i="2"/>
  <c r="X21" i="4"/>
  <c r="W21" i="4"/>
  <c r="P18" i="6"/>
  <c r="R18" i="6" s="1"/>
  <c r="V23" i="3"/>
  <c r="U23" i="3"/>
  <c r="G15" i="4"/>
  <c r="T15" i="4"/>
  <c r="V17" i="4"/>
  <c r="O17" i="4"/>
  <c r="Q17" i="4" s="1"/>
  <c r="X15" i="6"/>
  <c r="W16" i="5"/>
  <c r="P16" i="5"/>
  <c r="AA21" i="6"/>
  <c r="Z21" i="6"/>
  <c r="E20" i="2"/>
  <c r="N20" i="2"/>
  <c r="AA17" i="6"/>
  <c r="Z17" i="6"/>
  <c r="V19" i="3"/>
  <c r="U19" i="3"/>
  <c r="V22" i="4"/>
  <c r="C30" i="6" l="1"/>
  <c r="D44" i="3" s="1"/>
  <c r="D36" i="3"/>
  <c r="X23" i="6"/>
  <c r="Y17" i="6"/>
  <c r="D35" i="6"/>
  <c r="E65" i="4"/>
  <c r="Y16" i="5"/>
  <c r="X16" i="5"/>
  <c r="E67" i="5"/>
  <c r="C31" i="5" s="1"/>
  <c r="D40" i="3" s="1"/>
  <c r="X25" i="4"/>
  <c r="W25" i="4"/>
  <c r="Y22" i="6"/>
  <c r="X22" i="6"/>
  <c r="Y24" i="6"/>
  <c r="X24" i="6"/>
  <c r="X22" i="4"/>
  <c r="W22" i="4"/>
  <c r="G16" i="5"/>
  <c r="U16" i="5"/>
  <c r="G14" i="3"/>
  <c r="R14" i="3"/>
  <c r="Y18" i="5"/>
  <c r="X18" i="5"/>
  <c r="C33" i="5"/>
  <c r="D41" i="3" s="1"/>
  <c r="Y21" i="6"/>
  <c r="X21" i="6"/>
  <c r="E66" i="6"/>
  <c r="F15" i="6"/>
  <c r="F17" i="4"/>
  <c r="F17" i="5"/>
  <c r="C35" i="6"/>
  <c r="F31" i="3"/>
  <c r="X19" i="4"/>
  <c r="W19" i="4"/>
  <c r="R16" i="5"/>
  <c r="J67" i="5" s="1"/>
  <c r="J49" i="5" s="1"/>
  <c r="I67" i="5"/>
  <c r="F16" i="5"/>
  <c r="F14" i="3"/>
  <c r="G35" i="6"/>
  <c r="W17" i="4"/>
  <c r="X17" i="4"/>
  <c r="Y25" i="5"/>
  <c r="X25" i="5"/>
  <c r="X16" i="4"/>
  <c r="W16" i="4"/>
  <c r="Y23" i="5"/>
  <c r="X23" i="5"/>
  <c r="Y17" i="5"/>
  <c r="X17" i="5"/>
  <c r="G17" i="4"/>
  <c r="U15" i="6"/>
  <c r="G17" i="5"/>
  <c r="T17" i="4"/>
  <c r="U17" i="5"/>
  <c r="C38" i="6" l="1"/>
  <c r="K44" i="3" s="1"/>
  <c r="D45" i="3"/>
  <c r="F78" i="6"/>
  <c r="F67" i="5"/>
  <c r="J57" i="5"/>
  <c r="J55" i="5"/>
  <c r="J56" i="5" s="1"/>
  <c r="J50" i="5"/>
  <c r="F77" i="4"/>
  <c r="C35" i="4" s="1"/>
  <c r="C38" i="4" s="1"/>
  <c r="K36" i="3" s="1"/>
  <c r="F65" i="4"/>
  <c r="F66" i="6"/>
  <c r="K67" i="5"/>
  <c r="C36" i="5" s="1"/>
  <c r="D70" i="6" l="1"/>
  <c r="B78" i="6" s="1"/>
  <c r="C39" i="5"/>
  <c r="K40" i="3" s="1"/>
  <c r="D42" i="3"/>
  <c r="D69" i="4"/>
  <c r="B65" i="4" s="1"/>
  <c r="D38" i="3"/>
  <c r="D72" i="6" l="1"/>
  <c r="D78" i="6" s="1"/>
  <c r="C32" i="6" s="1"/>
  <c r="B66" i="6"/>
  <c r="B77" i="4"/>
  <c r="D71" i="4"/>
  <c r="C77" i="4" s="1"/>
  <c r="E78" i="6" l="1"/>
  <c r="C78" i="6"/>
  <c r="H48" i="6" s="1"/>
  <c r="H53" i="6" s="1"/>
  <c r="D77" i="4"/>
  <c r="C32" i="4" s="1"/>
  <c r="D37" i="3" s="1"/>
  <c r="J50" i="4"/>
  <c r="E49" i="4"/>
  <c r="D49" i="4"/>
  <c r="J48" i="4"/>
  <c r="E48" i="4"/>
  <c r="D48" i="4"/>
  <c r="D97" i="4"/>
  <c r="C110" i="4" s="1"/>
  <c r="C111" i="4" s="1"/>
  <c r="D96" i="4"/>
  <c r="E55" i="4"/>
  <c r="D55" i="4"/>
  <c r="K50" i="4"/>
  <c r="D72" i="4"/>
  <c r="D48" i="6" l="1"/>
  <c r="I51" i="6"/>
  <c r="E48" i="6"/>
  <c r="H51" i="6"/>
  <c r="E49" i="6"/>
  <c r="D49" i="6"/>
  <c r="D73" i="6"/>
  <c r="H49" i="6" s="1"/>
  <c r="D54" i="6"/>
  <c r="E77" i="4"/>
</calcChain>
</file>

<file path=xl/sharedStrings.xml><?xml version="1.0" encoding="utf-8"?>
<sst xmlns="http://schemas.openxmlformats.org/spreadsheetml/2006/main" count="602" uniqueCount="294">
  <si>
    <t>T 4.3 - Technology Evaluation Tool (TET)</t>
  </si>
  <si>
    <t>Version 1.0</t>
  </si>
  <si>
    <t>In this tool, you can evaluate technologies for organic waste treatment according to your waste streams available, including co-processing of solid and sanitation waste</t>
  </si>
  <si>
    <t>Technologies included: composting, anaerobic digestion and black soldier fly</t>
  </si>
  <si>
    <r>
      <rPr>
        <b/>
        <sz val="11"/>
        <color theme="1"/>
        <rFont val="Calibri"/>
        <scheme val="minor"/>
      </rPr>
      <t>1) Technology_check:</t>
    </r>
    <r>
      <rPr>
        <sz val="11"/>
        <color theme="1"/>
        <rFont val="Calibri"/>
        <scheme val="minor"/>
      </rPr>
      <t xml:space="preserve"> suitability check of the technologies based on feedstock inputs by user</t>
    </r>
  </si>
  <si>
    <r>
      <t>2) Feedstock database:</t>
    </r>
    <r>
      <rPr>
        <sz val="11"/>
        <rFont val="Calibri"/>
        <scheme val="minor"/>
      </rPr>
      <t xml:space="preserve"> lists the feedstocks possible for biogas production; the user can add a feedstocks that are not listed</t>
    </r>
  </si>
  <si>
    <t>3) References</t>
  </si>
  <si>
    <t>Feedstock database</t>
  </si>
  <si>
    <t>The database can be completed with your own feedstocks, add information at the botom lines of the database: all columns must be filled for full functionality of the tool.</t>
  </si>
  <si>
    <t>You can find more feedstocks and data in the main source used for this database [10]</t>
  </si>
  <si>
    <t>Moisture content (wet base)</t>
  </si>
  <si>
    <t>Total solids (wet base)</t>
  </si>
  <si>
    <t>Volatile solids (dry base)</t>
  </si>
  <si>
    <t>Ash (dry base)</t>
  </si>
  <si>
    <t>BMP potential methane yield (VS)</t>
  </si>
  <si>
    <t>Carbon (dry base)</t>
  </si>
  <si>
    <t>Nitrogen (dry base)</t>
  </si>
  <si>
    <t>Carbon to Nitrogen ratio</t>
  </si>
  <si>
    <t>Type of feedstock</t>
  </si>
  <si>
    <t>Water content</t>
  </si>
  <si>
    <t>Carbon content</t>
  </si>
  <si>
    <t>Nitrogen content</t>
  </si>
  <si>
    <t>Suitability for BSF</t>
  </si>
  <si>
    <t>MC (-) (w.b)</t>
  </si>
  <si>
    <t>TS (-) (w.b.)</t>
  </si>
  <si>
    <t>VS of TS (-) (d.b.)</t>
  </si>
  <si>
    <t>Ash (-) (d.b.)</t>
  </si>
  <si>
    <t>m3 CH4/kg VS</t>
  </si>
  <si>
    <t>C % (d.b.)</t>
  </si>
  <si>
    <t>N % (d.b.)</t>
  </si>
  <si>
    <t>C/N ratio</t>
  </si>
  <si>
    <t>Comments on source</t>
  </si>
  <si>
    <t>Source</t>
  </si>
  <si>
    <t>Water</t>
  </si>
  <si>
    <t>Only if too dry</t>
  </si>
  <si>
    <t>Cow manure</t>
  </si>
  <si>
    <t>Suitable</t>
  </si>
  <si>
    <t>Moisture, VS, Ash, %N calculated from averageing: Lactating Cow and Heifer from [10]
C % calculated with 0.55 * VS of TS [11]
TS calculated as beeing 100%-moisture</t>
  </si>
  <si>
    <t>[10] &amp; [11]</t>
  </si>
  <si>
    <t>Pig manure</t>
  </si>
  <si>
    <t>Moisture, VS, Ash, %N calculated from averageing: Swine - Gestating (190 kg.), Swine - Lactating (190 kg.), Boar (200 kg.), Piglets, Adolescents Pigs from [10]
C % calculated with 0.55 * VS of TS [11]
TS calculated as beeing 100%-moisture</t>
  </si>
  <si>
    <t>Chicken manure</t>
  </si>
  <si>
    <t>Moisture, VS, Ash, %N calculated from averageing: Poultry and Broiler chickens from [10]
C % calculated with 0.55 * VS of TS [11]
TS calculated as beeing 100%-moisture</t>
  </si>
  <si>
    <t>Moisture, VS, Ash, %N from [10]
C % calculated with 0.55 * VS of TS [11]
TS calculated as beeing 100%-moisture</t>
  </si>
  <si>
    <t>Human excreta</t>
  </si>
  <si>
    <t>Suitable, but pathogens hazard</t>
  </si>
  <si>
    <t>Moisture, VS, Ash, N% , C/N ratio averaged from "Night soil" from [15]: human faeces and urine = excreta
C% calculated from N% and C/N ratio
TS calculated as beeing 100%-moisture
Methane yield calculated based on [15] yield per unit weight of dry solids</t>
  </si>
  <si>
    <t>[15]</t>
  </si>
  <si>
    <t>Human urine</t>
  </si>
  <si>
    <t>Ongoing research, not a no go</t>
  </si>
  <si>
    <t>Moisture, C%, N% from [14]
TS calculated as beeing 100%-moisture
VS, Ash, methane yield assumed to be 0</t>
  </si>
  <si>
    <t>[14]</t>
  </si>
  <si>
    <t>Flush water</t>
  </si>
  <si>
    <t>Assumed as water but with pathogen content</t>
  </si>
  <si>
    <t>Rice straw</t>
  </si>
  <si>
    <t>Can be added for structure</t>
  </si>
  <si>
    <t>Bagasse (sugarcane)</t>
  </si>
  <si>
    <t>Suitable if mixed</t>
  </si>
  <si>
    <t>Moisture, VS, Ash, %N from [10]
C % calculated with 0.55 * VS of TS [11]
TS calculated as beeing 100%-moisture
Sugarcane Untreated (Bagasse) from [10] for methane yield</t>
  </si>
  <si>
    <t>Fresh sawdust</t>
  </si>
  <si>
    <t>Not suitable</t>
  </si>
  <si>
    <t>VS, Ash, biomethane potential from "Wood" from [10]
Moisture &amp; TS from [12]
Carbon and Nitrogen from [13]</t>
  </si>
  <si>
    <t>[10], [12] &amp; [13]</t>
  </si>
  <si>
    <t>Wheat straw</t>
  </si>
  <si>
    <t>Leaves (dry)</t>
  </si>
  <si>
    <t>Mixed grass (fresh)</t>
  </si>
  <si>
    <t>…</t>
  </si>
  <si>
    <t>Technology suitability check</t>
  </si>
  <si>
    <t>Mass [kg/day]</t>
  </si>
  <si>
    <t>Key properties</t>
  </si>
  <si>
    <t>Volatile Solids (VS) loading</t>
  </si>
  <si>
    <t>Daily methane yield</t>
  </si>
  <si>
    <t>Total Solids</t>
  </si>
  <si>
    <t>BSF suitable mass [kg]</t>
  </si>
  <si>
    <t>BSF structure materials [kg]</t>
  </si>
  <si>
    <t>Moisture</t>
  </si>
  <si>
    <t>MC [%] (w.b.)</t>
  </si>
  <si>
    <t>TS [%] (w.b.)</t>
  </si>
  <si>
    <t>VS of TS [%] (d.b.)</t>
  </si>
  <si>
    <t>Ash [%] (d.b.)</t>
  </si>
  <si>
    <t>kgVS/d</t>
  </si>
  <si>
    <t>m3 CH4/d</t>
  </si>
  <si>
    <t>Water content [kg H20]</t>
  </si>
  <si>
    <t>TS content [kg]</t>
  </si>
  <si>
    <t>C content [kg]</t>
  </si>
  <si>
    <t>N content [kg]</t>
  </si>
  <si>
    <t>*to use your own feedstock parameters, go to the database spreadsheet and add your feedstock (mix or individual feeds) - you will then be able to select it from the list</t>
  </si>
  <si>
    <t>Moisture content</t>
  </si>
  <si>
    <t>Total solids</t>
  </si>
  <si>
    <t>Mass [kg]</t>
  </si>
  <si>
    <t>MC (-)</t>
  </si>
  <si>
    <t>TS (-)</t>
  </si>
  <si>
    <t>Feedstock mix</t>
  </si>
  <si>
    <t>Can I use this technology with current inputs?</t>
  </si>
  <si>
    <t>Composting</t>
  </si>
  <si>
    <t>Anaerobic Digestion</t>
  </si>
  <si>
    <t>Black Soldier Fly</t>
  </si>
  <si>
    <t>Feedstock suitability</t>
  </si>
  <si>
    <t>Windrow composting</t>
  </si>
  <si>
    <r>
      <rPr>
        <b/>
        <sz val="16"/>
        <color theme="1"/>
        <rFont val="Calibri"/>
        <scheme val="minor"/>
      </rPr>
      <t>Please follow these steps to use the tool:</t>
    </r>
    <r>
      <rPr>
        <sz val="16"/>
        <color theme="1"/>
        <rFont val="Calibri"/>
        <scheme val="minor"/>
      </rPr>
      <t xml:space="preserve">
a) enter your feedstock information in the white cells under "1) Feedstock input".
b) check your mixture suitability in "2) Mixture suitability check" and follow the instructions until the mixture is suitable.
c) read the tool results under "3) Results". Note that the results are valid only if the feedstock mixture is suitable!</t>
    </r>
  </si>
  <si>
    <t>1) Feedstock input</t>
  </si>
  <si>
    <t>2) Mixture suitability check</t>
  </si>
  <si>
    <t>3) Results</t>
  </si>
  <si>
    <r>
      <t>Consider the results only if the validation above is</t>
    </r>
    <r>
      <rPr>
        <b/>
        <sz val="14"/>
        <color rgb="FF00B050"/>
        <rFont val="Calibri"/>
        <scheme val="minor"/>
      </rPr>
      <t xml:space="preserve"> GREEN</t>
    </r>
  </si>
  <si>
    <t>Inputs</t>
  </si>
  <si>
    <t>Products</t>
  </si>
  <si>
    <t>Lower value</t>
  </si>
  <si>
    <t>Higher value</t>
  </si>
  <si>
    <t>Electricity [kWh/day]</t>
  </si>
  <si>
    <t>None if fully manual</t>
  </si>
  <si>
    <t>Compost produced [kg/day]</t>
  </si>
  <si>
    <t>Workers required [persons]</t>
  </si>
  <si>
    <t>Only for operational activities. Might require: manager, accounting, supervision, marketing, maintenance depending on the scale of the system.</t>
  </si>
  <si>
    <t>Leachate produced [L/day]</t>
  </si>
  <si>
    <t>Water [m3/ton]</t>
  </si>
  <si>
    <t>Design</t>
  </si>
  <si>
    <r>
      <t xml:space="preserve">Space requirement [m2]
</t>
    </r>
    <r>
      <rPr>
        <i/>
        <sz val="11"/>
        <color theme="1"/>
        <rFont val="Calibri"/>
        <scheme val="minor"/>
      </rPr>
      <t>Considering 1.6x1.6x2.4 windrows</t>
    </r>
  </si>
  <si>
    <t>Physical process/ dewatering process</t>
  </si>
  <si>
    <t>Preprocessing required?</t>
  </si>
  <si>
    <t>Moisture content reduces to</t>
  </si>
  <si>
    <t>Water extracted can be reused to water the dry compost piles.
Manpower and electricity needs for dewatering are not included in the results above.</t>
  </si>
  <si>
    <t>Extracted fluid mass [kg]</t>
  </si>
  <si>
    <t>Key parameters</t>
  </si>
  <si>
    <t>References</t>
  </si>
  <si>
    <t>Suitability factors</t>
  </si>
  <si>
    <t>Water content max with pretreatment</t>
  </si>
  <si>
    <t>Assumption</t>
  </si>
  <si>
    <t>Minimum</t>
  </si>
  <si>
    <t>Maximum</t>
  </si>
  <si>
    <t>Process water content [%] (w.b.)</t>
  </si>
  <si>
    <t>[1]</t>
  </si>
  <si>
    <t>Optimal C/N ratio</t>
  </si>
  <si>
    <t>Acceptable C/N ratio</t>
  </si>
  <si>
    <t>Hypothesis, set to + and - 5 from optimal range</t>
  </si>
  <si>
    <t>pH</t>
  </si>
  <si>
    <t>Ambient temperature [°C]</t>
  </si>
  <si>
    <t>0 °C for big piles
15 °C for small piles</t>
  </si>
  <si>
    <t>Composting parameters</t>
  </si>
  <si>
    <t>Mass reduction factor</t>
  </si>
  <si>
    <t>Time required [days]</t>
  </si>
  <si>
    <t>Active composting [days]</t>
  </si>
  <si>
    <t>Hypothesis</t>
  </si>
  <si>
    <t>Average turning frequency [days]</t>
  </si>
  <si>
    <t>Total mass of materials undergoing composting in the plant [kg]</t>
  </si>
  <si>
    <t>Estimation, see specific formulas</t>
  </si>
  <si>
    <t>Total mass of materials undergoing active composting in the plant [kg]</t>
  </si>
  <si>
    <t>Manpower requirement 1st ton of waste</t>
  </si>
  <si>
    <t>Manpower required per additionnal ton of waste</t>
  </si>
  <si>
    <t>Space requirement per ton of input feedstock per day [m2/(ton/day)]</t>
  </si>
  <si>
    <t>Energy needs [kWh/(ton/day)]</t>
  </si>
  <si>
    <t>Leachate production per ton of feedstock [L/ton]</t>
  </si>
  <si>
    <t>[2]</t>
  </si>
  <si>
    <t>Indicators</t>
  </si>
  <si>
    <t>Estimated mass of organic waste to turn per day [kg/day]</t>
  </si>
  <si>
    <t>Estimated mass of organic waste to turn per working day [kg/day]
(assuming 5 work days per week)</t>
  </si>
  <si>
    <t>Anaerobic Digestion (AD)</t>
  </si>
  <si>
    <t>For operation of the system (feeding pumps)</t>
  </si>
  <si>
    <t>Potential biogas production [m3/day]</t>
  </si>
  <si>
    <t>For operation and maintenance of the system</t>
  </si>
  <si>
    <t>Digestate production [L/day]</t>
  </si>
  <si>
    <t>Water [L/day]</t>
  </si>
  <si>
    <t>Amount added in your feedstock</t>
  </si>
  <si>
    <t>Potential outputs</t>
  </si>
  <si>
    <t>Active bioreactor volume required [L]</t>
  </si>
  <si>
    <t>Excludes volume for gas storage</t>
  </si>
  <si>
    <t>Hours of cooking on a household burner per day [h/day]</t>
  </si>
  <si>
    <t># Household using a stove for 5 hours per day []</t>
  </si>
  <si>
    <t>Space requirement [m2]</t>
  </si>
  <si>
    <t>Depends on the type of technology available. Flexible bag / balloon digester have the highest footprint.</t>
  </si>
  <si>
    <t>Biogas production day per unit of bioreactor volume [L/day/L]</t>
  </si>
  <si>
    <t>Volatile solids</t>
  </si>
  <si>
    <t>Ash</t>
  </si>
  <si>
    <t>VS loading</t>
  </si>
  <si>
    <t>VS of TS (-)</t>
  </si>
  <si>
    <t>Ash (-)</t>
  </si>
  <si>
    <r>
      <t xml:space="preserve">The values in the white boxes may be changed, but only for advanced users of the tool. We recommend </t>
    </r>
    <r>
      <rPr>
        <b/>
        <i/>
        <sz val="12"/>
        <color theme="1"/>
        <rFont val="Calibri"/>
        <scheme val="minor"/>
      </rPr>
      <t>to not modify</t>
    </r>
    <r>
      <rPr>
        <i/>
        <sz val="12"/>
        <color theme="1"/>
        <rFont val="Calibri"/>
        <scheme val="minor"/>
      </rPr>
      <t xml:space="preserve"> these values which are based on the referenced literature.</t>
    </r>
  </si>
  <si>
    <t>Suitability factors ranges</t>
  </si>
  <si>
    <t>References (the numbers refer to the reference list in Sheet n°4)</t>
  </si>
  <si>
    <t>Total solids (TS)</t>
  </si>
  <si>
    <t>[1] for max, hypothesis for min: lower TS would require too high volume for low biogas production</t>
  </si>
  <si>
    <t>[1] for min, [2] for max</t>
  </si>
  <si>
    <t>hypothesis, optimal range from [1] is 16 - 25</t>
  </si>
  <si>
    <r>
      <rPr>
        <sz val="11"/>
        <color theme="1"/>
        <rFont val="Calibri"/>
        <scheme val="minor"/>
      </rPr>
      <t xml:space="preserve">[1] </t>
    </r>
    <r>
      <rPr>
        <i/>
        <sz val="11"/>
        <rFont val="Calibri"/>
        <scheme val="minor"/>
      </rPr>
      <t>&amp; This</t>
    </r>
    <r>
      <rPr>
        <i/>
        <sz val="11"/>
        <color theme="1"/>
        <rFont val="Calibri"/>
        <scheme val="minor"/>
      </rPr>
      <t>tool does not test pH suitability, beware that it is an important factor for AD to work properly. Very acidic or basic feedstocks can cause trouble.</t>
    </r>
  </si>
  <si>
    <t>hypothesis, [1] states optimal 25 - 30 °C, broader range possible</t>
  </si>
  <si>
    <t>AD parameters</t>
  </si>
  <si>
    <t>Biomethane potential (BMP) correction factor [%]</t>
  </si>
  <si>
    <t>hypothesis, accounting that the biogas produced will correspond to only a fraction of the BMP. Another estimation could be done using the reactor volume: biogas produced=0.55*Reactor_volume. In low dilution conditions (optimals to keep volume low) both methods result in comparable biogas production rates. We did our calculations based on a fraction of the BMP.</t>
  </si>
  <si>
    <t>CH4-content in the biogas [m3 CH4/ m3 biogas]</t>
  </si>
  <si>
    <r>
      <t xml:space="preserve">[4] </t>
    </r>
    <r>
      <rPr>
        <i/>
        <sz val="11"/>
        <color theme="1"/>
        <rFont val="Calibri"/>
        <scheme val="minor"/>
      </rPr>
      <t>states from 0.5 to 0.6 - averaged here</t>
    </r>
  </si>
  <si>
    <t>Average feedstock density [kg/L]</t>
  </si>
  <si>
    <t>hypothesis</t>
  </si>
  <si>
    <t>Hydraulic retention time (HRT) [days]</t>
  </si>
  <si>
    <t>Biogas density [kg/m3]</t>
  </si>
  <si>
    <t>[5]</t>
  </si>
  <si>
    <t>Biogas consumption parameter</t>
  </si>
  <si>
    <t>Houshold burners consumption [L/h]</t>
  </si>
  <si>
    <t>[6]</t>
  </si>
  <si>
    <t>Operation and design parameters</t>
  </si>
  <si>
    <t xml:space="preserve">[1] </t>
  </si>
  <si>
    <t xml:space="preserve"> Black Soldier Fly (BSF)</t>
  </si>
  <si>
    <t>Additional considerations</t>
  </si>
  <si>
    <t>Insect feed production [kg/day]</t>
  </si>
  <si>
    <t>Leachate from preprocessing [kg/day]</t>
  </si>
  <si>
    <t>Waste residues [kg/day]</t>
  </si>
  <si>
    <t>Nursery [m2]</t>
  </si>
  <si>
    <t>Fishmeal substitution [kg/day]</t>
  </si>
  <si>
    <t>Treatment area [m2]</t>
  </si>
  <si>
    <t>https://www.eawag.ch/en/department/sandec/projects/mswm/practical-knowhow-on-black-soldier-fly-bsf-biowaste-processing</t>
  </si>
  <si>
    <t>Manpower and electricity needs for dewatering are not included in the results above.</t>
  </si>
  <si>
    <t>Process water content</t>
  </si>
  <si>
    <t>Process C/N ratio</t>
  </si>
  <si>
    <t>Non influential</t>
  </si>
  <si>
    <r>
      <t xml:space="preserve">[1] </t>
    </r>
    <r>
      <rPr>
        <i/>
        <sz val="11"/>
        <color theme="1"/>
        <rFont val="Calibri"/>
        <scheme val="minor"/>
      </rPr>
      <t>This tool does not test pH suitability, beware that it is an important factor for BSF to work properly. Very acidic or basic feedstocks can cause troubles.</t>
    </r>
  </si>
  <si>
    <r>
      <t xml:space="preserve">[1] </t>
    </r>
    <r>
      <rPr>
        <i/>
        <sz val="11"/>
        <color theme="1"/>
        <rFont val="Calibri"/>
        <scheme val="minor"/>
      </rPr>
      <t>states optimal 28 - 32 °C, broader range possible</t>
    </r>
  </si>
  <si>
    <t>Bioconversion factor [% wet weight]</t>
  </si>
  <si>
    <t>[8]</t>
  </si>
  <si>
    <t>Waste residue [% wet weight]</t>
  </si>
  <si>
    <t>[8] for max, [9] for min</t>
  </si>
  <si>
    <t>Procesing time (larvae lifecycle) [days]</t>
  </si>
  <si>
    <t>Fishmeal substitution ratio [kg/kg wet larvae]</t>
  </si>
  <si>
    <t>[7]</t>
  </si>
  <si>
    <t>Space requirement for nursery [m2]</t>
  </si>
  <si>
    <t>Space requirement for waste treatment [m2/ton]</t>
  </si>
  <si>
    <t>Manpower required per additionnal  5 tons of waste</t>
  </si>
  <si>
    <t>Additional considerations check</t>
  </si>
  <si>
    <t xml:space="preserve">Estimation of the total mass of materials undergoing composting in the plant when fully operational. </t>
  </si>
  <si>
    <t>This accounts for the input feedstocks and the loss of mass during the decomposition process throughout the process time set.</t>
  </si>
  <si>
    <t>This does not account for finished product stocks.</t>
  </si>
  <si>
    <t>In the calculations, we approximate that mass reduction of compost occurs only during active composting and that turning is only done regularely during that phase.</t>
  </si>
  <si>
    <t>Forn the maturation fase, turnings are not accounted for in the total mass of materials to turn per day calculated.</t>
  </si>
  <si>
    <t>To be completed for further versions</t>
  </si>
  <si>
    <t>Reference list</t>
  </si>
  <si>
    <t>Zabaleta I. et al., (2020): Selecting Organic Waste Treatment Technologies. SOWATT. Eawag - Swiss Federal Institute of Aquatic Science and Technology: Dübendorf, Switzerland, p 235.</t>
  </si>
  <si>
    <r>
      <t xml:space="preserve">Roy D. et al., (2018): Composting leachate: characterization, treatment, and future perspectives. </t>
    </r>
    <r>
      <rPr>
        <i/>
        <sz val="11"/>
        <color theme="1"/>
        <rFont val="Calibri"/>
        <scheme val="minor"/>
      </rPr>
      <t>Reviews in Environmental Science and Bio/Technology</t>
    </r>
    <r>
      <rPr>
        <sz val="11"/>
        <color theme="1"/>
        <rFont val="Calibri"/>
        <scheme val="minor"/>
      </rPr>
      <t>, (17) 323-349.</t>
    </r>
  </si>
  <si>
    <t>[3]</t>
  </si>
  <si>
    <r>
      <t xml:space="preserve">Khalid A. et al., (2011): The anaerobic digestion of solid organic waste. </t>
    </r>
    <r>
      <rPr>
        <i/>
        <sz val="11"/>
        <color theme="1"/>
        <rFont val="Calibri"/>
        <scheme val="minor"/>
      </rPr>
      <t>Waste Management</t>
    </r>
    <r>
      <rPr>
        <sz val="11"/>
        <color theme="1"/>
        <rFont val="Calibri"/>
        <scheme val="minor"/>
      </rPr>
      <t>, (31) 1737-1744.</t>
    </r>
  </si>
  <si>
    <t>[4]</t>
  </si>
  <si>
    <r>
      <t xml:space="preserve">Kondusamy D.,Kalamdhad A.S., (2014): Pre-treatment and anaerobic digestion of food waste for high rate methane production – A review. </t>
    </r>
    <r>
      <rPr>
        <i/>
        <sz val="11"/>
        <color theme="1"/>
        <rFont val="Calibri"/>
        <scheme val="minor"/>
      </rPr>
      <t>Journal of Environmental Chemical Engineering</t>
    </r>
    <r>
      <rPr>
        <sz val="11"/>
        <color theme="1"/>
        <rFont val="Calibri"/>
        <scheme val="minor"/>
      </rPr>
      <t>, (2) 1821-1830.</t>
    </r>
  </si>
  <si>
    <t>Peter Jacob Jørgensen, PlanEnergi and Researcher for a Day – Faculty of Agricultural Sciences, Aarhus University 2009 2nd edition</t>
  </si>
  <si>
    <r>
      <rPr>
        <sz val="11"/>
        <rFont val="Calibri"/>
        <scheme val="minor"/>
      </rPr>
      <t xml:space="preserve">Visited 12.05.2022: </t>
    </r>
    <r>
      <rPr>
        <u/>
        <sz val="11"/>
        <color theme="10"/>
        <rFont val="Calibri"/>
        <scheme val="minor"/>
      </rPr>
      <t>https://energypedia.info/wiki/Biogas_Stoves</t>
    </r>
  </si>
  <si>
    <r>
      <t xml:space="preserve">Mertenat A. et al., (2019): Black Soldier Fly biowaste treatment – Assessment of global warming potential. </t>
    </r>
    <r>
      <rPr>
        <i/>
        <sz val="11"/>
        <color theme="1"/>
        <rFont val="Calibri"/>
        <scheme val="minor"/>
      </rPr>
      <t>Waste Management</t>
    </r>
    <r>
      <rPr>
        <sz val="11"/>
        <color theme="1"/>
        <rFont val="Calibri"/>
        <scheme val="minor"/>
      </rPr>
      <t>, (84) 173-181.</t>
    </r>
  </si>
  <si>
    <t>Black Soldier Fly Larvae - Business Model. Scenario 1: Integrated plant. Version: 1.0 | Release year: 2021 | © SWM/Sandec/Eawag</t>
  </si>
  <si>
    <t>[9]</t>
  </si>
  <si>
    <t>[10]</t>
  </si>
  <si>
    <t>US Environmental Protection Agency, (2022). Anaerobic Digestion Screening Tool. Version 2.2.</t>
  </si>
  <si>
    <t>[11]</t>
  </si>
  <si>
    <t>Adams, R. C., F. S. MacLean, J. K. Dixon, F. M. Bennett, G. I. Martin, and R. C. Lough. 1951. The utilization of organic wastes in N.Z.: Second interim report of the inter-departmental committee. New Zealand Engineering (November 15, 1951):396-424.</t>
  </si>
  <si>
    <t>[12]</t>
  </si>
  <si>
    <t>Horisawa et al. (1999). Biodegradation of nonlignocellulosic substances II: physical and chemical properties of sawdust before and after use as artificial soil. Journal of Wood Science.</t>
  </si>
  <si>
    <t>[13]</t>
  </si>
  <si>
    <t>Bajpai P. (2018). Biermann's Handbook of Pulp and Paper. Volume 1: Raw Material and Pulp Making. Third edition. Chapter 2 - Wood and Fiber Fundamentals.</t>
  </si>
  <si>
    <t>Gotaas H.B., (1956). Composting: Sanitary Disposal and Reclamation of Organic Wastes. The World Health Organization monograph series.</t>
  </si>
  <si>
    <t>National Research Council 1977. Methane Generation From Human, Animal, and Agricultural Wastes. Washington, DC: The National Academies Press. https://doi.org/10.17226/21482.</t>
  </si>
  <si>
    <t>Organic waste</t>
  </si>
  <si>
    <t>High</t>
  </si>
  <si>
    <t>Taken as equivalent to "mixed vegetable waste" from [7]
Moisture, VS, Ash, %N from [7]
C % calculated with 0.55 * VS of TS [8]
TS calculated as beeing 100%-moisture</t>
  </si>
  <si>
    <t>[7] &amp; [8]</t>
  </si>
  <si>
    <t xml:space="preserve">- The TET tool gives a rapid approximation and can be used as a first step before consulting an expert.
- Prior to an implementation, thorough estimations, plant sizing and designing needs to be conducted by a specialised private-sector company, or a specialised consultant or expert.
</t>
  </si>
  <si>
    <t>- For more information about the preliminary assessments needed in order to use this tool and the implementation and operation of
organic waste management systems, please consult HAWAI core text and the Compendium.</t>
  </si>
  <si>
    <t>Expert conservative opinion</t>
  </si>
  <si>
    <r>
      <t xml:space="preserve">1.1) Composting: </t>
    </r>
    <r>
      <rPr>
        <sz val="11"/>
        <color theme="1"/>
        <rFont val="Calibri"/>
        <family val="2"/>
        <scheme val="minor"/>
      </rPr>
      <t>evaluates the compost technology based on the feedstock(s) entered by the user</t>
    </r>
  </si>
  <si>
    <r>
      <rPr>
        <b/>
        <sz val="11"/>
        <color theme="1"/>
        <rFont val="Calibri"/>
        <scheme val="minor"/>
      </rPr>
      <t>1.2) Anaerobic digestion:</t>
    </r>
    <r>
      <rPr>
        <sz val="11"/>
        <color theme="1"/>
        <rFont val="Calibri"/>
        <scheme val="minor"/>
      </rPr>
      <t xml:space="preserve"> evaluates the AD technology based on the feedstock(s) entered by the user</t>
    </r>
  </si>
  <si>
    <r>
      <t xml:space="preserve">1.3) Black Soldier Fly: </t>
    </r>
    <r>
      <rPr>
        <sz val="11"/>
        <color theme="1"/>
        <rFont val="Calibri"/>
        <family val="2"/>
        <scheme val="minor"/>
      </rPr>
      <t>evaluates the BSF technology based on the feedstock(s) entered by the user</t>
    </r>
  </si>
  <si>
    <t>Would you like to show the detailed parameters used for the calculations ?</t>
  </si>
  <si>
    <t>No</t>
  </si>
  <si>
    <t>Feedstock suitability
for BSF**</t>
  </si>
  <si>
    <t>** for composting and AD all feedstocks currently in the database can be used</t>
  </si>
  <si>
    <t>Resource link here</t>
  </si>
  <si>
    <t>Type of feedstock*</t>
  </si>
  <si>
    <t>This tool is part of the Humanitarian Aid Solid Waste Assessment and Improvement Guidelines - HAWAI (Tosi Robinson et al., 2025)</t>
  </si>
  <si>
    <t>1. Select your feedstock type and enter the amount in the white cells under "1) Feedstock input" below.</t>
  </si>
  <si>
    <t>2. Check your mixture suitability in "2) Mixture suitability check" and follow the instructions until the mixture is suitable.</t>
  </si>
  <si>
    <t>Check that your feedstock mixture is suitable for a given technology, make the suggested changes until the validation box is green for a given technology</t>
  </si>
  <si>
    <t>3. Read the tool results under each individual technology sheet: 1.1 Composting, 1.2 AD or 1.3 BSF. Note that the results are valid only if the feedstock mixture is suitable!</t>
  </si>
  <si>
    <t>Description of the sheets content:</t>
  </si>
  <si>
    <r>
      <rPr>
        <sz val="14"/>
        <color rgb="FFC00000"/>
        <rFont val="Calibri"/>
        <family val="2"/>
        <scheme val="minor"/>
      </rPr>
      <t>Start in</t>
    </r>
    <r>
      <rPr>
        <b/>
        <sz val="14"/>
        <color rgb="FFC00000"/>
        <rFont val="Calibri"/>
        <family val="2"/>
        <scheme val="minor"/>
      </rPr>
      <t xml:space="preserve"> </t>
    </r>
    <r>
      <rPr>
        <b/>
        <i/>
        <sz val="14"/>
        <color rgb="FFC00000"/>
        <rFont val="Calibri"/>
        <family val="2"/>
        <scheme val="minor"/>
      </rPr>
      <t>1 Technology_check</t>
    </r>
    <r>
      <rPr>
        <b/>
        <sz val="14"/>
        <color rgb="FFC00000"/>
        <rFont val="Calibri"/>
        <family val="2"/>
        <scheme val="minor"/>
      </rPr>
      <t xml:space="preserve"> </t>
    </r>
    <r>
      <rPr>
        <sz val="14"/>
        <color rgb="FFC00000"/>
        <rFont val="Calibri"/>
        <family val="2"/>
        <scheme val="minor"/>
      </rPr>
      <t>and follow the steps from there</t>
    </r>
  </si>
  <si>
    <r>
      <t xml:space="preserve">The information shown here is for a continuous </t>
    </r>
    <r>
      <rPr>
        <b/>
        <sz val="16"/>
        <color theme="1"/>
        <rFont val="Calibri"/>
        <family val="2"/>
        <scheme val="minor"/>
      </rPr>
      <t xml:space="preserve">wet mesophilic digestion system, such as </t>
    </r>
    <r>
      <rPr>
        <sz val="16"/>
        <color theme="1"/>
        <rFont val="Calibri"/>
        <family val="2"/>
        <scheme val="minor"/>
      </rPr>
      <t>fixed or floating dome, balloon digester, as shown in the pictures.</t>
    </r>
  </si>
  <si>
    <r>
      <rPr>
        <b/>
        <sz val="16"/>
        <color theme="1"/>
        <rFont val="Calibri"/>
        <family val="2"/>
        <scheme val="minor"/>
      </rPr>
      <t>Please follow these steps to use the tool:</t>
    </r>
    <r>
      <rPr>
        <sz val="16"/>
        <color theme="1"/>
        <rFont val="Calibri"/>
        <family val="2"/>
        <scheme val="minor"/>
      </rPr>
      <t xml:space="preserve">
a) enter your feedstock information in the white cells under "1) Feedstock input".
b) check your mixture suitability in "2) Mixture suitability check" and follow the instructions until the mixture is suitable.
c) read the tool results under "3) Results". Note that the results are valid only if the feedstock mixture is suitable!</t>
    </r>
  </si>
  <si>
    <r>
      <rPr>
        <b/>
        <sz val="16"/>
        <rFont val="Calibri"/>
        <family val="2"/>
        <scheme val="minor"/>
      </rPr>
      <t>Please follow these steps to use the tool:</t>
    </r>
    <r>
      <rPr>
        <sz val="16"/>
        <rFont val="Calibri"/>
        <family val="2"/>
        <scheme val="minor"/>
      </rPr>
      <t xml:space="preserve">
a) enter your feedstock information in the white cells under "1) Feedstock input".
b) check your mixture suitability in "2) Mixture suitability check" and follow the instructions until the mixture is suitable.
c) read the tool results under "3) Results". Note that the results are valid only if the feedstock mixture is suitable!</t>
    </r>
  </si>
  <si>
    <r>
      <t>Check that your feedstock mixture is suitable for anaerobic digestion, make the suggested changes until validation box is</t>
    </r>
    <r>
      <rPr>
        <sz val="14"/>
        <color rgb="FF00B050"/>
        <rFont val="Calibri"/>
        <family val="2"/>
        <scheme val="minor"/>
      </rPr>
      <t xml:space="preserve"> green</t>
    </r>
  </si>
  <si>
    <r>
      <t>Check that your feedstock mixture is suitable for BSFL, make the suggested changes until validation box is</t>
    </r>
    <r>
      <rPr>
        <sz val="14"/>
        <color rgb="FF00B050"/>
        <rFont val="Calibri"/>
        <family val="2"/>
        <scheme val="minor"/>
      </rPr>
      <t xml:space="preserve"> green</t>
    </r>
  </si>
  <si>
    <r>
      <t xml:space="preserve">Check that your feedstock mixture is suitable for anaerobic digestion, make the suggested changes until validation box is </t>
    </r>
    <r>
      <rPr>
        <sz val="14"/>
        <color rgb="FF00B050"/>
        <rFont val="Calibri"/>
        <family val="2"/>
        <scheme val="minor"/>
      </rPr>
      <t>green</t>
    </r>
  </si>
  <si>
    <t>The tool copied your inptus from 1 Technology_check. Do not modify feedstocks and quantities here, return to 1 Technology_check to do so.</t>
  </si>
  <si>
    <t>Using the default values is recommended unless you are an experienced user of the tool and composting expert</t>
  </si>
  <si>
    <t>Using the default values is recommended unless you are an experienced user of the tool and AD expert</t>
  </si>
  <si>
    <t>More info, tools and guidelines:</t>
  </si>
  <si>
    <t>Using the default values is recommended unless you are an experienced user of the tool and BSF expert</t>
  </si>
  <si>
    <t>Additional water might be required during the process depending on the local conditions / humidity and temperature</t>
  </si>
  <si>
    <r>
      <t xml:space="preserve">Insert the type and quantities of feedstock available
For each type of feedstock you input, </t>
    </r>
    <r>
      <rPr>
        <b/>
        <sz val="14"/>
        <rFont val="Calibri"/>
        <family val="2"/>
        <scheme val="minor"/>
      </rPr>
      <t>add a corresponding mass</t>
    </r>
    <r>
      <rPr>
        <sz val="14"/>
        <rFont val="Calibri"/>
        <family val="2"/>
        <scheme val="minor"/>
      </rPr>
      <t xml:space="preserve"> otherwise the tool does not fully compute</t>
    </r>
  </si>
  <si>
    <t>The information shown here is for a simple, manualy operated BSF facility.</t>
  </si>
  <si>
    <t>Evaluation of the Black Soldier Fly treatment potential based on the feedstock(s) entered by the user.</t>
  </si>
  <si>
    <t>Evaluation of the biogas production potential based on the feedstock(s) entered by the user.</t>
  </si>
  <si>
    <t>Evaluation of composting potential based on the feedstock(s) entered by the user.</t>
  </si>
  <si>
    <r>
      <t xml:space="preserve">The information shown here is for a </t>
    </r>
    <r>
      <rPr>
        <b/>
        <sz val="16"/>
        <color theme="1"/>
        <rFont val="Calibri"/>
        <family val="2"/>
        <scheme val="minor"/>
      </rPr>
      <t>manually operated system with regular turning of windrows</t>
    </r>
    <r>
      <rPr>
        <sz val="16"/>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</si>
</sst>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6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scheme val="minor"/>
    </font>
    <font>
      <b/>
      <sz val="20"/>
      <color theme="1"/>
      <name val="Calibri"/>
      <scheme val="minor"/>
    </font>
    <font>
      <i/>
      <sz val="11"/>
      <color theme="1"/>
      <name val="Calibri"/>
      <scheme val="minor"/>
    </font>
    <font>
      <sz val="12"/>
      <color theme="1"/>
      <name val="Calibri"/>
      <scheme val="minor"/>
    </font>
    <font>
      <b/>
      <sz val="11"/>
      <color theme="1"/>
      <name val="Calibri"/>
      <scheme val="minor"/>
    </font>
    <font>
      <b/>
      <sz val="11"/>
      <name val="Calibri"/>
      <scheme val="minor"/>
    </font>
    <font>
      <sz val="11"/>
      <name val="Calibri"/>
      <scheme val="minor"/>
    </font>
    <font>
      <sz val="11"/>
      <color theme="2" tint="-0.249977111117893"/>
      <name val="Calibri"/>
      <scheme val="minor"/>
    </font>
    <font>
      <b/>
      <sz val="12"/>
      <name val="Calibri"/>
      <scheme val="minor"/>
    </font>
    <font>
      <b/>
      <sz val="12"/>
      <color theme="0"/>
      <name val="Calibri"/>
      <scheme val="minor"/>
    </font>
    <font>
      <sz val="11"/>
      <color indexed="2"/>
      <name val="Calibri"/>
      <scheme val="minor"/>
    </font>
    <font>
      <sz val="11"/>
      <color theme="0"/>
      <name val="Calibri"/>
      <scheme val="minor"/>
    </font>
    <font>
      <b/>
      <i/>
      <sz val="11"/>
      <color theme="1"/>
      <name val="Calibri"/>
      <scheme val="minor"/>
    </font>
    <font>
      <b/>
      <sz val="14"/>
      <color theme="1"/>
      <name val="Calibri"/>
      <scheme val="minor"/>
    </font>
    <font>
      <b/>
      <sz val="16"/>
      <color theme="1"/>
      <name val="Calibri"/>
      <scheme val="minor"/>
    </font>
    <font>
      <sz val="16"/>
      <color theme="1"/>
      <name val="Calibri"/>
      <scheme val="minor"/>
    </font>
    <font>
      <i/>
      <sz val="16"/>
      <color theme="1"/>
      <name val="Calibri"/>
      <scheme val="minor"/>
    </font>
    <font>
      <b/>
      <sz val="18"/>
      <name val="Calibri"/>
      <scheme val="minor"/>
    </font>
    <font>
      <sz val="14"/>
      <name val="Calibri"/>
      <scheme val="minor"/>
    </font>
    <font>
      <i/>
      <sz val="18"/>
      <name val="Calibri"/>
      <scheme val="minor"/>
    </font>
    <font>
      <b/>
      <i/>
      <sz val="14"/>
      <color rgb="FF0070C0"/>
      <name val="Calibri"/>
      <scheme val="minor"/>
    </font>
    <font>
      <b/>
      <sz val="12"/>
      <color theme="1"/>
      <name val="Calibri"/>
      <scheme val="minor"/>
    </font>
    <font>
      <sz val="12"/>
      <color indexed="2"/>
      <name val="Calibri"/>
      <scheme val="minor"/>
    </font>
    <font>
      <sz val="12"/>
      <name val="Calibri"/>
      <scheme val="minor"/>
    </font>
    <font>
      <b/>
      <i/>
      <sz val="12"/>
      <color rgb="FF0070C0"/>
      <name val="Calibri"/>
      <scheme val="minor"/>
    </font>
    <font>
      <b/>
      <sz val="16"/>
      <name val="Calibri"/>
      <scheme val="minor"/>
    </font>
    <font>
      <sz val="16"/>
      <name val="Calibri"/>
      <scheme val="minor"/>
    </font>
    <font>
      <sz val="11"/>
      <color theme="2"/>
      <name val="Calibri"/>
      <scheme val="minor"/>
    </font>
    <font>
      <i/>
      <sz val="12"/>
      <color theme="1"/>
      <name val="Calibri"/>
      <scheme val="minor"/>
    </font>
    <font>
      <b/>
      <i/>
      <sz val="18"/>
      <color rgb="FF0070C0"/>
      <name val="Calibri"/>
      <scheme val="minor"/>
    </font>
    <font>
      <b/>
      <sz val="20"/>
      <name val="Calibri"/>
      <scheme val="minor"/>
    </font>
    <font>
      <i/>
      <sz val="11"/>
      <name val="Calibri"/>
      <scheme val="minor"/>
    </font>
    <font>
      <b/>
      <i/>
      <sz val="18"/>
      <name val="Calibri"/>
      <scheme val="minor"/>
    </font>
    <font>
      <u/>
      <sz val="14"/>
      <color theme="10"/>
      <name val="Calibri"/>
      <scheme val="minor"/>
    </font>
    <font>
      <sz val="11"/>
      <color theme="1"/>
      <name val="Calibri"/>
      <scheme val="minor"/>
    </font>
    <font>
      <b/>
      <sz val="14"/>
      <color rgb="FF00B050"/>
      <name val="Calibri"/>
      <scheme val="minor"/>
    </font>
    <font>
      <b/>
      <i/>
      <sz val="12"/>
      <color theme="1"/>
      <name val="Calibri"/>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2"/>
      <color theme="1"/>
      <name val="Calibri"/>
      <family val="2"/>
      <scheme val="minor"/>
    </font>
    <font>
      <b/>
      <sz val="16"/>
      <color theme="1"/>
      <name val="Calibri"/>
      <family val="2"/>
      <scheme val="minor"/>
    </font>
    <font>
      <b/>
      <sz val="16"/>
      <color rgb="FF0070C0"/>
      <name val="Calibri"/>
      <family val="2"/>
      <scheme val="minor"/>
    </font>
    <font>
      <b/>
      <sz val="12"/>
      <name val="Calibri"/>
      <family val="2"/>
      <scheme val="minor"/>
    </font>
    <font>
      <b/>
      <i/>
      <sz val="11"/>
      <color theme="1"/>
      <name val="Calibri"/>
      <family val="2"/>
      <scheme val="minor"/>
    </font>
    <font>
      <sz val="12"/>
      <color theme="1"/>
      <name val="Calibri"/>
      <family val="2"/>
      <scheme val="minor"/>
    </font>
    <font>
      <b/>
      <sz val="12"/>
      <color theme="9" tint="-0.249977111117893"/>
      <name val="Calibri"/>
      <family val="2"/>
      <scheme val="minor"/>
    </font>
    <font>
      <i/>
      <sz val="11"/>
      <color theme="1"/>
      <name val="Calibri"/>
      <family val="2"/>
      <scheme val="minor"/>
    </font>
    <font>
      <b/>
      <sz val="18"/>
      <color theme="1"/>
      <name val="Calibri"/>
      <family val="2"/>
      <scheme val="minor"/>
    </font>
    <font>
      <sz val="14"/>
      <color rgb="FF0070C0"/>
      <name val="Calibri"/>
      <family val="2"/>
      <scheme val="minor"/>
    </font>
    <font>
      <sz val="14"/>
      <name val="Calibri"/>
      <family val="2"/>
      <scheme val="minor"/>
    </font>
    <font>
      <i/>
      <sz val="14"/>
      <color theme="1"/>
      <name val="Calibri"/>
      <family val="2"/>
      <scheme val="minor"/>
    </font>
    <font>
      <b/>
      <sz val="14"/>
      <color theme="9" tint="-0.249977111117893"/>
      <name val="Calibri"/>
      <family val="2"/>
      <scheme val="minor"/>
    </font>
    <font>
      <b/>
      <sz val="14"/>
      <color rgb="FFC00000"/>
      <name val="Calibri"/>
      <family val="2"/>
      <scheme val="minor"/>
    </font>
    <font>
      <sz val="14"/>
      <color rgb="FFC00000"/>
      <name val="Calibri"/>
      <family val="2"/>
      <scheme val="minor"/>
    </font>
    <font>
      <b/>
      <i/>
      <sz val="14"/>
      <color rgb="FFC00000"/>
      <name val="Calibri"/>
      <family val="2"/>
      <scheme val="minor"/>
    </font>
    <font>
      <sz val="16"/>
      <color theme="1"/>
      <name val="Calibri"/>
      <family val="2"/>
      <scheme val="minor"/>
    </font>
    <font>
      <i/>
      <sz val="16"/>
      <color theme="1"/>
      <name val="Calibri"/>
      <family val="2"/>
      <scheme val="minor"/>
    </font>
    <font>
      <sz val="16"/>
      <name val="Calibri"/>
      <family val="2"/>
      <scheme val="minor"/>
    </font>
    <font>
      <b/>
      <sz val="14"/>
      <name val="Calibri"/>
      <family val="2"/>
      <scheme val="minor"/>
    </font>
    <font>
      <b/>
      <sz val="16"/>
      <name val="Calibri"/>
      <family val="2"/>
      <scheme val="minor"/>
    </font>
    <font>
      <sz val="14"/>
      <color rgb="FF00B050"/>
      <name val="Calibri"/>
      <family val="2"/>
      <scheme val="minor"/>
    </font>
    <font>
      <b/>
      <sz val="16"/>
      <color rgb="FFFF0000"/>
      <name val="Calibri"/>
      <family val="2"/>
      <scheme val="minor"/>
    </font>
    <font>
      <sz val="12"/>
      <color rgb="FFFF0000"/>
      <name val="Calibri"/>
      <family val="2"/>
      <scheme val="minor"/>
    </font>
  </fonts>
  <fills count="17">
    <fill>
      <patternFill patternType="none"/>
    </fill>
    <fill>
      <patternFill patternType="gray125"/>
    </fill>
    <fill>
      <patternFill patternType="solid">
        <fgColor theme="0"/>
      </patternFill>
    </fill>
    <fill>
      <patternFill patternType="solid">
        <fgColor theme="9" tint="0.39997558519241921"/>
        <bgColor indexed="65"/>
      </patternFill>
    </fill>
    <fill>
      <patternFill patternType="solid">
        <fgColor theme="2" tint="-0.249977111117893"/>
        <bgColor indexed="65"/>
      </patternFill>
    </fill>
    <fill>
      <patternFill patternType="solid">
        <fgColor theme="0" tint="-0.14999847407452621"/>
        <bgColor indexed="65"/>
      </patternFill>
    </fill>
    <fill>
      <patternFill patternType="solid">
        <fgColor theme="0" tint="-0.249977111117893"/>
        <bgColor indexed="65"/>
      </patternFill>
    </fill>
    <fill>
      <patternFill patternType="solid">
        <fgColor rgb="FF92D050"/>
      </patternFill>
    </fill>
    <fill>
      <patternFill patternType="solid">
        <fgColor theme="4" tint="0.79998168889431442"/>
        <bgColor indexed="65"/>
      </patternFill>
    </fill>
    <fill>
      <patternFill patternType="solid">
        <fgColor theme="0" tint="-4.9989318521683403E-2"/>
        <bgColor indexed="65"/>
      </patternFill>
    </fill>
    <fill>
      <patternFill patternType="solid">
        <fgColor theme="9" tint="0.59999389629810485"/>
        <bgColor indexed="65"/>
      </patternFill>
    </fill>
    <fill>
      <patternFill patternType="solid">
        <fgColor indexed="5"/>
      </patternFill>
    </fill>
    <fill>
      <patternFill patternType="solid">
        <fgColor theme="9" tint="0.79998168889431442"/>
        <bgColor indexed="65"/>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top style="medium">
        <color auto="1"/>
      </top>
      <bottom style="medium">
        <color auto="1"/>
      </bottom>
      <diagonal/>
    </border>
  </borders>
  <cellStyleXfs count="6">
    <xf numFmtId="0" fontId="0" fillId="0" borderId="0"/>
    <xf numFmtId="0" fontId="4" fillId="0" borderId="0" applyNumberFormat="0" applyFill="0" applyBorder="0" applyProtection="0"/>
    <xf numFmtId="9" fontId="38" fillId="0" borderId="0" applyFont="0" applyFill="0" applyBorder="0" applyProtection="0"/>
    <xf numFmtId="0" fontId="3" fillId="0" borderId="0"/>
    <xf numFmtId="9" fontId="3" fillId="0" borderId="0" applyFont="0" applyFill="0" applyBorder="0" applyAlignment="0" applyProtection="0"/>
    <xf numFmtId="0" fontId="42" fillId="0" borderId="0" applyNumberFormat="0" applyFill="0" applyBorder="0" applyAlignment="0" applyProtection="0"/>
  </cellStyleXfs>
  <cellXfs count="432">
    <xf numFmtId="0" fontId="0" fillId="0" borderId="0" xfId="0"/>
    <xf numFmtId="0" fontId="0" fillId="2" borderId="0" xfId="0" applyFill="1"/>
    <xf numFmtId="0" fontId="0" fillId="3" borderId="0" xfId="0" applyFill="1"/>
    <xf numFmtId="14" fontId="6" fillId="3" borderId="0" xfId="0" applyNumberFormat="1" applyFont="1" applyFill="1"/>
    <xf numFmtId="0" fontId="6" fillId="2" borderId="0" xfId="0" applyFont="1" applyFill="1"/>
    <xf numFmtId="0" fontId="8" fillId="2" borderId="0" xfId="0" applyFont="1" applyFill="1"/>
    <xf numFmtId="0" fontId="9" fillId="2" borderId="0" xfId="0" applyFont="1" applyFill="1"/>
    <xf numFmtId="49" fontId="10" fillId="2" borderId="0" xfId="0" applyNumberFormat="1" applyFont="1" applyFill="1" applyAlignment="1">
      <alignment vertical="center" wrapText="1"/>
    </xf>
    <xf numFmtId="0" fontId="5" fillId="3" borderId="0" xfId="0" applyFont="1" applyFill="1"/>
    <xf numFmtId="0" fontId="4" fillId="2" borderId="0" xfId="1" applyFont="1" applyFill="1"/>
    <xf numFmtId="0" fontId="11" fillId="2" borderId="0" xfId="0" applyFont="1" applyFill="1" applyAlignment="1">
      <alignment vertical="center" wrapText="1"/>
    </xf>
    <xf numFmtId="0" fontId="8" fillId="2" borderId="0" xfId="0" applyFont="1" applyFill="1" applyAlignment="1">
      <alignment wrapText="1"/>
    </xf>
    <xf numFmtId="0" fontId="8" fillId="2" borderId="0" xfId="0" applyFont="1" applyFill="1" applyAlignment="1">
      <alignment horizontal="center" wrapText="1"/>
    </xf>
    <xf numFmtId="0" fontId="0" fillId="2" borderId="0" xfId="0" applyFill="1" applyAlignment="1">
      <alignment vertical="center"/>
    </xf>
    <xf numFmtId="0" fontId="8" fillId="0" borderId="1" xfId="0" applyFont="1" applyBorder="1" applyAlignment="1">
      <alignment vertical="center"/>
    </xf>
    <xf numFmtId="0" fontId="0" fillId="2" borderId="1" xfId="0" applyFill="1" applyBorder="1" applyAlignment="1">
      <alignment vertical="center"/>
    </xf>
    <xf numFmtId="0" fontId="0" fillId="2" borderId="1" xfId="0" applyFill="1" applyBorder="1" applyAlignment="1">
      <alignment horizontal="right" vertical="center"/>
    </xf>
    <xf numFmtId="2" fontId="0" fillId="2" borderId="1" xfId="0" applyNumberFormat="1" applyFill="1" applyBorder="1" applyAlignment="1">
      <alignment horizontal="right" vertical="center"/>
    </xf>
    <xf numFmtId="164" fontId="0" fillId="2" borderId="1" xfId="2" applyNumberFormat="1" applyFont="1" applyFill="1" applyBorder="1" applyAlignment="1">
      <alignment horizontal="right" vertical="center"/>
    </xf>
    <xf numFmtId="165" fontId="0" fillId="2" borderId="1" xfId="2" applyNumberFormat="1" applyFont="1" applyFill="1" applyBorder="1" applyAlignment="1">
      <alignment horizontal="right" vertical="center"/>
    </xf>
    <xf numFmtId="0" fontId="0" fillId="2" borderId="1" xfId="0" applyFill="1" applyBorder="1" applyAlignment="1">
      <alignment horizontal="right" vertical="center" wrapText="1"/>
    </xf>
    <xf numFmtId="165" fontId="0" fillId="2" borderId="1" xfId="2" applyNumberFormat="1" applyFont="1" applyFill="1" applyBorder="1" applyAlignment="1">
      <alignment horizontal="right" vertical="center" wrapText="1"/>
    </xf>
    <xf numFmtId="0" fontId="9" fillId="0" borderId="1" xfId="0" applyFont="1" applyBorder="1" applyAlignment="1">
      <alignment vertical="center"/>
    </xf>
    <xf numFmtId="164" fontId="0" fillId="2" borderId="1" xfId="0" applyNumberFormat="1" applyFill="1" applyBorder="1" applyAlignment="1">
      <alignment horizontal="right" vertical="center"/>
    </xf>
    <xf numFmtId="0" fontId="0" fillId="0" borderId="1" xfId="0" applyBorder="1" applyAlignment="1">
      <alignment horizontal="right" vertical="center"/>
    </xf>
    <xf numFmtId="2" fontId="0" fillId="2" borderId="1" xfId="0" applyNumberFormat="1" applyFill="1" applyBorder="1" applyAlignment="1">
      <alignment vertical="center"/>
    </xf>
    <xf numFmtId="164" fontId="0" fillId="2" borderId="1" xfId="0" applyNumberFormat="1" applyFill="1" applyBorder="1" applyAlignment="1">
      <alignment vertical="center"/>
    </xf>
    <xf numFmtId="0" fontId="4" fillId="2" borderId="0" xfId="1" applyFont="1" applyFill="1" applyAlignment="1">
      <alignment vertical="center"/>
    </xf>
    <xf numFmtId="164" fontId="0" fillId="2" borderId="1" xfId="2" applyNumberFormat="1" applyFont="1" applyFill="1" applyBorder="1" applyAlignment="1">
      <alignment vertical="center"/>
    </xf>
    <xf numFmtId="166" fontId="0" fillId="2" borderId="1" xfId="0" applyNumberFormat="1" applyFill="1" applyBorder="1" applyAlignment="1">
      <alignment vertical="center"/>
    </xf>
    <xf numFmtId="0" fontId="0" fillId="2" borderId="1" xfId="2" applyNumberFormat="1" applyFont="1" applyFill="1" applyBorder="1" applyAlignment="1">
      <alignment vertical="center"/>
    </xf>
    <xf numFmtId="0" fontId="8" fillId="3" borderId="0" xfId="0" applyFont="1" applyFill="1"/>
    <xf numFmtId="0" fontId="12" fillId="4" borderId="3" xfId="0" applyFont="1" applyFill="1" applyBorder="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14" fillId="2" borderId="0" xfId="0" applyFont="1" applyFill="1"/>
    <xf numFmtId="0" fontId="12" fillId="4" borderId="8"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9" xfId="0" applyFont="1" applyFill="1" applyBorder="1" applyAlignment="1">
      <alignment horizontal="center" vertical="center" wrapText="1"/>
    </xf>
    <xf numFmtId="0" fontId="0" fillId="2" borderId="11" xfId="0" applyFill="1" applyBorder="1" applyAlignment="1">
      <alignment horizontal="right"/>
    </xf>
    <xf numFmtId="0" fontId="0" fillId="2" borderId="12" xfId="0" applyFill="1" applyBorder="1"/>
    <xf numFmtId="0" fontId="0" fillId="5" borderId="8" xfId="0" applyFill="1" applyBorder="1" applyAlignment="1">
      <alignment horizontal="center"/>
    </xf>
    <xf numFmtId="0" fontId="0" fillId="5" borderId="0" xfId="0" applyFill="1" applyAlignment="1">
      <alignment horizontal="center"/>
    </xf>
    <xf numFmtId="1" fontId="0" fillId="5" borderId="9" xfId="0" applyNumberFormat="1" applyFill="1" applyBorder="1" applyAlignment="1">
      <alignment horizontal="center"/>
    </xf>
    <xf numFmtId="0" fontId="15" fillId="2" borderId="0" xfId="0" applyFont="1" applyFill="1"/>
    <xf numFmtId="166" fontId="15" fillId="2" borderId="0" xfId="0" applyNumberFormat="1" applyFont="1" applyFill="1"/>
    <xf numFmtId="0" fontId="0" fillId="2" borderId="13" xfId="0" applyFill="1" applyBorder="1" applyAlignment="1">
      <alignment horizontal="right"/>
    </xf>
    <xf numFmtId="0" fontId="0" fillId="2" borderId="14" xfId="0" applyFill="1" applyBorder="1"/>
    <xf numFmtId="0" fontId="0" fillId="5" borderId="15" xfId="0" applyFill="1" applyBorder="1" applyAlignment="1">
      <alignment horizontal="center"/>
    </xf>
    <xf numFmtId="0" fontId="0" fillId="5" borderId="16" xfId="0" applyFill="1" applyBorder="1" applyAlignment="1">
      <alignment horizontal="center"/>
    </xf>
    <xf numFmtId="1" fontId="0" fillId="5" borderId="17" xfId="0" applyNumberFormat="1" applyFill="1" applyBorder="1" applyAlignment="1">
      <alignment horizontal="center"/>
    </xf>
    <xf numFmtId="0" fontId="0" fillId="6" borderId="2" xfId="0" applyFill="1" applyBorder="1"/>
    <xf numFmtId="0" fontId="0" fillId="6" borderId="4" xfId="0" applyFill="1" applyBorder="1"/>
    <xf numFmtId="0" fontId="0" fillId="6" borderId="3" xfId="0" applyFill="1" applyBorder="1"/>
    <xf numFmtId="0" fontId="0" fillId="6" borderId="8" xfId="0" applyFill="1" applyBorder="1"/>
    <xf numFmtId="0" fontId="0" fillId="6" borderId="0" xfId="0" applyFill="1"/>
    <xf numFmtId="0" fontId="0" fillId="6" borderId="9" xfId="0" applyFill="1" applyBorder="1"/>
    <xf numFmtId="0" fontId="0" fillId="5" borderId="15" xfId="0" applyFill="1" applyBorder="1" applyAlignment="1">
      <alignment horizontal="right"/>
    </xf>
    <xf numFmtId="0" fontId="0" fillId="5" borderId="16" xfId="0" applyFill="1" applyBorder="1"/>
    <xf numFmtId="166" fontId="0" fillId="5" borderId="16" xfId="0" applyNumberFormat="1" applyFill="1" applyBorder="1"/>
    <xf numFmtId="2" fontId="0" fillId="5" borderId="17" xfId="0" applyNumberFormat="1" applyFill="1" applyBorder="1"/>
    <xf numFmtId="0" fontId="5" fillId="2" borderId="0" xfId="0" applyFont="1" applyFill="1"/>
    <xf numFmtId="0" fontId="17" fillId="2" borderId="19" xfId="0" applyFont="1" applyFill="1" applyBorder="1" applyAlignment="1">
      <alignment horizontal="center" wrapText="1"/>
    </xf>
    <xf numFmtId="0" fontId="8" fillId="5" borderId="2" xfId="0" applyFont="1" applyFill="1" applyBorder="1" applyAlignment="1">
      <alignment horizontal="left" vertical="center"/>
    </xf>
    <xf numFmtId="0" fontId="0" fillId="5" borderId="15" xfId="0" applyFill="1" applyBorder="1" applyAlignment="1">
      <alignment horizontal="right" vertical="center"/>
    </xf>
    <xf numFmtId="0" fontId="0" fillId="2" borderId="0" xfId="0" applyFill="1" applyAlignment="1">
      <alignment horizontal="right"/>
    </xf>
    <xf numFmtId="0" fontId="0" fillId="5" borderId="15" xfId="0" applyFill="1" applyBorder="1" applyAlignment="1">
      <alignment vertical="center"/>
    </xf>
    <xf numFmtId="0" fontId="18" fillId="2" borderId="0" xfId="0" applyFont="1" applyFill="1"/>
    <xf numFmtId="0" fontId="20" fillId="2" borderId="0" xfId="0" applyFont="1" applyFill="1"/>
    <xf numFmtId="0" fontId="19" fillId="2" borderId="0" xfId="0" applyFont="1" applyFill="1"/>
    <xf numFmtId="0" fontId="21" fillId="2" borderId="0" xfId="0" applyFont="1" applyFill="1" applyAlignment="1">
      <alignment horizontal="left" wrapText="1"/>
    </xf>
    <xf numFmtId="0" fontId="6" fillId="2" borderId="0" xfId="0" applyFont="1" applyFill="1" applyAlignment="1">
      <alignment horizontal="left" wrapText="1"/>
    </xf>
    <xf numFmtId="0" fontId="22" fillId="2" borderId="0" xfId="0" applyFont="1" applyFill="1" applyAlignment="1">
      <alignment vertical="center"/>
    </xf>
    <xf numFmtId="0" fontId="23" fillId="2" borderId="0" xfId="0" applyFont="1" applyFill="1" applyAlignment="1">
      <alignment wrapText="1"/>
    </xf>
    <xf numFmtId="0" fontId="12" fillId="4" borderId="20"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wrapText="1"/>
    </xf>
    <xf numFmtId="0" fontId="10" fillId="5" borderId="8" xfId="0" applyFont="1" applyFill="1" applyBorder="1" applyAlignment="1">
      <alignment horizontal="center"/>
    </xf>
    <xf numFmtId="0" fontId="10" fillId="5" borderId="0" xfId="0" applyFont="1" applyFill="1" applyAlignment="1">
      <alignment horizontal="center"/>
    </xf>
    <xf numFmtId="1" fontId="10" fillId="5" borderId="9" xfId="0" applyNumberFormat="1" applyFont="1" applyFill="1" applyBorder="1" applyAlignment="1">
      <alignment horizontal="center"/>
    </xf>
    <xf numFmtId="0" fontId="10" fillId="5" borderId="0" xfId="0" applyFont="1" applyFill="1"/>
    <xf numFmtId="0" fontId="10" fillId="5" borderId="9" xfId="0" applyFont="1" applyFill="1" applyBorder="1"/>
    <xf numFmtId="0" fontId="10" fillId="5" borderId="15" xfId="0" applyFont="1" applyFill="1" applyBorder="1" applyAlignment="1">
      <alignment horizontal="center"/>
    </xf>
    <xf numFmtId="0" fontId="10" fillId="5" borderId="16" xfId="0" applyFont="1" applyFill="1" applyBorder="1" applyAlignment="1">
      <alignment horizontal="center"/>
    </xf>
    <xf numFmtId="1" fontId="10" fillId="5" borderId="17" xfId="0" applyNumberFormat="1" applyFont="1" applyFill="1" applyBorder="1" applyAlignment="1">
      <alignment horizontal="center"/>
    </xf>
    <xf numFmtId="166" fontId="11" fillId="5" borderId="16" xfId="0" applyNumberFormat="1" applyFont="1" applyFill="1" applyBorder="1"/>
    <xf numFmtId="0" fontId="11" fillId="5" borderId="16" xfId="0" applyFont="1" applyFill="1" applyBorder="1" applyAlignment="1">
      <alignment horizontal="center"/>
    </xf>
    <xf numFmtId="0" fontId="10" fillId="5" borderId="16" xfId="0" applyFont="1" applyFill="1" applyBorder="1"/>
    <xf numFmtId="0" fontId="10" fillId="5" borderId="17" xfId="0" applyFont="1" applyFill="1" applyBorder="1"/>
    <xf numFmtId="0" fontId="10" fillId="2" borderId="0" xfId="0" applyFont="1" applyFill="1"/>
    <xf numFmtId="0" fontId="10" fillId="2" borderId="0" xfId="0" applyFont="1" applyFill="1" applyAlignment="1">
      <alignment horizontal="center"/>
    </xf>
    <xf numFmtId="166" fontId="11" fillId="2" borderId="0" xfId="0" applyNumberFormat="1" applyFont="1" applyFill="1"/>
    <xf numFmtId="0" fontId="11" fillId="2" borderId="0" xfId="0" applyFont="1" applyFill="1" applyAlignment="1">
      <alignment horizontal="center"/>
    </xf>
    <xf numFmtId="0" fontId="24"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27" fillId="2" borderId="0" xfId="0" applyFont="1" applyFill="1" applyAlignment="1">
      <alignment horizontal="center"/>
    </xf>
    <xf numFmtId="0" fontId="28" fillId="2" borderId="0" xfId="0" applyFont="1" applyFill="1" applyAlignment="1">
      <alignment vertical="center"/>
    </xf>
    <xf numFmtId="0" fontId="27" fillId="2" borderId="0" xfId="0" applyFont="1" applyFill="1"/>
    <xf numFmtId="0" fontId="7" fillId="2" borderId="0" xfId="0" applyFont="1" applyFill="1"/>
    <xf numFmtId="0" fontId="8" fillId="10" borderId="8" xfId="0" applyFont="1" applyFill="1" applyBorder="1"/>
    <xf numFmtId="0" fontId="8" fillId="10" borderId="0" xfId="0" applyFont="1" applyFill="1"/>
    <xf numFmtId="0" fontId="0" fillId="10" borderId="0" xfId="0" applyFill="1" applyAlignment="1">
      <alignment horizontal="center"/>
    </xf>
    <xf numFmtId="0" fontId="0" fillId="10" borderId="0" xfId="0" applyFill="1"/>
    <xf numFmtId="0" fontId="25" fillId="10" borderId="8" xfId="0" applyFont="1" applyFill="1" applyBorder="1"/>
    <xf numFmtId="0" fontId="0" fillId="10" borderId="9" xfId="0" applyFill="1" applyBorder="1"/>
    <xf numFmtId="0" fontId="0" fillId="10" borderId="8" xfId="0" applyFill="1" applyBorder="1" applyAlignment="1">
      <alignment horizontal="right"/>
    </xf>
    <xf numFmtId="0" fontId="0" fillId="10" borderId="0" xfId="0" applyFill="1" applyAlignment="1">
      <alignment horizontal="right"/>
    </xf>
    <xf numFmtId="165" fontId="0" fillId="10" borderId="0" xfId="0" applyNumberFormat="1" applyFill="1" applyAlignment="1">
      <alignment horizontal="center"/>
    </xf>
    <xf numFmtId="0" fontId="6" fillId="10" borderId="0" xfId="0" applyFont="1" applyFill="1"/>
    <xf numFmtId="1" fontId="0" fillId="10" borderId="0" xfId="0" applyNumberFormat="1" applyFill="1" applyAlignment="1">
      <alignment horizontal="center"/>
    </xf>
    <xf numFmtId="0" fontId="0" fillId="10" borderId="9" xfId="0" applyFill="1" applyBorder="1" applyAlignment="1">
      <alignment horizontal="center"/>
    </xf>
    <xf numFmtId="0" fontId="0" fillId="10" borderId="8" xfId="0" applyFill="1" applyBorder="1" applyAlignment="1">
      <alignment horizontal="right" vertical="center" wrapText="1"/>
    </xf>
    <xf numFmtId="0" fontId="0" fillId="10" borderId="0" xfId="0" applyFill="1" applyAlignment="1">
      <alignment horizontal="center" vertical="center"/>
    </xf>
    <xf numFmtId="0" fontId="0" fillId="10" borderId="8" xfId="0" applyFill="1" applyBorder="1"/>
    <xf numFmtId="0" fontId="0" fillId="10" borderId="8" xfId="0" applyFill="1" applyBorder="1" applyAlignment="1">
      <alignment horizontal="right" vertical="center"/>
    </xf>
    <xf numFmtId="1" fontId="0" fillId="10" borderId="0" xfId="0" applyNumberFormat="1" applyFill="1" applyAlignment="1">
      <alignment horizontal="center" vertical="center"/>
    </xf>
    <xf numFmtId="0" fontId="6" fillId="10" borderId="0" xfId="0" applyFont="1" applyFill="1" applyAlignment="1">
      <alignment horizontal="left"/>
    </xf>
    <xf numFmtId="0" fontId="0" fillId="10" borderId="8" xfId="0" applyFill="1" applyBorder="1" applyAlignment="1">
      <alignment horizontal="right" wrapText="1"/>
    </xf>
    <xf numFmtId="0" fontId="0" fillId="10" borderId="0" xfId="0" applyFill="1" applyAlignment="1">
      <alignment horizontal="right" wrapText="1"/>
    </xf>
    <xf numFmtId="0" fontId="0" fillId="10" borderId="15" xfId="0" applyFill="1" applyBorder="1" applyAlignment="1">
      <alignment horizontal="right"/>
    </xf>
    <xf numFmtId="0" fontId="0" fillId="10" borderId="16" xfId="0" applyFill="1" applyBorder="1" applyAlignment="1">
      <alignment horizontal="right"/>
    </xf>
    <xf numFmtId="1" fontId="0" fillId="10" borderId="16" xfId="0" applyNumberFormat="1" applyFill="1" applyBorder="1"/>
    <xf numFmtId="0" fontId="0" fillId="10" borderId="16" xfId="0" applyFill="1" applyBorder="1"/>
    <xf numFmtId="0" fontId="0" fillId="10" borderId="15" xfId="0" applyFill="1" applyBorder="1"/>
    <xf numFmtId="0" fontId="0" fillId="10" borderId="17" xfId="0" applyFill="1" applyBorder="1"/>
    <xf numFmtId="0" fontId="0" fillId="2" borderId="22" xfId="0" applyFill="1" applyBorder="1"/>
    <xf numFmtId="0" fontId="10" fillId="2" borderId="22" xfId="0" applyFont="1" applyFill="1" applyBorder="1" applyAlignment="1">
      <alignment horizontal="center"/>
    </xf>
    <xf numFmtId="0" fontId="10" fillId="2" borderId="22" xfId="0" applyFont="1" applyFill="1" applyBorder="1"/>
    <xf numFmtId="0" fontId="10" fillId="2" borderId="0" xfId="0" applyFont="1" applyFill="1" applyAlignment="1">
      <alignment horizontal="left"/>
    </xf>
    <xf numFmtId="166" fontId="0" fillId="2" borderId="0" xfId="0" applyNumberFormat="1" applyFill="1"/>
    <xf numFmtId="0" fontId="31" fillId="2" borderId="0" xfId="0" applyFont="1" applyFill="1"/>
    <xf numFmtId="0" fontId="0" fillId="6" borderId="4" xfId="0" applyFill="1" applyBorder="1" applyAlignment="1">
      <alignment horizontal="center"/>
    </xf>
    <xf numFmtId="0" fontId="0" fillId="6" borderId="3" xfId="0" applyFill="1" applyBorder="1" applyAlignment="1">
      <alignment horizontal="center"/>
    </xf>
    <xf numFmtId="0" fontId="0" fillId="5" borderId="8" xfId="0" applyFill="1" applyBorder="1"/>
    <xf numFmtId="0" fontId="0" fillId="5" borderId="9" xfId="0" applyFill="1" applyBorder="1" applyAlignment="1">
      <alignment horizontal="center"/>
    </xf>
    <xf numFmtId="0" fontId="0" fillId="5" borderId="15" xfId="0" applyFill="1" applyBorder="1" applyAlignment="1">
      <alignment horizontal="right" wrapText="1"/>
    </xf>
    <xf numFmtId="0" fontId="0" fillId="5" borderId="16" xfId="0" applyFill="1" applyBorder="1" applyAlignment="1">
      <alignment horizontal="center" vertical="center"/>
    </xf>
    <xf numFmtId="166" fontId="0" fillId="5" borderId="16" xfId="0" applyNumberFormat="1" applyFill="1" applyBorder="1" applyAlignment="1">
      <alignment horizontal="center" vertical="center"/>
    </xf>
    <xf numFmtId="2" fontId="0" fillId="5" borderId="17" xfId="0" applyNumberFormat="1" applyFill="1" applyBorder="1" applyAlignment="1">
      <alignment horizontal="center" vertical="center"/>
    </xf>
    <xf numFmtId="0" fontId="25" fillId="6" borderId="2" xfId="0" applyFont="1" applyFill="1" applyBorder="1"/>
    <xf numFmtId="0" fontId="0" fillId="5" borderId="0" xfId="0" applyFill="1"/>
    <xf numFmtId="0" fontId="0" fillId="5" borderId="9" xfId="0" applyFill="1" applyBorder="1"/>
    <xf numFmtId="0" fontId="0" fillId="2" borderId="1" xfId="0" applyFill="1" applyBorder="1"/>
    <xf numFmtId="166" fontId="0" fillId="5" borderId="0" xfId="0" applyNumberFormat="1" applyFill="1"/>
    <xf numFmtId="165" fontId="0" fillId="5" borderId="0" xfId="0" applyNumberFormat="1" applyFill="1"/>
    <xf numFmtId="0" fontId="0" fillId="5" borderId="15" xfId="0" applyFill="1" applyBorder="1"/>
    <xf numFmtId="0" fontId="0" fillId="5" borderId="17" xfId="0" applyFill="1" applyBorder="1"/>
    <xf numFmtId="0" fontId="0" fillId="5" borderId="0" xfId="0" applyFill="1" applyAlignment="1">
      <alignment horizontal="right"/>
    </xf>
    <xf numFmtId="165" fontId="0" fillId="5" borderId="16" xfId="0" applyNumberFormat="1" applyFill="1" applyBorder="1"/>
    <xf numFmtId="0" fontId="0" fillId="5" borderId="2" xfId="0" applyFill="1" applyBorder="1"/>
    <xf numFmtId="0" fontId="25" fillId="5" borderId="4" xfId="0" applyFont="1" applyFill="1" applyBorder="1"/>
    <xf numFmtId="0" fontId="0" fillId="5" borderId="4" xfId="0" applyFill="1" applyBorder="1"/>
    <xf numFmtId="0" fontId="8" fillId="5" borderId="4" xfId="0" applyFont="1" applyFill="1" applyBorder="1"/>
    <xf numFmtId="0" fontId="0" fillId="5" borderId="3" xfId="0" applyFill="1" applyBorder="1"/>
    <xf numFmtId="0" fontId="25" fillId="5" borderId="0" xfId="0" applyFont="1" applyFill="1"/>
    <xf numFmtId="0" fontId="8" fillId="5" borderId="0" xfId="0" applyFont="1" applyFill="1"/>
    <xf numFmtId="0" fontId="0" fillId="5" borderId="0" xfId="0" applyFill="1" applyAlignment="1">
      <alignment wrapText="1"/>
    </xf>
    <xf numFmtId="0" fontId="0" fillId="2" borderId="1" xfId="0" applyFill="1" applyBorder="1" applyAlignment="1">
      <alignment horizontal="center"/>
    </xf>
    <xf numFmtId="0" fontId="6" fillId="5" borderId="0" xfId="0" applyFont="1" applyFill="1" applyAlignment="1">
      <alignment horizontal="left"/>
    </xf>
    <xf numFmtId="0" fontId="0" fillId="5" borderId="9" xfId="0" applyFill="1" applyBorder="1" applyAlignment="1">
      <alignment wrapText="1"/>
    </xf>
    <xf numFmtId="0" fontId="6" fillId="5" borderId="0" xfId="0" applyFont="1" applyFill="1"/>
    <xf numFmtId="0" fontId="0" fillId="5" borderId="0" xfId="0" applyFill="1" applyAlignment="1">
      <alignment vertical="center"/>
    </xf>
    <xf numFmtId="0" fontId="0" fillId="5" borderId="0" xfId="0" applyFill="1" applyAlignment="1">
      <alignment horizontal="right" wrapText="1"/>
    </xf>
    <xf numFmtId="1" fontId="0" fillId="2" borderId="1" xfId="0" applyNumberFormat="1" applyFill="1" applyBorder="1" applyAlignment="1">
      <alignment horizontal="center"/>
    </xf>
    <xf numFmtId="0" fontId="4" fillId="5" borderId="0" xfId="1" applyFont="1" applyFill="1"/>
    <xf numFmtId="0" fontId="18" fillId="11" borderId="2" xfId="0" applyFont="1" applyFill="1" applyBorder="1" applyAlignment="1">
      <alignment horizontal="right"/>
    </xf>
    <xf numFmtId="0" fontId="0" fillId="11" borderId="4" xfId="0" applyFill="1" applyBorder="1"/>
    <xf numFmtId="0" fontId="0" fillId="11" borderId="3" xfId="0" applyFill="1" applyBorder="1"/>
    <xf numFmtId="0" fontId="8" fillId="11" borderId="8" xfId="0" applyFont="1" applyFill="1" applyBorder="1" applyAlignment="1">
      <alignment horizontal="right"/>
    </xf>
    <xf numFmtId="0" fontId="0" fillId="11" borderId="0" xfId="0" applyFill="1"/>
    <xf numFmtId="0" fontId="0" fillId="11" borderId="9" xfId="0" applyFill="1" applyBorder="1"/>
    <xf numFmtId="0" fontId="0" fillId="11" borderId="8" xfId="0" applyFill="1" applyBorder="1" applyAlignment="1">
      <alignment horizontal="right" vertical="center" wrapText="1"/>
    </xf>
    <xf numFmtId="1" fontId="0" fillId="11" borderId="0" xfId="0" applyNumberFormat="1" applyFill="1" applyAlignment="1">
      <alignment horizontal="center" vertical="center"/>
    </xf>
    <xf numFmtId="0" fontId="0" fillId="11" borderId="15" xfId="0" applyFill="1" applyBorder="1" applyAlignment="1">
      <alignment horizontal="right" wrapText="1"/>
    </xf>
    <xf numFmtId="1" fontId="0" fillId="11" borderId="16" xfId="0" applyNumberFormat="1" applyFill="1" applyBorder="1" applyAlignment="1">
      <alignment horizontal="center" vertical="center"/>
    </xf>
    <xf numFmtId="0" fontId="0" fillId="11" borderId="16" xfId="0" applyFill="1" applyBorder="1"/>
    <xf numFmtId="0" fontId="0" fillId="11" borderId="17" xfId="0" applyFill="1" applyBorder="1"/>
    <xf numFmtId="166" fontId="14" fillId="2" borderId="0" xfId="0" applyNumberFormat="1" applyFont="1" applyFill="1"/>
    <xf numFmtId="9" fontId="14" fillId="2" borderId="0" xfId="0" applyNumberFormat="1" applyFont="1" applyFill="1"/>
    <xf numFmtId="0" fontId="5" fillId="2" borderId="0" xfId="0" applyFont="1" applyFill="1" applyAlignment="1">
      <alignment vertical="center"/>
    </xf>
    <xf numFmtId="0" fontId="18" fillId="2" borderId="0" xfId="0" applyFont="1" applyFill="1" applyAlignment="1">
      <alignment vertical="center"/>
    </xf>
    <xf numFmtId="0" fontId="32" fillId="2" borderId="0" xfId="0" applyFont="1" applyFill="1"/>
    <xf numFmtId="0" fontId="33" fillId="2" borderId="0" xfId="0" applyFont="1" applyFill="1" applyAlignment="1">
      <alignment wrapText="1"/>
    </xf>
    <xf numFmtId="166" fontId="10" fillId="5" borderId="0" xfId="0" applyNumberFormat="1" applyFont="1" applyFill="1"/>
    <xf numFmtId="166" fontId="10" fillId="5" borderId="16" xfId="0" applyNumberFormat="1" applyFont="1" applyFill="1" applyBorder="1"/>
    <xf numFmtId="0" fontId="10" fillId="2" borderId="0" xfId="0" applyFont="1" applyFill="1" applyAlignment="1">
      <alignment horizontal="right"/>
    </xf>
    <xf numFmtId="166" fontId="10" fillId="2" borderId="0" xfId="0" applyNumberFormat="1" applyFont="1" applyFill="1"/>
    <xf numFmtId="0" fontId="8" fillId="2" borderId="0" xfId="0" applyFont="1" applyFill="1" applyAlignment="1">
      <alignment horizontal="right"/>
    </xf>
    <xf numFmtId="165" fontId="0" fillId="10" borderId="9" xfId="0" applyNumberFormat="1" applyFill="1" applyBorder="1" applyAlignment="1">
      <alignment horizontal="center"/>
    </xf>
    <xf numFmtId="1" fontId="0" fillId="10" borderId="9" xfId="0" applyNumberFormat="1" applyFill="1" applyBorder="1" applyAlignment="1">
      <alignment horizontal="center"/>
    </xf>
    <xf numFmtId="1" fontId="0" fillId="10" borderId="8" xfId="0" applyNumberFormat="1" applyFill="1" applyBorder="1" applyAlignment="1">
      <alignment horizontal="left"/>
    </xf>
    <xf numFmtId="0" fontId="6" fillId="10" borderId="16" xfId="0" applyFont="1" applyFill="1" applyBorder="1" applyAlignment="1">
      <alignment horizontal="left"/>
    </xf>
    <xf numFmtId="1" fontId="0" fillId="10" borderId="9" xfId="0" applyNumberFormat="1" applyFill="1" applyBorder="1"/>
    <xf numFmtId="165" fontId="0" fillId="10" borderId="9" xfId="0" applyNumberFormat="1" applyFill="1" applyBorder="1" applyAlignment="1">
      <alignment horizontal="center" vertical="center"/>
    </xf>
    <xf numFmtId="166" fontId="0" fillId="10" borderId="9" xfId="0" applyNumberFormat="1" applyFill="1" applyBorder="1" applyAlignment="1">
      <alignment horizontal="center" vertical="center"/>
    </xf>
    <xf numFmtId="0" fontId="0" fillId="2" borderId="22" xfId="0" applyFill="1" applyBorder="1" applyAlignment="1">
      <alignment horizontal="right" wrapText="1"/>
    </xf>
    <xf numFmtId="1" fontId="0" fillId="2" borderId="22" xfId="0" applyNumberFormat="1" applyFill="1" applyBorder="1" applyAlignment="1">
      <alignment vertical="center"/>
    </xf>
    <xf numFmtId="166" fontId="0" fillId="2" borderId="22" xfId="0" applyNumberFormat="1" applyFill="1" applyBorder="1"/>
    <xf numFmtId="0" fontId="31" fillId="2" borderId="22" xfId="0" applyFont="1" applyFill="1" applyBorder="1"/>
    <xf numFmtId="0" fontId="0" fillId="2" borderId="0" xfId="0" applyFill="1" applyAlignment="1">
      <alignment horizontal="right" wrapText="1"/>
    </xf>
    <xf numFmtId="1" fontId="0" fillId="2" borderId="0" xfId="0" applyNumberFormat="1" applyFill="1" applyAlignment="1">
      <alignment vertical="center"/>
    </xf>
    <xf numFmtId="0" fontId="0" fillId="5" borderId="4" xfId="0" applyFill="1" applyBorder="1" applyAlignment="1">
      <alignment horizontal="center"/>
    </xf>
    <xf numFmtId="0" fontId="0" fillId="5" borderId="3" xfId="0" applyFill="1" applyBorder="1" applyAlignment="1">
      <alignment horizontal="center"/>
    </xf>
    <xf numFmtId="165" fontId="0" fillId="5" borderId="16" xfId="0" applyNumberFormat="1" applyFill="1" applyBorder="1" applyAlignment="1">
      <alignment horizontal="center"/>
    </xf>
    <xf numFmtId="2" fontId="0" fillId="5" borderId="16" xfId="0" applyNumberFormat="1" applyFill="1" applyBorder="1" applyAlignment="1">
      <alignment horizontal="center"/>
    </xf>
    <xf numFmtId="166" fontId="0" fillId="5" borderId="16" xfId="0" applyNumberFormat="1" applyFill="1" applyBorder="1" applyAlignment="1">
      <alignment horizontal="center"/>
    </xf>
    <xf numFmtId="2" fontId="0" fillId="5" borderId="17" xfId="0" applyNumberFormat="1" applyFill="1" applyBorder="1" applyAlignment="1">
      <alignment horizontal="center"/>
    </xf>
    <xf numFmtId="0" fontId="32" fillId="5" borderId="0" xfId="0" applyFont="1" applyFill="1"/>
    <xf numFmtId="9" fontId="0" fillId="2" borderId="0" xfId="2" applyNumberFormat="1" applyFont="1" applyFill="1"/>
    <xf numFmtId="0" fontId="0" fillId="5" borderId="0" xfId="0" applyFill="1" applyAlignment="1">
      <alignment horizontal="left" wrapText="1"/>
    </xf>
    <xf numFmtId="0" fontId="0" fillId="5" borderId="9" xfId="0" applyFill="1" applyBorder="1" applyAlignment="1">
      <alignment horizontal="left" wrapText="1"/>
    </xf>
    <xf numFmtId="0" fontId="0" fillId="5" borderId="0" xfId="0" applyFill="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xf>
    <xf numFmtId="0" fontId="8" fillId="5" borderId="0" xfId="0" applyFont="1" applyFill="1" applyAlignment="1">
      <alignment wrapText="1"/>
    </xf>
    <xf numFmtId="0" fontId="0" fillId="0" borderId="1" xfId="0" applyBorder="1" applyAlignment="1">
      <alignment horizontal="center"/>
    </xf>
    <xf numFmtId="0" fontId="10" fillId="5" borderId="0" xfId="0" applyFont="1" applyFill="1" applyAlignment="1">
      <alignment horizontal="left" vertical="center" wrapText="1"/>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29" fillId="2" borderId="0" xfId="0" applyFont="1" applyFill="1"/>
    <xf numFmtId="0" fontId="35" fillId="2" borderId="0" xfId="0" applyFont="1" applyFill="1"/>
    <xf numFmtId="0" fontId="27" fillId="2" borderId="0" xfId="0" applyFont="1" applyFill="1" applyAlignment="1">
      <alignment horizontal="left" vertical="center" wrapText="1"/>
    </xf>
    <xf numFmtId="0" fontId="27" fillId="2" borderId="0" xfId="0" applyFont="1" applyFill="1" applyAlignment="1">
      <alignment horizontal="left" wrapText="1"/>
    </xf>
    <xf numFmtId="0" fontId="36" fillId="2" borderId="0" xfId="0" applyFont="1" applyFill="1" applyAlignment="1">
      <alignment wrapText="1"/>
    </xf>
    <xf numFmtId="0" fontId="12" fillId="4" borderId="2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0" fillId="5" borderId="9" xfId="0" applyFont="1" applyFill="1" applyBorder="1" applyAlignment="1">
      <alignment horizontal="center"/>
    </xf>
    <xf numFmtId="0" fontId="10" fillId="5" borderId="17" xfId="0" applyFont="1" applyFill="1" applyBorder="1" applyAlignment="1">
      <alignment horizontal="center"/>
    </xf>
    <xf numFmtId="0" fontId="25" fillId="10" borderId="0" xfId="0" applyFont="1" applyFill="1"/>
    <xf numFmtId="0" fontId="0" fillId="2" borderId="0" xfId="0" applyFill="1" applyAlignment="1">
      <alignment horizontal="right" vertical="center" wrapText="1"/>
    </xf>
    <xf numFmtId="1" fontId="0" fillId="2" borderId="0" xfId="0" applyNumberFormat="1" applyFill="1"/>
    <xf numFmtId="0" fontId="17" fillId="2" borderId="0" xfId="0" applyFont="1" applyFill="1" applyAlignment="1">
      <alignment horizontal="right"/>
    </xf>
    <xf numFmtId="0" fontId="37" fillId="2" borderId="0" xfId="1" applyFont="1" applyFill="1"/>
    <xf numFmtId="166" fontId="11" fillId="2" borderId="22" xfId="0" applyNumberFormat="1" applyFont="1" applyFill="1" applyBorder="1"/>
    <xf numFmtId="0" fontId="6" fillId="5" borderId="0" xfId="0" applyFont="1" applyFill="1" applyAlignment="1">
      <alignment wrapText="1"/>
    </xf>
    <xf numFmtId="9" fontId="0" fillId="5" borderId="0" xfId="2" applyNumberFormat="1" applyFont="1" applyFill="1" applyAlignment="1">
      <alignment horizontal="center"/>
    </xf>
    <xf numFmtId="0" fontId="0" fillId="5" borderId="0" xfId="0" applyFill="1" applyAlignment="1">
      <alignment horizontal="left"/>
    </xf>
    <xf numFmtId="9" fontId="0" fillId="2" borderId="0" xfId="0" applyNumberFormat="1" applyFill="1"/>
    <xf numFmtId="0" fontId="0" fillId="2" borderId="2" xfId="0" applyFill="1" applyBorder="1"/>
    <xf numFmtId="0" fontId="17" fillId="2" borderId="4" xfId="0" applyFont="1" applyFill="1" applyBorder="1"/>
    <xf numFmtId="0" fontId="0" fillId="2" borderId="4" xfId="0" applyFill="1" applyBorder="1"/>
    <xf numFmtId="0" fontId="0" fillId="2" borderId="3" xfId="0" applyFill="1" applyBorder="1"/>
    <xf numFmtId="0" fontId="0" fillId="2" borderId="8" xfId="0" applyFill="1" applyBorder="1"/>
    <xf numFmtId="0" fontId="0" fillId="2" borderId="9" xfId="0" applyFill="1" applyBorder="1"/>
    <xf numFmtId="0" fontId="0" fillId="2" borderId="15" xfId="0" applyFill="1" applyBorder="1"/>
    <xf numFmtId="0" fontId="0" fillId="2" borderId="16" xfId="0" applyFill="1" applyBorder="1"/>
    <xf numFmtId="1" fontId="0" fillId="2" borderId="16" xfId="0" applyNumberFormat="1" applyFill="1" applyBorder="1"/>
    <xf numFmtId="0" fontId="0" fillId="2" borderId="17" xfId="0" applyFill="1" applyBorder="1"/>
    <xf numFmtId="0" fontId="18" fillId="12" borderId="0" xfId="0" applyFont="1" applyFill="1"/>
    <xf numFmtId="0" fontId="0" fillId="12" borderId="0" xfId="0" applyFill="1"/>
    <xf numFmtId="0" fontId="0" fillId="2" borderId="0" xfId="0" applyFill="1" applyAlignment="1">
      <alignment horizontal="center" vertical="center"/>
    </xf>
    <xf numFmtId="0" fontId="0" fillId="2" borderId="0" xfId="0" applyFill="1" applyAlignment="1">
      <alignment horizontal="left" vertical="center" wrapText="1"/>
    </xf>
    <xf numFmtId="0" fontId="0" fillId="2" borderId="0" xfId="0" applyFill="1" applyAlignment="1">
      <alignment wrapText="1"/>
    </xf>
    <xf numFmtId="0" fontId="0" fillId="10" borderId="0" xfId="0" applyFill="1" applyAlignment="1">
      <alignment horizontal="center" vertical="center"/>
    </xf>
    <xf numFmtId="0" fontId="0" fillId="10" borderId="0" xfId="0" applyFill="1" applyAlignment="1">
      <alignment horizontal="right"/>
    </xf>
    <xf numFmtId="0" fontId="0" fillId="10" borderId="0" xfId="0" applyFill="1" applyAlignment="1">
      <alignment horizontal="right" vertical="center"/>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0" fillId="5" borderId="0" xfId="0" applyFill="1" applyBorder="1" applyAlignment="1">
      <alignment horizontal="center"/>
    </xf>
    <xf numFmtId="0" fontId="0" fillId="13" borderId="0" xfId="0" applyFill="1" applyBorder="1"/>
    <xf numFmtId="0" fontId="3" fillId="13" borderId="1" xfId="3" applyFill="1" applyBorder="1" applyAlignment="1">
      <alignment vertical="center"/>
    </xf>
    <xf numFmtId="0" fontId="3" fillId="13" borderId="0" xfId="3" applyFill="1" applyAlignment="1">
      <alignment horizontal="right" vertical="center" wrapText="1"/>
    </xf>
    <xf numFmtId="165" fontId="3" fillId="13" borderId="0" xfId="4" applyNumberFormat="1" applyFont="1" applyFill="1" applyAlignment="1">
      <alignment horizontal="right" vertical="center"/>
    </xf>
    <xf numFmtId="2" fontId="3" fillId="13" borderId="1" xfId="3" applyNumberFormat="1" applyFill="1" applyBorder="1" applyAlignment="1">
      <alignment horizontal="right" vertical="center"/>
    </xf>
    <xf numFmtId="164" fontId="3" fillId="13" borderId="1" xfId="4" applyNumberFormat="1" applyFont="1" applyFill="1" applyBorder="1" applyAlignment="1">
      <alignment horizontal="right" vertical="center"/>
    </xf>
    <xf numFmtId="165" fontId="3" fillId="13" borderId="1" xfId="4" applyNumberFormat="1" applyFont="1" applyFill="1" applyBorder="1" applyAlignment="1">
      <alignment horizontal="right" vertical="center"/>
    </xf>
    <xf numFmtId="0" fontId="41" fillId="13" borderId="1" xfId="3" applyFont="1" applyFill="1" applyBorder="1" applyAlignment="1">
      <alignment vertical="center" wrapText="1"/>
    </xf>
    <xf numFmtId="0" fontId="0" fillId="10" borderId="16" xfId="0" applyFill="1" applyBorder="1" applyAlignment="1">
      <alignment horizontal="right" vertical="center"/>
    </xf>
    <xf numFmtId="0" fontId="41" fillId="2" borderId="0" xfId="0" applyFont="1" applyFill="1"/>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 fillId="2" borderId="0" xfId="0" applyFont="1" applyFill="1"/>
    <xf numFmtId="0" fontId="30" fillId="2" borderId="0" xfId="0" applyFont="1" applyFill="1" applyAlignment="1"/>
    <xf numFmtId="0" fontId="47" fillId="14" borderId="21" xfId="0" applyFont="1" applyFill="1" applyBorder="1" applyAlignment="1">
      <alignment vertical="center"/>
    </xf>
    <xf numFmtId="0" fontId="46" fillId="15" borderId="19" xfId="0" applyFont="1" applyFill="1" applyBorder="1" applyAlignment="1">
      <alignment horizontal="center" vertical="center"/>
    </xf>
    <xf numFmtId="0" fontId="0" fillId="0" borderId="1" xfId="0" applyFill="1" applyBorder="1" applyAlignment="1">
      <alignment horizontal="center"/>
    </xf>
    <xf numFmtId="0" fontId="0" fillId="0" borderId="0" xfId="0" applyFill="1"/>
    <xf numFmtId="0" fontId="10" fillId="5" borderId="0" xfId="0" applyFont="1" applyFill="1" applyBorder="1" applyAlignment="1">
      <alignment horizontal="center"/>
    </xf>
    <xf numFmtId="166" fontId="10" fillId="5" borderId="0" xfId="0" applyNumberFormat="1" applyFont="1" applyFill="1" applyBorder="1"/>
    <xf numFmtId="0" fontId="10" fillId="5" borderId="0" xfId="0" applyFont="1" applyFill="1" applyBorder="1"/>
    <xf numFmtId="0" fontId="0" fillId="13" borderId="0" xfId="0" applyFill="1"/>
    <xf numFmtId="166" fontId="11" fillId="5" borderId="0" xfId="0" applyNumberFormat="1" applyFont="1" applyFill="1" applyBorder="1"/>
    <xf numFmtId="0" fontId="11" fillId="5" borderId="0" xfId="0" applyFont="1" applyFill="1" applyBorder="1" applyAlignment="1">
      <alignment horizontal="center"/>
    </xf>
    <xf numFmtId="0" fontId="10" fillId="13" borderId="0" xfId="0" applyFont="1" applyFill="1" applyAlignment="1">
      <alignment horizontal="center"/>
    </xf>
    <xf numFmtId="0" fontId="4" fillId="13" borderId="0" xfId="1" applyFont="1" applyFill="1"/>
    <xf numFmtId="0" fontId="0" fillId="13" borderId="22" xfId="0" applyFill="1" applyBorder="1"/>
    <xf numFmtId="0" fontId="44" fillId="2" borderId="0" xfId="0" applyFont="1" applyFill="1"/>
    <xf numFmtId="0" fontId="50" fillId="2" borderId="0" xfId="0" applyFont="1" applyFill="1" applyAlignment="1">
      <alignment horizontal="left" wrapText="1"/>
    </xf>
    <xf numFmtId="166" fontId="11" fillId="13" borderId="0" xfId="0" applyNumberFormat="1" applyFont="1" applyFill="1"/>
    <xf numFmtId="0" fontId="52" fillId="2" borderId="0" xfId="0" applyFont="1" applyFill="1"/>
    <xf numFmtId="0" fontId="53" fillId="2" borderId="0" xfId="0" applyFont="1" applyFill="1"/>
    <xf numFmtId="0" fontId="54" fillId="13" borderId="0" xfId="0" applyFont="1" applyFill="1" applyAlignment="1">
      <alignment vertical="center"/>
    </xf>
    <xf numFmtId="0" fontId="55" fillId="13" borderId="0" xfId="0" applyFont="1" applyFill="1" applyAlignment="1">
      <alignment vertical="center"/>
    </xf>
    <xf numFmtId="0" fontId="56" fillId="2" borderId="0" xfId="0" applyFont="1" applyFill="1"/>
    <xf numFmtId="0" fontId="51" fillId="2" borderId="0" xfId="0" applyFont="1" applyFill="1" applyAlignment="1">
      <alignment horizontal="left"/>
    </xf>
    <xf numFmtId="0" fontId="43" fillId="2" borderId="0" xfId="0" applyFont="1" applyFill="1" applyAlignment="1">
      <alignment horizontal="left"/>
    </xf>
    <xf numFmtId="0" fontId="57" fillId="2" borderId="0" xfId="0" applyFont="1" applyFill="1" applyAlignment="1">
      <alignment horizontal="left"/>
    </xf>
    <xf numFmtId="0" fontId="61" fillId="2" borderId="0" xfId="0" applyFont="1" applyFill="1"/>
    <xf numFmtId="0" fontId="63" fillId="2" borderId="0" xfId="0" applyFont="1" applyFill="1"/>
    <xf numFmtId="0" fontId="65" fillId="2" borderId="0" xfId="0" applyFont="1" applyFill="1"/>
    <xf numFmtId="0" fontId="34" fillId="2" borderId="0" xfId="0" applyFont="1" applyFill="1" applyAlignment="1">
      <alignment horizontal="left"/>
    </xf>
    <xf numFmtId="0" fontId="55" fillId="2" borderId="0" xfId="0" applyFont="1" applyFill="1" applyAlignment="1">
      <alignment vertical="center"/>
    </xf>
    <xf numFmtId="0" fontId="8" fillId="5" borderId="8" xfId="0" applyFont="1" applyFill="1" applyBorder="1" applyAlignment="1">
      <alignment horizontal="left" vertical="center"/>
    </xf>
    <xf numFmtId="0" fontId="0" fillId="5" borderId="4" xfId="0" applyFill="1" applyBorder="1" applyAlignment="1">
      <alignment horizontal="center" vertical="center"/>
    </xf>
    <xf numFmtId="165" fontId="26" fillId="9" borderId="0" xfId="0" applyNumberFormat="1" applyFont="1" applyFill="1" applyAlignment="1">
      <alignment vertical="center"/>
    </xf>
    <xf numFmtId="165" fontId="26" fillId="9" borderId="9" xfId="0" applyNumberFormat="1" applyFont="1" applyFill="1" applyBorder="1" applyAlignment="1">
      <alignment vertical="center"/>
    </xf>
    <xf numFmtId="165" fontId="26" fillId="9" borderId="16" xfId="0" applyNumberFormat="1" applyFont="1" applyFill="1" applyBorder="1" applyAlignment="1">
      <alignment vertical="center"/>
    </xf>
    <xf numFmtId="165" fontId="26" fillId="9" borderId="17" xfId="0" applyNumberFormat="1" applyFont="1" applyFill="1" applyBorder="1" applyAlignment="1">
      <alignment vertical="center"/>
    </xf>
    <xf numFmtId="0" fontId="10" fillId="16" borderId="11" xfId="0" applyFont="1" applyFill="1" applyBorder="1" applyAlignment="1">
      <alignment horizontal="right"/>
    </xf>
    <xf numFmtId="0" fontId="10" fillId="16" borderId="12" xfId="0" applyFont="1" applyFill="1" applyBorder="1"/>
    <xf numFmtId="0" fontId="10" fillId="16" borderId="13" xfId="0" applyFont="1" applyFill="1" applyBorder="1" applyAlignment="1">
      <alignment horizontal="right"/>
    </xf>
    <xf numFmtId="0" fontId="10" fillId="16" borderId="14" xfId="0" applyFont="1" applyFill="1" applyBorder="1"/>
    <xf numFmtId="0" fontId="6" fillId="10" borderId="16" xfId="0" applyFont="1" applyFill="1" applyBorder="1" applyAlignment="1">
      <alignment vertical="center" wrapText="1"/>
    </xf>
    <xf numFmtId="0" fontId="6" fillId="10" borderId="17" xfId="0" applyFont="1" applyFill="1" applyBorder="1" applyAlignment="1">
      <alignment vertical="center" wrapText="1"/>
    </xf>
    <xf numFmtId="165" fontId="68" fillId="9" borderId="0" xfId="0" applyNumberFormat="1" applyFont="1" applyFill="1" applyAlignment="1">
      <alignment vertical="center"/>
    </xf>
    <xf numFmtId="0" fontId="8" fillId="10" borderId="0" xfId="0" applyFont="1" applyFill="1" applyBorder="1"/>
    <xf numFmtId="0" fontId="0" fillId="10" borderId="0" xfId="0" applyFill="1" applyBorder="1" applyAlignment="1">
      <alignment horizontal="center"/>
    </xf>
    <xf numFmtId="0" fontId="0" fillId="10" borderId="0" xfId="0" applyFill="1" applyBorder="1" applyAlignment="1">
      <alignment horizontal="right"/>
    </xf>
    <xf numFmtId="165" fontId="0" fillId="10" borderId="0" xfId="0" applyNumberFormat="1" applyFill="1" applyBorder="1" applyAlignment="1">
      <alignment horizontal="center"/>
    </xf>
    <xf numFmtId="0" fontId="6" fillId="10" borderId="0" xfId="0" applyFont="1" applyFill="1" applyBorder="1"/>
    <xf numFmtId="0" fontId="6" fillId="10" borderId="9" xfId="0" applyFont="1" applyFill="1" applyBorder="1"/>
    <xf numFmtId="1" fontId="0" fillId="10" borderId="16" xfId="0" applyNumberFormat="1" applyFill="1" applyBorder="1" applyAlignment="1">
      <alignment horizontal="center" vertical="center"/>
    </xf>
    <xf numFmtId="0" fontId="0" fillId="10" borderId="17" xfId="0" applyFill="1" applyBorder="1" applyAlignment="1">
      <alignment horizontal="center" vertical="center"/>
    </xf>
    <xf numFmtId="49" fontId="41" fillId="2" borderId="0" xfId="0" applyNumberFormat="1" applyFont="1" applyFill="1" applyAlignment="1">
      <alignment horizontal="left" wrapText="1"/>
    </xf>
    <xf numFmtId="0" fontId="58" fillId="2" borderId="0" xfId="0" applyFont="1" applyFill="1" applyAlignment="1">
      <alignment horizontal="left"/>
    </xf>
    <xf numFmtId="49" fontId="44" fillId="2" borderId="0" xfId="0" applyNumberFormat="1" applyFont="1" applyFill="1" applyAlignment="1">
      <alignment horizontal="left" vertical="top" wrapText="1"/>
    </xf>
    <xf numFmtId="49" fontId="10" fillId="2" borderId="0" xfId="0" applyNumberFormat="1" applyFont="1" applyFill="1" applyAlignment="1">
      <alignment horizontal="left" vertical="top" wrapText="1"/>
    </xf>
    <xf numFmtId="0" fontId="5" fillId="3" borderId="0" xfId="0" applyFont="1" applyFill="1" applyAlignment="1">
      <alignment horizontal="left" vertical="center"/>
    </xf>
    <xf numFmtId="0" fontId="5" fillId="3" borderId="0" xfId="0" applyFont="1" applyFill="1" applyAlignment="1">
      <alignment horizontal="center" vertical="center"/>
    </xf>
    <xf numFmtId="0" fontId="7" fillId="3" borderId="0" xfId="0" applyFont="1" applyFill="1" applyAlignment="1">
      <alignment horizontal="left" vertical="center" wrapText="1"/>
    </xf>
    <xf numFmtId="0" fontId="0" fillId="5" borderId="4" xfId="0" applyFill="1" applyBorder="1" applyAlignment="1">
      <alignment horizontal="left" vertical="center" wrapText="1"/>
    </xf>
    <xf numFmtId="0" fontId="18" fillId="7" borderId="5"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0" fillId="5" borderId="16" xfId="0" applyFill="1" applyBorder="1" applyAlignment="1">
      <alignment horizontal="left" vertical="center" wrapText="1"/>
    </xf>
    <xf numFmtId="0" fontId="0" fillId="5" borderId="4" xfId="0" applyFill="1" applyBorder="1" applyAlignment="1">
      <alignment horizontal="center" vertical="center"/>
    </xf>
    <xf numFmtId="0" fontId="0" fillId="5" borderId="0" xfId="0" applyFill="1" applyBorder="1" applyAlignment="1">
      <alignment horizontal="center" vertical="center"/>
    </xf>
    <xf numFmtId="0" fontId="0" fillId="5" borderId="0" xfId="0" applyFill="1" applyBorder="1" applyAlignment="1">
      <alignment horizontal="left" vertical="center" wrapText="1"/>
    </xf>
    <xf numFmtId="0" fontId="0" fillId="5" borderId="9" xfId="0" applyFill="1" applyBorder="1" applyAlignment="1">
      <alignment horizontal="left" vertical="center" wrapText="1"/>
    </xf>
    <xf numFmtId="0" fontId="55" fillId="13" borderId="0" xfId="0" applyFont="1" applyFill="1" applyAlignment="1">
      <alignment horizontal="left" vertical="center" wrapText="1"/>
    </xf>
    <xf numFmtId="0" fontId="13" fillId="2" borderId="0" xfId="0" applyFont="1" applyFill="1" applyAlignment="1">
      <alignment horizontal="center" vertical="center" wrapText="1"/>
    </xf>
    <xf numFmtId="0" fontId="16" fillId="2" borderId="4"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0" xfId="0" applyFont="1" applyFill="1" applyBorder="1" applyAlignment="1">
      <alignment horizontal="left" vertical="center" wrapText="1"/>
    </xf>
    <xf numFmtId="0" fontId="48" fillId="4" borderId="2"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48" fillId="4" borderId="5" xfId="0" applyFont="1" applyFill="1" applyBorder="1" applyAlignment="1">
      <alignment horizontal="center" vertical="center" wrapText="1"/>
    </xf>
    <xf numFmtId="0" fontId="12" fillId="4" borderId="10" xfId="0" applyFont="1" applyFill="1" applyBorder="1" applyAlignment="1">
      <alignment horizontal="center" vertical="center"/>
    </xf>
    <xf numFmtId="0" fontId="48" fillId="2" borderId="0" xfId="0" applyFont="1" applyFill="1" applyAlignment="1">
      <alignment horizontal="center" vertical="center" wrapText="1"/>
    </xf>
    <xf numFmtId="0" fontId="49" fillId="2" borderId="0" xfId="0" applyFont="1" applyFill="1" applyAlignment="1">
      <alignment horizontal="left" vertical="center" wrapText="1"/>
    </xf>
    <xf numFmtId="0" fontId="18" fillId="3" borderId="2" xfId="0" applyFont="1" applyFill="1" applyBorder="1" applyAlignment="1">
      <alignment horizontal="center"/>
    </xf>
    <xf numFmtId="0" fontId="18" fillId="3" borderId="4" xfId="0" applyFont="1" applyFill="1" applyBorder="1" applyAlignment="1">
      <alignment horizontal="center"/>
    </xf>
    <xf numFmtId="0" fontId="29" fillId="2" borderId="23" xfId="0" applyFont="1" applyFill="1" applyBorder="1" applyAlignment="1">
      <alignment horizontal="left"/>
    </xf>
    <xf numFmtId="0" fontId="6" fillId="5" borderId="0" xfId="0" applyFont="1" applyFill="1" applyAlignment="1">
      <alignment horizontal="left" vertical="center" wrapText="1"/>
    </xf>
    <xf numFmtId="0" fontId="6" fillId="5" borderId="9" xfId="0" applyFont="1" applyFill="1" applyBorder="1" applyAlignment="1">
      <alignment horizontal="left" vertical="center" wrapText="1"/>
    </xf>
    <xf numFmtId="0" fontId="0" fillId="10" borderId="8" xfId="0" applyFill="1" applyBorder="1" applyAlignment="1">
      <alignment horizontal="right" vertical="center" wrapText="1"/>
    </xf>
    <xf numFmtId="0" fontId="0" fillId="10" borderId="0" xfId="0" applyFill="1" applyAlignment="1">
      <alignment horizontal="right" vertical="center" wrapText="1"/>
    </xf>
    <xf numFmtId="0" fontId="0" fillId="10" borderId="0" xfId="0" applyFill="1" applyAlignment="1">
      <alignment horizontal="center" vertical="center"/>
    </xf>
    <xf numFmtId="0" fontId="6" fillId="10" borderId="0" xfId="0" applyFont="1" applyFill="1" applyAlignment="1">
      <alignment horizontal="left" wrapText="1"/>
    </xf>
    <xf numFmtId="0" fontId="47" fillId="14" borderId="24" xfId="0" applyFont="1" applyFill="1" applyBorder="1" applyAlignment="1">
      <alignment horizontal="right" vertical="center"/>
    </xf>
    <xf numFmtId="0" fontId="47" fillId="14" borderId="20" xfId="0" applyFont="1" applyFill="1" applyBorder="1" applyAlignment="1">
      <alignment horizontal="right" vertical="center"/>
    </xf>
    <xf numFmtId="0" fontId="67" fillId="13" borderId="0" xfId="0" applyFont="1" applyFill="1" applyAlignment="1">
      <alignment horizontal="left"/>
    </xf>
    <xf numFmtId="0" fontId="6" fillId="10" borderId="0" xfId="0" applyFont="1" applyFill="1" applyAlignment="1">
      <alignment horizontal="left" vertical="center" wrapText="1"/>
    </xf>
    <xf numFmtId="0" fontId="6" fillId="10" borderId="9" xfId="0" applyFont="1" applyFill="1" applyBorder="1" applyAlignment="1">
      <alignment horizontal="left" vertical="center" wrapText="1"/>
    </xf>
    <xf numFmtId="0" fontId="25" fillId="8" borderId="5"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1" fillId="2" borderId="0" xfId="0" applyFont="1" applyFill="1" applyAlignment="1">
      <alignment horizontal="left" wrapText="1"/>
    </xf>
    <xf numFmtId="0" fontId="18" fillId="3" borderId="3" xfId="0" applyFont="1" applyFill="1" applyBorder="1" applyAlignment="1">
      <alignment horizontal="center"/>
    </xf>
    <xf numFmtId="0" fontId="25" fillId="8" borderId="2" xfId="0" applyFont="1" applyFill="1" applyBorder="1" applyAlignment="1">
      <alignment horizontal="left" vertical="center"/>
    </xf>
    <xf numFmtId="0" fontId="25" fillId="8" borderId="8" xfId="0" applyFont="1" applyFill="1" applyBorder="1" applyAlignment="1">
      <alignment horizontal="left" vertical="center"/>
    </xf>
    <xf numFmtId="0" fontId="25" fillId="8" borderId="15" xfId="0" applyFont="1" applyFill="1" applyBorder="1" applyAlignment="1">
      <alignment horizontal="left" vertical="center"/>
    </xf>
    <xf numFmtId="0" fontId="26" fillId="9" borderId="4" xfId="0" applyFont="1" applyFill="1" applyBorder="1" applyAlignment="1">
      <alignment horizontal="left" vertical="center" wrapText="1"/>
    </xf>
    <xf numFmtId="0" fontId="26" fillId="9" borderId="3" xfId="0" applyFont="1" applyFill="1" applyBorder="1" applyAlignment="1">
      <alignment horizontal="left" vertical="center" wrapText="1"/>
    </xf>
    <xf numFmtId="0" fontId="26" fillId="9" borderId="0" xfId="0" applyFont="1" applyFill="1" applyAlignment="1">
      <alignment horizontal="left" vertical="center" wrapText="1"/>
    </xf>
    <xf numFmtId="0" fontId="26" fillId="9" borderId="9" xfId="0" applyFont="1" applyFill="1" applyBorder="1" applyAlignment="1">
      <alignment horizontal="left" vertical="center" wrapText="1"/>
    </xf>
    <xf numFmtId="0" fontId="26" fillId="9" borderId="16" xfId="0" applyFont="1" applyFill="1" applyBorder="1" applyAlignment="1">
      <alignment horizontal="left" vertical="center" wrapText="1"/>
    </xf>
    <xf numFmtId="0" fontId="26" fillId="9" borderId="17" xfId="0" applyFont="1" applyFill="1" applyBorder="1" applyAlignment="1">
      <alignment horizontal="left" vertical="center" wrapText="1"/>
    </xf>
    <xf numFmtId="0" fontId="61" fillId="2" borderId="0" xfId="0" applyFont="1" applyFill="1" applyAlignment="1">
      <alignment horizontal="left" vertical="center" wrapText="1"/>
    </xf>
    <xf numFmtId="0" fontId="19" fillId="2" borderId="0" xfId="0" applyFont="1" applyFill="1" applyAlignment="1">
      <alignment horizontal="left" vertical="center" wrapText="1"/>
    </xf>
    <xf numFmtId="0" fontId="19" fillId="2" borderId="0" xfId="0" applyFont="1" applyFill="1" applyAlignment="1">
      <alignment horizontal="left" wrapText="1"/>
    </xf>
    <xf numFmtId="0" fontId="62" fillId="2" borderId="0" xfId="0" applyFont="1" applyFill="1" applyAlignment="1">
      <alignment horizontal="left" wrapText="1"/>
    </xf>
    <xf numFmtId="0" fontId="20" fillId="2" borderId="0" xfId="0" applyFont="1" applyFill="1" applyAlignment="1">
      <alignment horizontal="left" wrapText="1"/>
    </xf>
    <xf numFmtId="0" fontId="12" fillId="4" borderId="2" xfId="0" applyFont="1" applyFill="1" applyBorder="1" applyAlignment="1">
      <alignment horizontal="center" vertical="center" wrapText="1"/>
    </xf>
    <xf numFmtId="0" fontId="6" fillId="5" borderId="0" xfId="0" applyFont="1" applyFill="1" applyAlignment="1">
      <alignment horizontal="left" wrapText="1"/>
    </xf>
    <xf numFmtId="0" fontId="6" fillId="5" borderId="9" xfId="0" applyFont="1" applyFill="1" applyBorder="1" applyAlignment="1">
      <alignment horizontal="left" wrapText="1"/>
    </xf>
    <xf numFmtId="0" fontId="0" fillId="5" borderId="0" xfId="0" applyFill="1" applyAlignment="1">
      <alignment horizontal="left" vertical="center" wrapText="1"/>
    </xf>
    <xf numFmtId="0" fontId="0" fillId="10" borderId="8" xfId="0" applyFill="1" applyBorder="1" applyAlignment="1">
      <alignment horizontal="right" vertical="center"/>
    </xf>
    <xf numFmtId="0" fontId="0" fillId="10" borderId="0" xfId="0" applyFill="1" applyAlignment="1">
      <alignment horizontal="right" vertical="center"/>
    </xf>
    <xf numFmtId="0" fontId="0" fillId="10" borderId="15" xfId="0" applyFill="1" applyBorder="1" applyAlignment="1">
      <alignment horizontal="right" vertical="center"/>
    </xf>
    <xf numFmtId="0" fontId="0" fillId="10" borderId="16" xfId="0" applyFill="1" applyBorder="1" applyAlignment="1">
      <alignment horizontal="right" vertical="center"/>
    </xf>
    <xf numFmtId="0" fontId="0" fillId="10" borderId="16" xfId="0" applyFill="1" applyBorder="1" applyAlignment="1">
      <alignment horizontal="center" vertical="center"/>
    </xf>
    <xf numFmtId="0" fontId="6" fillId="10" borderId="16" xfId="0" applyFont="1" applyFill="1" applyBorder="1" applyAlignment="1">
      <alignment horizontal="left" vertical="center" wrapText="1"/>
    </xf>
    <xf numFmtId="0" fontId="0" fillId="10" borderId="8" xfId="0" applyFill="1" applyBorder="1" applyAlignment="1">
      <alignment horizontal="right"/>
    </xf>
    <xf numFmtId="0" fontId="0" fillId="10" borderId="0" xfId="0" applyFill="1" applyAlignment="1">
      <alignment horizontal="right"/>
    </xf>
    <xf numFmtId="0" fontId="0" fillId="10" borderId="8" xfId="0" applyFill="1" applyBorder="1" applyAlignment="1">
      <alignment horizontal="right" wrapText="1"/>
    </xf>
    <xf numFmtId="0" fontId="0" fillId="10" borderId="0" xfId="0" applyFill="1" applyAlignment="1">
      <alignment horizontal="right" wrapText="1"/>
    </xf>
    <xf numFmtId="0" fontId="0" fillId="10" borderId="8" xfId="0" applyFill="1" applyBorder="1" applyAlignment="1">
      <alignment horizontal="center"/>
    </xf>
    <xf numFmtId="0" fontId="0" fillId="10" borderId="0" xfId="0" applyFill="1" applyAlignment="1">
      <alignment horizontal="center"/>
    </xf>
    <xf numFmtId="0" fontId="61" fillId="2" borderId="0" xfId="0" applyFont="1" applyFill="1" applyAlignment="1">
      <alignment horizontal="left" wrapText="1"/>
    </xf>
    <xf numFmtId="0" fontId="7" fillId="9" borderId="4" xfId="0" applyFont="1" applyFill="1" applyBorder="1" applyAlignment="1">
      <alignment horizontal="left" vertical="center"/>
    </xf>
    <xf numFmtId="0" fontId="7" fillId="9" borderId="16" xfId="0" applyFont="1" applyFill="1" applyBorder="1" applyAlignment="1">
      <alignment horizontal="left" vertical="center"/>
    </xf>
    <xf numFmtId="0" fontId="7" fillId="9" borderId="3" xfId="0" applyFont="1" applyFill="1" applyBorder="1" applyAlignment="1">
      <alignment horizontal="left" vertical="center"/>
    </xf>
    <xf numFmtId="0" fontId="7" fillId="9" borderId="17" xfId="0" applyFont="1" applyFill="1" applyBorder="1" applyAlignment="1">
      <alignment horizontal="left" vertical="center"/>
    </xf>
    <xf numFmtId="0" fontId="45" fillId="9" borderId="2" xfId="0" applyFont="1" applyFill="1" applyBorder="1" applyAlignment="1">
      <alignment horizontal="center" vertical="center" wrapText="1"/>
    </xf>
    <xf numFmtId="0" fontId="45" fillId="9" borderId="3" xfId="0" applyFont="1" applyFill="1" applyBorder="1" applyAlignment="1">
      <alignment horizontal="center" vertical="center" wrapText="1"/>
    </xf>
    <xf numFmtId="0" fontId="45" fillId="9" borderId="8" xfId="0" applyFont="1" applyFill="1" applyBorder="1" applyAlignment="1">
      <alignment horizontal="center" vertical="center" wrapText="1"/>
    </xf>
    <xf numFmtId="0" fontId="45" fillId="9" borderId="9" xfId="0" applyFont="1" applyFill="1" applyBorder="1" applyAlignment="1">
      <alignment horizontal="center" vertical="center" wrapText="1"/>
    </xf>
    <xf numFmtId="0" fontId="45" fillId="9" borderId="15" xfId="0" applyFont="1" applyFill="1" applyBorder="1" applyAlignment="1">
      <alignment horizontal="center" vertical="center" wrapText="1"/>
    </xf>
    <xf numFmtId="0" fontId="45" fillId="9" borderId="1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63" fillId="2" borderId="0" xfId="0" applyFont="1" applyFill="1" applyAlignment="1">
      <alignment horizontal="left" vertical="center" wrapText="1"/>
    </xf>
    <xf numFmtId="0" fontId="63" fillId="2" borderId="0" xfId="0" applyFont="1" applyFill="1" applyAlignment="1">
      <alignment horizontal="left" wrapText="1"/>
    </xf>
    <xf numFmtId="0" fontId="12" fillId="4" borderId="5" xfId="0" applyFont="1" applyFill="1" applyBorder="1" applyAlignment="1">
      <alignment horizontal="center" vertical="center"/>
    </xf>
    <xf numFmtId="165" fontId="26" fillId="9" borderId="0" xfId="0" applyNumberFormat="1" applyFont="1" applyFill="1" applyAlignment="1">
      <alignment horizontal="left" vertical="center"/>
    </xf>
    <xf numFmtId="165" fontId="26" fillId="9" borderId="9" xfId="0" applyNumberFormat="1" applyFont="1" applyFill="1" applyBorder="1" applyAlignment="1">
      <alignment horizontal="left" vertical="center"/>
    </xf>
    <xf numFmtId="165" fontId="26" fillId="9" borderId="16" xfId="0" applyNumberFormat="1" applyFont="1" applyFill="1" applyBorder="1" applyAlignment="1">
      <alignment horizontal="left" vertical="center"/>
    </xf>
    <xf numFmtId="165" fontId="26" fillId="9" borderId="17" xfId="0" applyNumberFormat="1" applyFont="1" applyFill="1" applyBorder="1" applyAlignment="1">
      <alignment horizontal="left" vertical="center"/>
    </xf>
  </cellXfs>
  <cellStyles count="6">
    <cellStyle name="Hyperlink" xfId="1" builtinId="8"/>
    <cellStyle name="Hyperlink 2" xfId="5" xr:uid="{63B72933-22C9-4465-8B16-29D717FD0F87}"/>
    <cellStyle name="Normal" xfId="0" builtinId="0"/>
    <cellStyle name="Normal 2" xfId="3" xr:uid="{0F60497F-F8CA-42B0-93C7-10185C148D69}"/>
    <cellStyle name="Percent" xfId="2" builtinId="5"/>
    <cellStyle name="Percent 2" xfId="4" xr:uid="{4C73DFFD-D846-4134-8508-D2C0B602E364}"/>
  </cellStyles>
  <dxfs count="2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dxf>
    <dxf>
      <numFmt numFmtId="0" formatCode="General"/>
      <fill>
        <patternFill patternType="solid">
          <fgColor rgb="FFC00000"/>
          <bgColor rgb="FFC00000"/>
        </patternFill>
      </fill>
    </dxf>
    <dxf>
      <font>
        <color auto="1"/>
      </font>
    </dxf>
    <dxf>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dxf>
    <dxf>
      <font>
        <color auto="1"/>
      </font>
    </dxf>
    <dxf>
      <numFmt numFmtId="0" formatCode="General"/>
      <fill>
        <patternFill patternType="solid">
          <fgColor rgb="FFC00000"/>
          <bgColor rgb="FFC00000"/>
        </patternFill>
      </fill>
    </dxf>
    <dxf>
      <font>
        <color theme="0"/>
      </font>
      <fill>
        <patternFill>
          <bgColor theme="0"/>
        </patternFill>
      </fill>
      <border>
        <left/>
        <right/>
        <top/>
        <bottom/>
        <vertical/>
        <horizontal/>
      </border>
    </dxf>
    <dxf>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dxf>
    <dxf>
      <font>
        <color auto="1"/>
      </font>
    </dxf>
    <dxf>
      <numFmt numFmtId="0" formatCode="General"/>
      <fill>
        <patternFill patternType="solid">
          <fgColor rgb="FFC00000"/>
          <bgColor rgb="FFC00000"/>
        </patternFill>
      </fill>
    </dxf>
    <dxf>
      <font>
        <color theme="0"/>
      </font>
      <fill>
        <patternFill>
          <bgColor theme="0"/>
        </patternFill>
      </fill>
      <border>
        <left/>
        <right/>
        <top/>
        <bottom/>
        <vertical/>
        <horizontal/>
      </border>
    </dxf>
    <dxf>
      <fill>
        <patternFill>
          <bgColor rgb="FFC00000"/>
        </patternFill>
      </fill>
    </dxf>
    <dxf>
      <font>
        <color theme="0"/>
      </font>
      <fill>
        <patternFill>
          <bgColor theme="0"/>
        </patternFill>
      </fill>
      <border>
        <left/>
        <right/>
        <top/>
        <bottom/>
        <vertical/>
        <horizontal/>
      </border>
    </dxf>
    <dxf>
      <numFmt numFmtId="0" formatCode="General"/>
      <fill>
        <patternFill patternType="solid">
          <fgColor rgb="FFC00000"/>
          <bgColor rgb="FFC00000"/>
        </patternFill>
      </fill>
    </dxf>
    <dxf>
      <numFmt numFmtId="0" formatCode="General"/>
      <fill>
        <patternFill patternType="solid">
          <fgColor rgb="FFC00000"/>
          <bgColor rgb="FFC00000"/>
        </patternFill>
      </fill>
    </dxf>
    <dxf>
      <numFmt numFmtId="0" formatCode="General"/>
      <fill>
        <patternFill patternType="solid">
          <fgColor rgb="FFC00000"/>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467845</xdr:colOff>
      <xdr:row>10</xdr:row>
      <xdr:rowOff>72737</xdr:rowOff>
    </xdr:from>
    <xdr:to>
      <xdr:col>10</xdr:col>
      <xdr:colOff>1582390</xdr:colOff>
      <xdr:row>29</xdr:row>
      <xdr:rowOff>141920</xdr:rowOff>
    </xdr:to>
    <xdr:pic>
      <xdr:nvPicPr>
        <xdr:cNvPr id="2" name="Picture 1">
          <a:extLst>
            <a:ext uri="{FF2B5EF4-FFF2-40B4-BE49-F238E27FC236}">
              <a16:creationId xmlns:a16="http://schemas.microsoft.com/office/drawing/2014/main" id="{7170A8DF-A247-4BA7-943F-D28C813F6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4" y="980413"/>
          <a:ext cx="2963516" cy="4394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414619</xdr:colOff>
      <xdr:row>9</xdr:row>
      <xdr:rowOff>33617</xdr:rowOff>
    </xdr:from>
    <xdr:ext cx="2685800" cy="264560"/>
    <xdr:sp macro="" textlink="">
      <xdr:nvSpPr>
        <xdr:cNvPr id="3" name="TextBox 2">
          <a:extLst>
            <a:ext uri="{FF2B5EF4-FFF2-40B4-BE49-F238E27FC236}">
              <a16:creationId xmlns:a16="http://schemas.microsoft.com/office/drawing/2014/main" id="{546B9953-7942-4468-BC36-12A7A2519A3E}"/>
            </a:ext>
          </a:extLst>
        </xdr:cNvPr>
        <xdr:cNvSpPr txBox="1"/>
      </xdr:nvSpPr>
      <xdr:spPr>
        <a:xfrm>
          <a:off x="10376648" y="2129117"/>
          <a:ext cx="2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Summary of feedstocks and key properties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344719</xdr:colOff>
      <xdr:row>0</xdr:row>
      <xdr:rowOff>36282</xdr:rowOff>
    </xdr:from>
    <xdr:to>
      <xdr:col>8</xdr:col>
      <xdr:colOff>1632703</xdr:colOff>
      <xdr:row>10</xdr:row>
      <xdr:rowOff>295078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xdr:blipFill>
      <xdr:spPr bwMode="auto">
        <a:xfrm>
          <a:off x="8890005" y="36282"/>
          <a:ext cx="2421912" cy="2786523"/>
        </a:xfrm>
        <a:prstGeom prst="rect">
          <a:avLst/>
        </a:prstGeom>
      </xdr:spPr>
    </xdr:pic>
    <xdr:clientData/>
  </xdr:twoCellAnchor>
  <xdr:twoCellAnchor editAs="oneCell">
    <xdr:from>
      <xdr:col>8</xdr:col>
      <xdr:colOff>1640656</xdr:colOff>
      <xdr:row>0</xdr:row>
      <xdr:rowOff>27210</xdr:rowOff>
    </xdr:from>
    <xdr:to>
      <xdr:col>9</xdr:col>
      <xdr:colOff>987271</xdr:colOff>
      <xdr:row>10</xdr:row>
      <xdr:rowOff>284415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xdr:blipFill>
      <xdr:spPr bwMode="auto">
        <a:xfrm>
          <a:off x="11319871" y="27212"/>
          <a:ext cx="1859402" cy="2784932"/>
        </a:xfrm>
        <a:prstGeom prst="rect">
          <a:avLst/>
        </a:prstGeom>
      </xdr:spPr>
    </xdr:pic>
    <xdr:clientData/>
  </xdr:twoCellAnchor>
  <xdr:twoCellAnchor editAs="oneCell">
    <xdr:from>
      <xdr:col>8</xdr:col>
      <xdr:colOff>87646</xdr:colOff>
      <xdr:row>11</xdr:row>
      <xdr:rowOff>247228</xdr:rowOff>
    </xdr:from>
    <xdr:to>
      <xdr:col>9</xdr:col>
      <xdr:colOff>656304</xdr:colOff>
      <xdr:row>26</xdr:row>
      <xdr:rowOff>233166</xdr:rowOff>
    </xdr:to>
    <xdr:pic>
      <xdr:nvPicPr>
        <xdr:cNvPr id="2" name="Picture 1">
          <a:extLst>
            <a:ext uri="{FF2B5EF4-FFF2-40B4-BE49-F238E27FC236}">
              <a16:creationId xmlns:a16="http://schemas.microsoft.com/office/drawing/2014/main" id="{1F7D0BC7-A52A-4D64-9E70-01D58C7431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15467" y="3322442"/>
          <a:ext cx="2963516" cy="4394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68037</xdr:colOff>
      <xdr:row>10</xdr:row>
      <xdr:rowOff>721178</xdr:rowOff>
    </xdr:from>
    <xdr:ext cx="2685800" cy="264560"/>
    <xdr:sp macro="" textlink="">
      <xdr:nvSpPr>
        <xdr:cNvPr id="3" name="TextBox 2">
          <a:extLst>
            <a:ext uri="{FF2B5EF4-FFF2-40B4-BE49-F238E27FC236}">
              <a16:creationId xmlns:a16="http://schemas.microsoft.com/office/drawing/2014/main" id="{C7A24886-0F5B-4CC6-A93E-68B6E4DC2850}"/>
            </a:ext>
          </a:extLst>
        </xdr:cNvPr>
        <xdr:cNvSpPr txBox="1"/>
      </xdr:nvSpPr>
      <xdr:spPr>
        <a:xfrm>
          <a:off x="10395858" y="3047999"/>
          <a:ext cx="2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Summary of feedstocks and key properties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1025070</xdr:colOff>
      <xdr:row>0</xdr:row>
      <xdr:rowOff>57897</xdr:rowOff>
    </xdr:from>
    <xdr:to>
      <xdr:col>9</xdr:col>
      <xdr:colOff>847911</xdr:colOff>
      <xdr:row>11</xdr:row>
      <xdr:rowOff>32794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xdr:blipFill>
      <xdr:spPr bwMode="auto">
        <a:xfrm>
          <a:off x="7783284" y="57897"/>
          <a:ext cx="7066644" cy="2738820"/>
        </a:xfrm>
        <a:prstGeom prst="rect">
          <a:avLst/>
        </a:prstGeom>
      </xdr:spPr>
    </xdr:pic>
    <xdr:clientData/>
  </xdr:twoCellAnchor>
  <xdr:twoCellAnchor editAs="oneCell">
    <xdr:from>
      <xdr:col>7</xdr:col>
      <xdr:colOff>452563</xdr:colOff>
      <xdr:row>11</xdr:row>
      <xdr:rowOff>451700</xdr:rowOff>
    </xdr:from>
    <xdr:to>
      <xdr:col>8</xdr:col>
      <xdr:colOff>2325034</xdr:colOff>
      <xdr:row>27</xdr:row>
      <xdr:rowOff>83853</xdr:rowOff>
    </xdr:to>
    <xdr:pic>
      <xdr:nvPicPr>
        <xdr:cNvPr id="3" name="Picture 2">
          <a:extLst>
            <a:ext uri="{FF2B5EF4-FFF2-40B4-BE49-F238E27FC236}">
              <a16:creationId xmlns:a16="http://schemas.microsoft.com/office/drawing/2014/main" id="{187A12A9-7518-4082-9465-94C87A0157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62945" y="3264376"/>
          <a:ext cx="2970648" cy="4383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432954</xdr:colOff>
      <xdr:row>11</xdr:row>
      <xdr:rowOff>177257</xdr:rowOff>
    </xdr:from>
    <xdr:ext cx="2685800" cy="264560"/>
    <xdr:sp macro="" textlink="">
      <xdr:nvSpPr>
        <xdr:cNvPr id="4" name="TextBox 3">
          <a:extLst>
            <a:ext uri="{FF2B5EF4-FFF2-40B4-BE49-F238E27FC236}">
              <a16:creationId xmlns:a16="http://schemas.microsoft.com/office/drawing/2014/main" id="{D57D3BF9-F321-4AF9-A563-A93BF69D5AB8}"/>
            </a:ext>
          </a:extLst>
        </xdr:cNvPr>
        <xdr:cNvSpPr txBox="1"/>
      </xdr:nvSpPr>
      <xdr:spPr>
        <a:xfrm>
          <a:off x="9543336" y="2989933"/>
          <a:ext cx="2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Summary of feedstocks and key properties</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944092</xdr:colOff>
      <xdr:row>0</xdr:row>
      <xdr:rowOff>85910</xdr:rowOff>
    </xdr:from>
    <xdr:to>
      <xdr:col>8</xdr:col>
      <xdr:colOff>1651514</xdr:colOff>
      <xdr:row>10</xdr:row>
      <xdr:rowOff>545886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xdr:blipFill>
      <xdr:spPr bwMode="auto">
        <a:xfrm>
          <a:off x="9146798" y="85910"/>
          <a:ext cx="5537157" cy="2869241"/>
        </a:xfrm>
        <a:prstGeom prst="rect">
          <a:avLst/>
        </a:prstGeom>
      </xdr:spPr>
    </xdr:pic>
    <xdr:clientData/>
  </xdr:twoCellAnchor>
  <xdr:twoCellAnchor editAs="oneCell">
    <xdr:from>
      <xdr:col>8</xdr:col>
      <xdr:colOff>1603567</xdr:colOff>
      <xdr:row>0</xdr:row>
      <xdr:rowOff>85908</xdr:rowOff>
    </xdr:from>
    <xdr:to>
      <xdr:col>11</xdr:col>
      <xdr:colOff>16008</xdr:colOff>
      <xdr:row>10</xdr:row>
      <xdr:rowOff>550106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xdr:blipFill>
      <xdr:spPr bwMode="auto">
        <a:xfrm>
          <a:off x="14311038" y="85908"/>
          <a:ext cx="2300882" cy="2873463"/>
        </a:xfrm>
        <a:prstGeom prst="rect">
          <a:avLst/>
        </a:prstGeom>
      </xdr:spPr>
    </xdr:pic>
    <xdr:clientData/>
  </xdr:twoCellAnchor>
  <xdr:twoCellAnchor editAs="oneCell">
    <xdr:from>
      <xdr:col>7</xdr:col>
      <xdr:colOff>403011</xdr:colOff>
      <xdr:row>11</xdr:row>
      <xdr:rowOff>167186</xdr:rowOff>
    </xdr:from>
    <xdr:to>
      <xdr:col>8</xdr:col>
      <xdr:colOff>971670</xdr:colOff>
      <xdr:row>28</xdr:row>
      <xdr:rowOff>51472</xdr:rowOff>
    </xdr:to>
    <xdr:pic>
      <xdr:nvPicPr>
        <xdr:cNvPr id="4" name="Picture 3">
          <a:extLst>
            <a:ext uri="{FF2B5EF4-FFF2-40B4-BE49-F238E27FC236}">
              <a16:creationId xmlns:a16="http://schemas.microsoft.com/office/drawing/2014/main" id="{AF793FEC-5B51-40B0-9DF9-1E7EBDDAF9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12423" y="3327245"/>
          <a:ext cx="2966718" cy="4389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492259</xdr:colOff>
      <xdr:row>10</xdr:row>
      <xdr:rowOff>649140</xdr:rowOff>
    </xdr:from>
    <xdr:ext cx="2685800" cy="264560"/>
    <xdr:sp macro="" textlink="">
      <xdr:nvSpPr>
        <xdr:cNvPr id="5" name="TextBox 4">
          <a:extLst>
            <a:ext uri="{FF2B5EF4-FFF2-40B4-BE49-F238E27FC236}">
              <a16:creationId xmlns:a16="http://schemas.microsoft.com/office/drawing/2014/main" id="{C1EEF926-4DAB-4003-96C4-55B50ECB5056}"/>
            </a:ext>
          </a:extLst>
        </xdr:cNvPr>
        <xdr:cNvSpPr txBox="1"/>
      </xdr:nvSpPr>
      <xdr:spPr>
        <a:xfrm>
          <a:off x="10801671" y="3058405"/>
          <a:ext cx="2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Summary of feedstocks and key properties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223630</xdr:colOff>
      <xdr:row>8</xdr:row>
      <xdr:rowOff>99391</xdr:rowOff>
    </xdr:from>
    <xdr:ext cx="6597062" cy="479298"/>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600-000009000000}"/>
                </a:ext>
              </a:extLst>
            </xdr:cNvPr>
            <xdr:cNvSpPr txBox="1"/>
          </xdr:nvSpPr>
          <xdr:spPr bwMode="auto">
            <a:xfrm>
              <a:off x="223630" y="861391"/>
              <a:ext cx="6597062" cy="4792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r>
                          <a:rPr lang="fr-CH" sz="1100" b="0" i="1">
                            <a:latin typeface="Cambria Math"/>
                          </a:rPr>
                          <m:t>𝐸𝑠𝑡𝑖𝑚𝑎𝑡𝑒𝑑</m:t>
                        </m:r>
                        <m:r>
                          <a:rPr lang="fr-CH" sz="1100" b="0" i="1">
                            <a:latin typeface="Cambria Math"/>
                          </a:rPr>
                          <m:t> </m:t>
                        </m:r>
                        <m:r>
                          <a:rPr lang="fr-CH" sz="1100" b="0" i="1">
                            <a:latin typeface="Cambria Math"/>
                          </a:rPr>
                          <m:t>𝑡𝑜𝑡𝑎𝑙</m:t>
                        </m:r>
                        <m:r>
                          <a:rPr lang="fr-CH" sz="1100" b="0" i="1">
                            <a:latin typeface="Cambria Math"/>
                          </a:rPr>
                          <m:t> </m:t>
                        </m:r>
                        <m:r>
                          <a:rPr lang="fr-CH" sz="1100" b="0" i="1">
                            <a:latin typeface="Cambria Math"/>
                          </a:rPr>
                          <m:t>𝑚𝑎𝑠𝑠</m:t>
                        </m:r>
                        <m:r>
                          <a:rPr lang="fr-CH" sz="1100" b="0" i="1">
                            <a:latin typeface="Cambria Math"/>
                          </a:rPr>
                          <m:t> </m:t>
                        </m:r>
                        <m:r>
                          <a:rPr lang="fr-CH" sz="1100" b="0" i="1">
                            <a:latin typeface="Cambria Math"/>
                          </a:rPr>
                          <m:t>𝑖𝑛</m:t>
                        </m:r>
                        <m:r>
                          <a:rPr lang="fr-CH" sz="1100" b="0" i="1">
                            <a:latin typeface="Cambria Math"/>
                          </a:rPr>
                          <m:t> </m:t>
                        </m:r>
                        <m:r>
                          <a:rPr lang="fr-CH" sz="1100" b="0" i="1">
                            <a:latin typeface="Cambria Math"/>
                          </a:rPr>
                          <m:t>𝑝𝑟𝑜𝑐𝑒𝑠𝑠</m:t>
                        </m:r>
                        <m:r>
                          <a:rPr lang="fr-CH" sz="1100" b="0" i="1">
                            <a:latin typeface="Cambria Math"/>
                          </a:rPr>
                          <m:t> </m:t>
                        </m:r>
                        <m:d>
                          <m:dPr>
                            <m:begChr m:val="["/>
                            <m:endChr m:val="]"/>
                            <m:ctrlPr>
                              <a:rPr lang="fr-CH" sz="1100" b="0" i="1">
                                <a:latin typeface="Cambria Math" panose="02040503050406030204" pitchFamily="18" charset="0"/>
                              </a:rPr>
                            </m:ctrlPr>
                          </m:dPr>
                          <m:e>
                            <m:r>
                              <a:rPr lang="fr-CH" sz="1100" b="0" i="1">
                                <a:latin typeface="Cambria Math"/>
                              </a:rPr>
                              <m:t>𝑘𝑔</m:t>
                            </m:r>
                          </m:e>
                        </m:d>
                        <m:r>
                          <a:rPr lang="fr-CH" sz="1100" b="0" i="1">
                            <a:latin typeface="Cambria Math"/>
                          </a:rPr>
                          <m:t>= </m:t>
                        </m:r>
                        <m:nary>
                          <m:naryPr>
                            <m:chr m:val="∑"/>
                            <m:ctrlPr>
                              <a:rPr lang="fr-CH" sz="1100" b="0" i="1">
                                <a:solidFill>
                                  <a:schemeClr val="tx1"/>
                                </a:solidFill>
                                <a:latin typeface="Cambria Math" panose="02040503050406030204" pitchFamily="18" charset="0"/>
                                <a:ea typeface="+mn-ea"/>
                                <a:cs typeface="+mn-cs"/>
                              </a:rPr>
                            </m:ctrlPr>
                          </m:naryPr>
                          <m:sub>
                            <m:r>
                              <m:rPr>
                                <m:brk m:alnAt="23"/>
                              </m:rPr>
                              <a:rPr lang="fr-CH" sz="1100" b="0" i="1">
                                <a:solidFill>
                                  <a:schemeClr val="tx1"/>
                                </a:solidFill>
                                <a:latin typeface="Cambria Math"/>
                                <a:ea typeface="+mn-ea"/>
                                <a:cs typeface="+mn-cs"/>
                              </a:rPr>
                              <m:t>𝑖</m:t>
                            </m:r>
                            <m:r>
                              <a:rPr lang="fr-CH" sz="1100" b="0" i="1">
                                <a:solidFill>
                                  <a:schemeClr val="tx1"/>
                                </a:solidFill>
                                <a:latin typeface="Cambria Math"/>
                                <a:ea typeface="+mn-ea"/>
                                <a:cs typeface="+mn-cs"/>
                              </a:rPr>
                              <m:t>=1</m:t>
                            </m:r>
                          </m:sub>
                          <m:sup>
                            <m:r>
                              <a:rPr lang="fr-CH" sz="1100" b="0" i="1">
                                <a:solidFill>
                                  <a:schemeClr val="tx1"/>
                                </a:solidFill>
                                <a:latin typeface="Cambria Math"/>
                                <a:ea typeface="+mn-ea"/>
                                <a:cs typeface="+mn-cs"/>
                              </a:rPr>
                              <m:t>𝑛</m:t>
                            </m:r>
                            <m:r>
                              <a:rPr lang="fr-CH" sz="1100" b="0" i="1">
                                <a:solidFill>
                                  <a:schemeClr val="tx1"/>
                                </a:solidFill>
                                <a:latin typeface="Cambria Math"/>
                                <a:ea typeface="+mn-ea"/>
                                <a:cs typeface="+mn-cs"/>
                              </a:rPr>
                              <m:t>=</m:t>
                            </m:r>
                            <m:r>
                              <a:rPr lang="fr-CH" sz="1100" b="0" i="1">
                                <a:solidFill>
                                  <a:schemeClr val="tx1"/>
                                </a:solidFill>
                                <a:latin typeface="Cambria Math"/>
                                <a:ea typeface="+mn-ea"/>
                                <a:cs typeface="+mn-cs"/>
                              </a:rPr>
                              <m:t>𝑡𝑜𝑡𝑎𝑙</m:t>
                            </m:r>
                            <m:r>
                              <a:rPr lang="fr-CH" sz="1100" b="0" i="1">
                                <a:solidFill>
                                  <a:schemeClr val="tx1"/>
                                </a:solidFill>
                                <a:latin typeface="Cambria Math"/>
                                <a:ea typeface="+mn-ea"/>
                                <a:cs typeface="+mn-cs"/>
                              </a:rPr>
                              <m:t> </m:t>
                            </m:r>
                            <m:r>
                              <a:rPr lang="fr-CH" sz="1100" b="0" i="1">
                                <a:solidFill>
                                  <a:schemeClr val="tx1"/>
                                </a:solidFill>
                                <a:latin typeface="Cambria Math"/>
                                <a:ea typeface="+mn-ea"/>
                                <a:cs typeface="+mn-cs"/>
                              </a:rPr>
                              <m:t>𝑝𝑟𝑜𝑐𝑒𝑠𝑠</m:t>
                            </m:r>
                            <m:r>
                              <a:rPr lang="fr-CH" sz="1100" b="0" i="1">
                                <a:solidFill>
                                  <a:schemeClr val="tx1"/>
                                </a:solidFill>
                                <a:latin typeface="Cambria Math"/>
                                <a:ea typeface="+mn-ea"/>
                                <a:cs typeface="+mn-cs"/>
                              </a:rPr>
                              <m:t> </m:t>
                            </m:r>
                            <m:r>
                              <a:rPr lang="fr-CH" sz="1100" b="0" i="1">
                                <a:solidFill>
                                  <a:schemeClr val="tx1"/>
                                </a:solidFill>
                                <a:latin typeface="Cambria Math"/>
                                <a:ea typeface="+mn-ea"/>
                                <a:cs typeface="+mn-cs"/>
                              </a:rPr>
                              <m:t>𝑑𝑎𝑦𝑠</m:t>
                            </m:r>
                          </m:sup>
                          <m:e>
                            <m:sSub>
                              <m:sSubPr>
                                <m:ctrlPr>
                                  <a:rPr lang="fr-CH" sz="1100" b="0" i="1">
                                    <a:solidFill>
                                      <a:schemeClr val="tx1"/>
                                    </a:solidFill>
                                    <a:latin typeface="Cambria Math" panose="02040503050406030204" pitchFamily="18" charset="0"/>
                                    <a:ea typeface="+mn-ea"/>
                                    <a:cs typeface="+mn-cs"/>
                                  </a:rPr>
                                </m:ctrlPr>
                              </m:sSubPr>
                              <m:e>
                                <m:r>
                                  <a:rPr lang="fr-CH" sz="1100" b="0" i="1">
                                    <a:solidFill>
                                      <a:schemeClr val="tx1"/>
                                    </a:solidFill>
                                    <a:latin typeface="Cambria Math"/>
                                    <a:ea typeface="+mn-ea"/>
                                    <a:cs typeface="+mn-cs"/>
                                  </a:rPr>
                                  <m:t>𝑀</m:t>
                                </m:r>
                              </m:e>
                              <m:sub>
                                <m:r>
                                  <a:rPr lang="fr-CH" sz="1100" b="0" i="1">
                                    <a:solidFill>
                                      <a:schemeClr val="tx1"/>
                                    </a:solidFill>
                                    <a:latin typeface="Cambria Math"/>
                                    <a:ea typeface="+mn-ea"/>
                                    <a:cs typeface="+mn-cs"/>
                                  </a:rPr>
                                  <m:t>𝑖</m:t>
                                </m:r>
                              </m:sub>
                            </m:sSub>
                          </m:e>
                        </m:nary>
                        <m:r>
                          <a:rPr lang="fr-CH" sz="1100" b="0" i="1">
                            <a:solidFill>
                              <a:schemeClr val="tx1"/>
                            </a:solidFill>
                            <a:latin typeface="Cambria Math"/>
                            <a:ea typeface="+mn-ea"/>
                            <a:cs typeface="+mn-cs"/>
                          </a:rPr>
                          <m:t>=</m:t>
                        </m:r>
                        <m:r>
                          <a:rPr lang="fr-CH" sz="1100" b="0" i="1">
                            <a:solidFill>
                              <a:schemeClr val="tx1"/>
                            </a:solidFill>
                            <a:latin typeface="Cambria Math"/>
                            <a:ea typeface="+mn-ea"/>
                            <a:cs typeface="+mn-cs"/>
                          </a:rPr>
                          <m:t>𝑛</m:t>
                        </m:r>
                        <m:r>
                          <a:rPr lang="fr-CH" sz="1100" b="0" i="1">
                            <a:solidFill>
                              <a:schemeClr val="tx1"/>
                            </a:solidFill>
                            <a:latin typeface="Cambria Math"/>
                            <a:ea typeface="Cambria Math"/>
                            <a:cs typeface="+mn-cs"/>
                          </a:rPr>
                          <m:t>∙</m:t>
                        </m:r>
                        <m:sSub>
                          <m:sSubPr>
                            <m:ctrlPr>
                              <a:rPr lang="fr-CH" sz="1100" b="0" i="1">
                                <a:solidFill>
                                  <a:schemeClr val="tx1"/>
                                </a:solidFill>
                                <a:latin typeface="Cambria Math" panose="02040503050406030204" pitchFamily="18" charset="0"/>
                                <a:ea typeface="Cambria Math"/>
                                <a:cs typeface="+mn-cs"/>
                              </a:rPr>
                            </m:ctrlPr>
                          </m:sSubPr>
                          <m:e>
                            <m:r>
                              <a:rPr lang="fr-CH" sz="1100" b="0" i="1">
                                <a:solidFill>
                                  <a:schemeClr val="tx1"/>
                                </a:solidFill>
                                <a:latin typeface="Cambria Math"/>
                                <a:ea typeface="Cambria Math"/>
                                <a:cs typeface="+mn-cs"/>
                              </a:rPr>
                              <m:t>𝑀</m:t>
                            </m:r>
                          </m:e>
                          <m:sub>
                            <m:r>
                              <a:rPr lang="fr-CH" sz="1100" b="0" i="1">
                                <a:solidFill>
                                  <a:schemeClr val="tx1"/>
                                </a:solidFill>
                                <a:latin typeface="Cambria Math"/>
                                <a:ea typeface="Cambria Math"/>
                                <a:cs typeface="+mn-cs"/>
                              </a:rPr>
                              <m:t>1</m:t>
                            </m:r>
                          </m:sub>
                        </m:sSub>
                        <m:r>
                          <a:rPr lang="fr-CH" sz="1100" b="0" i="1">
                            <a:solidFill>
                              <a:schemeClr val="tx1"/>
                            </a:solidFill>
                            <a:latin typeface="Cambria Math"/>
                            <a:ea typeface="Cambria Math"/>
                            <a:cs typeface="+mn-cs"/>
                          </a:rPr>
                          <m:t>−</m:t>
                        </m:r>
                        <m:d>
                          <m:dPr>
                            <m:ctrlPr>
                              <a:rPr lang="fr-CH" sz="1100" b="0" i="1">
                                <a:solidFill>
                                  <a:schemeClr val="tx1"/>
                                </a:solidFill>
                                <a:latin typeface="Cambria Math" panose="02040503050406030204" pitchFamily="18" charset="0"/>
                                <a:ea typeface="Cambria Math"/>
                                <a:cs typeface="+mn-cs"/>
                              </a:rPr>
                            </m:ctrlPr>
                          </m:dPr>
                          <m:e>
                            <m:d>
                              <m:dPr>
                                <m:ctrlPr>
                                  <a:rPr lang="fr-CH" sz="1100" b="0" i="1">
                                    <a:solidFill>
                                      <a:schemeClr val="tx1"/>
                                    </a:solidFill>
                                    <a:latin typeface="Cambria Math" panose="02040503050406030204" pitchFamily="18" charset="0"/>
                                    <a:ea typeface="+mn-ea"/>
                                    <a:cs typeface="+mn-cs"/>
                                  </a:rPr>
                                </m:ctrlPr>
                              </m:dPr>
                              <m:e>
                                <m:f>
                                  <m:fPr>
                                    <m:ctrlPr>
                                      <a:rPr lang="fr-CH" sz="1100" b="0" i="1">
                                        <a:solidFill>
                                          <a:schemeClr val="tx1"/>
                                        </a:solidFill>
                                        <a:latin typeface="Cambria Math" panose="02040503050406030204" pitchFamily="18" charset="0"/>
                                        <a:ea typeface="+mn-ea"/>
                                        <a:cs typeface="+mn-cs"/>
                                      </a:rPr>
                                    </m:ctrlPr>
                                  </m:fPr>
                                  <m:num>
                                    <m:d>
                                      <m:dPr>
                                        <m:ctrlPr>
                                          <a:rPr lang="fr-CH" sz="1100" b="0" i="1">
                                            <a:solidFill>
                                              <a:schemeClr val="tx1"/>
                                            </a:solidFill>
                                            <a:latin typeface="Cambria Math" panose="02040503050406030204" pitchFamily="18" charset="0"/>
                                            <a:ea typeface="+mn-ea"/>
                                            <a:cs typeface="+mn-cs"/>
                                          </a:rPr>
                                        </m:ctrlPr>
                                      </m:dPr>
                                      <m:e>
                                        <m:r>
                                          <a:rPr lang="fr-CH" sz="1100" b="0" i="1">
                                            <a:solidFill>
                                              <a:schemeClr val="tx1"/>
                                            </a:solidFill>
                                            <a:latin typeface="Cambria Math"/>
                                            <a:ea typeface="+mn-ea"/>
                                            <a:cs typeface="+mn-cs"/>
                                          </a:rPr>
                                          <m:t>𝑛</m:t>
                                        </m:r>
                                        <m:r>
                                          <a:rPr lang="fr-CH" sz="1100" b="0" i="1">
                                            <a:solidFill>
                                              <a:schemeClr val="tx1"/>
                                            </a:solidFill>
                                            <a:latin typeface="Cambria Math"/>
                                            <a:ea typeface="+mn-ea"/>
                                            <a:cs typeface="+mn-cs"/>
                                          </a:rPr>
                                          <m:t>+1</m:t>
                                        </m:r>
                                      </m:e>
                                    </m:d>
                                    <m:r>
                                      <a:rPr lang="fr-CH" sz="1100" b="0" i="1">
                                        <a:solidFill>
                                          <a:schemeClr val="tx1"/>
                                        </a:solidFill>
                                        <a:latin typeface="Cambria Math"/>
                                        <a:ea typeface="+mn-ea"/>
                                        <a:cs typeface="+mn-cs"/>
                                      </a:rPr>
                                      <m:t>∙</m:t>
                                    </m:r>
                                    <m:r>
                                      <a:rPr lang="fr-CH" sz="1100" b="0" i="1">
                                        <a:solidFill>
                                          <a:schemeClr val="tx1"/>
                                        </a:solidFill>
                                        <a:latin typeface="Cambria Math"/>
                                        <a:ea typeface="+mn-ea"/>
                                        <a:cs typeface="+mn-cs"/>
                                      </a:rPr>
                                      <m:t>𝑛</m:t>
                                    </m:r>
                                  </m:num>
                                  <m:den>
                                    <m:r>
                                      <a:rPr lang="fr-CH" sz="1100" b="0" i="1">
                                        <a:solidFill>
                                          <a:schemeClr val="tx1"/>
                                        </a:solidFill>
                                        <a:latin typeface="Cambria Math"/>
                                        <a:ea typeface="+mn-ea"/>
                                        <a:cs typeface="+mn-cs"/>
                                      </a:rPr>
                                      <m:t>2</m:t>
                                    </m:r>
                                  </m:den>
                                </m:f>
                              </m:e>
                            </m:d>
                            <m:r>
                              <a:rPr lang="fr-CH" sz="1100" b="0" i="1">
                                <a:solidFill>
                                  <a:schemeClr val="tx1"/>
                                </a:solidFill>
                                <a:latin typeface="Cambria Math"/>
                                <a:ea typeface="+mn-ea"/>
                                <a:cs typeface="+mn-cs"/>
                              </a:rPr>
                              <m:t>−</m:t>
                            </m:r>
                            <m:r>
                              <a:rPr lang="fr-CH" sz="1100" b="0" i="1">
                                <a:solidFill>
                                  <a:schemeClr val="tx1"/>
                                </a:solidFill>
                                <a:latin typeface="Cambria Math"/>
                                <a:ea typeface="+mn-ea"/>
                                <a:cs typeface="+mn-cs"/>
                              </a:rPr>
                              <m:t>𝑛</m:t>
                            </m:r>
                          </m:e>
                        </m:d>
                        <m:r>
                          <a:rPr lang="fr-CH" sz="1100" b="0" i="1">
                            <a:solidFill>
                              <a:schemeClr val="tx1"/>
                            </a:solidFill>
                            <a:latin typeface="Cambria Math"/>
                            <a:ea typeface="Cambria Math"/>
                            <a:cs typeface="+mn-cs"/>
                          </a:rPr>
                          <m:t>∙</m:t>
                        </m:r>
                        <m:d>
                          <m:dPr>
                            <m:ctrlPr>
                              <a:rPr lang="fr-CH" sz="1100" b="0" i="1">
                                <a:solidFill>
                                  <a:schemeClr val="tx1"/>
                                </a:solidFill>
                                <a:latin typeface="Cambria Math" panose="02040503050406030204" pitchFamily="18" charset="0"/>
                                <a:ea typeface="Cambria Math"/>
                                <a:cs typeface="+mn-cs"/>
                              </a:rPr>
                            </m:ctrlPr>
                          </m:dPr>
                          <m:e>
                            <m:f>
                              <m:fPr>
                                <m:ctrlPr>
                                  <a:rPr lang="fr-CH" sz="1100" b="0" i="1">
                                    <a:solidFill>
                                      <a:schemeClr val="tx1"/>
                                    </a:solidFill>
                                    <a:latin typeface="Cambria Math" panose="02040503050406030204" pitchFamily="18" charset="0"/>
                                    <a:ea typeface="Cambria Math"/>
                                    <a:cs typeface="+mn-cs"/>
                                  </a:rPr>
                                </m:ctrlPr>
                              </m:fPr>
                              <m:num>
                                <m:sSub>
                                  <m:sSubPr>
                                    <m:ctrlPr>
                                      <a:rPr lang="fr-CH" sz="1100" b="0" i="1">
                                        <a:solidFill>
                                          <a:schemeClr val="tx1"/>
                                        </a:solidFill>
                                        <a:latin typeface="Cambria Math" panose="02040503050406030204" pitchFamily="18" charset="0"/>
                                        <a:ea typeface="+mn-ea"/>
                                        <a:cs typeface="+mn-cs"/>
                                      </a:rPr>
                                    </m:ctrlPr>
                                  </m:sSubPr>
                                  <m:e>
                                    <m:r>
                                      <a:rPr lang="fr-CH" sz="1100" b="0" i="1">
                                        <a:solidFill>
                                          <a:schemeClr val="tx1"/>
                                        </a:solidFill>
                                        <a:latin typeface="Cambria Math"/>
                                        <a:ea typeface="+mn-ea"/>
                                        <a:cs typeface="+mn-cs"/>
                                      </a:rPr>
                                      <m:t>𝑚</m:t>
                                    </m:r>
                                  </m:e>
                                  <m:sub>
                                    <m:r>
                                      <a:rPr lang="fr-CH" sz="1100" b="0" i="1">
                                        <a:solidFill>
                                          <a:schemeClr val="tx1"/>
                                        </a:solidFill>
                                        <a:latin typeface="Cambria Math"/>
                                        <a:ea typeface="+mn-ea"/>
                                        <a:cs typeface="+mn-cs"/>
                                      </a:rPr>
                                      <m:t>𝑟</m:t>
                                    </m:r>
                                  </m:sub>
                                </m:sSub>
                                <m:r>
                                  <a:rPr lang="fr-CH" sz="1100" b="0" i="1">
                                    <a:solidFill>
                                      <a:schemeClr val="tx1"/>
                                    </a:solidFill>
                                    <a:latin typeface="Cambria Math"/>
                                    <a:ea typeface="Cambria Math"/>
                                    <a:cs typeface="+mn-cs"/>
                                  </a:rPr>
                                  <m:t>∙</m:t>
                                </m:r>
                                <m:sSub>
                                  <m:sSubPr>
                                    <m:ctrlPr>
                                      <a:rPr lang="fr-CH" sz="1100" b="0" i="1">
                                        <a:solidFill>
                                          <a:schemeClr val="tx1"/>
                                        </a:solidFill>
                                        <a:latin typeface="Cambria Math" panose="02040503050406030204" pitchFamily="18" charset="0"/>
                                        <a:ea typeface="+mn-ea"/>
                                        <a:cs typeface="+mn-cs"/>
                                      </a:rPr>
                                    </m:ctrlPr>
                                  </m:sSubPr>
                                  <m:e>
                                    <m:r>
                                      <a:rPr lang="fr-CH" sz="1100" b="0" i="1">
                                        <a:solidFill>
                                          <a:schemeClr val="tx1"/>
                                        </a:solidFill>
                                        <a:latin typeface="Cambria Math"/>
                                        <a:ea typeface="+mn-ea"/>
                                        <a:cs typeface="+mn-cs"/>
                                      </a:rPr>
                                      <m:t>𝑀</m:t>
                                    </m:r>
                                  </m:e>
                                  <m:sub>
                                    <m:r>
                                      <a:rPr lang="fr-CH" sz="1100" b="0" i="1">
                                        <a:solidFill>
                                          <a:schemeClr val="tx1"/>
                                        </a:solidFill>
                                        <a:latin typeface="Cambria Math"/>
                                        <a:ea typeface="+mn-ea"/>
                                        <a:cs typeface="+mn-cs"/>
                                      </a:rPr>
                                      <m:t>1</m:t>
                                    </m:r>
                                  </m:sub>
                                </m:sSub>
                              </m:num>
                              <m:den>
                                <m:r>
                                  <a:rPr lang="fr-CH" sz="1100" b="0" i="1">
                                    <a:solidFill>
                                      <a:schemeClr val="tx1"/>
                                    </a:solidFill>
                                    <a:latin typeface="Cambria Math"/>
                                    <a:ea typeface="Cambria Math"/>
                                    <a:cs typeface="+mn-cs"/>
                                  </a:rPr>
                                  <m:t>𝑛</m:t>
                                </m:r>
                                <m:r>
                                  <a:rPr lang="fr-CH" sz="1100" b="0" i="1">
                                    <a:solidFill>
                                      <a:schemeClr val="tx1"/>
                                    </a:solidFill>
                                    <a:latin typeface="Cambria Math"/>
                                    <a:ea typeface="Cambria Math"/>
                                    <a:cs typeface="+mn-cs"/>
                                  </a:rPr>
                                  <m:t>−1</m:t>
                                </m:r>
                              </m:den>
                            </m:f>
                          </m:e>
                        </m:d>
                      </m:oMath>
                    </m:oMathPara>
                  </a14:m>
                </mc:Choice>
                <mc:Fallback xmlns="" xmlns:r="http://schemas.openxmlformats.org/officeDocument/2006/relationships" xmlns:w="http://schemas.openxmlformats.org/wordprocessingml/2006/main" xmlns:m="http://schemas.openxmlformats.org/officeDocument/2006/math"/>
              </mc:AlternateContent>
              <a:endParaRPr lang="fr-CH" sz="1100"/>
            </a:p>
          </xdr:txBody>
        </xdr:sp>
      </mc:Choice>
      <mc:Fallback xmlns="">
        <xdr:sp macro="" textlink="">
          <xdr:nvSpPr>
            <xdr:cNvPr id="9" name="TextBox 8">
              <a:extLst>
                <a:ext uri="{FF2B5EF4-FFF2-40B4-BE49-F238E27FC236}">
                  <a16:creationId xmlns:a16="http://schemas.microsoft.com/office/drawing/2014/main" id="{00000000-0008-0000-0600-000009000000}"/>
                </a:ext>
              </a:extLst>
            </xdr:cNvPr>
            <xdr:cNvSpPr txBox="1"/>
          </xdr:nvSpPr>
          <xdr:spPr bwMode="auto">
            <a:xfrm>
              <a:off x="223630" y="861391"/>
              <a:ext cx="6597062" cy="4792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fr-CH" sz="1100" b="0" i="0">
                  <a:latin typeface="Cambria Math"/>
                </a:rPr>
                <a:t>𝐸𝑠𝑡𝑖𝑚𝑎𝑡𝑒𝑑 𝑡𝑜𝑡𝑎𝑙 𝑚𝑎𝑠𝑠 𝑖𝑛 𝑝𝑟𝑜𝑐𝑒𝑠𝑠 </a:t>
              </a:r>
              <a:r>
                <a:rPr lang="fr-CH" sz="1100" b="0" i="0">
                  <a:latin typeface="Cambria Math" panose="02040503050406030204" pitchFamily="18" charset="0"/>
                </a:rPr>
                <a:t>[</a:t>
              </a:r>
              <a:r>
                <a:rPr lang="fr-CH" sz="1100" b="0" i="0">
                  <a:latin typeface="Cambria Math"/>
                </a:rPr>
                <a:t>𝑘𝑔</a:t>
              </a:r>
              <a:r>
                <a:rPr lang="fr-CH" sz="1100" b="0" i="0">
                  <a:latin typeface="Cambria Math" panose="02040503050406030204" pitchFamily="18" charset="0"/>
                </a:rPr>
                <a:t>]</a:t>
              </a:r>
              <a:r>
                <a:rPr lang="fr-CH" sz="1100" b="0" i="0">
                  <a:latin typeface="Cambria Math"/>
                </a:rPr>
                <a:t>= </a:t>
              </a:r>
              <a:r>
                <a:rPr lang="fr-CH" sz="1100" b="0" i="0">
                  <a:solidFill>
                    <a:schemeClr val="tx1"/>
                  </a:solidFill>
                  <a:latin typeface="Cambria Math" panose="02040503050406030204" pitchFamily="18" charset="0"/>
                  <a:ea typeface="+mn-ea"/>
                  <a:cs typeface="+mn-cs"/>
                </a:rPr>
                <a:t>∑_(</a:t>
              </a:r>
              <a:r>
                <a:rPr lang="fr-CH" sz="1100" b="0" i="0">
                  <a:solidFill>
                    <a:schemeClr val="tx1"/>
                  </a:solidFill>
                  <a:latin typeface="Cambria Math"/>
                  <a:ea typeface="+mn-ea"/>
                  <a:cs typeface="+mn-cs"/>
                </a:rPr>
                <a:t>𝑖=1</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mn-ea"/>
                  <a:cs typeface="+mn-cs"/>
                </a:rPr>
                <a:t>𝑛=𝑡𝑜𝑡𝑎𝑙 𝑝𝑟𝑜𝑐𝑒𝑠𝑠 𝑑𝑎𝑦𝑠</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mn-ea"/>
                  <a:cs typeface="+mn-cs"/>
                </a:rPr>
                <a:t>𝑀</a:t>
              </a:r>
              <a:r>
                <a:rPr lang="fr-CH" sz="1100" b="0" i="0">
                  <a:solidFill>
                    <a:schemeClr val="tx1"/>
                  </a:solidFill>
                  <a:latin typeface="Cambria Math" panose="02040503050406030204" pitchFamily="18" charset="0"/>
                  <a:ea typeface="+mn-ea"/>
                  <a:cs typeface="+mn-cs"/>
                </a:rPr>
                <a:t>_</a:t>
              </a:r>
              <a:r>
                <a:rPr lang="fr-CH" sz="1100" b="0" i="0">
                  <a:solidFill>
                    <a:schemeClr val="tx1"/>
                  </a:solidFill>
                  <a:latin typeface="Cambria Math"/>
                  <a:ea typeface="+mn-ea"/>
                  <a:cs typeface="+mn-cs"/>
                </a:rPr>
                <a:t>𝑖</a:t>
              </a:r>
              <a:r>
                <a:rPr lang="fr-CH" sz="1100" b="0" i="0">
                  <a:solidFill>
                    <a:schemeClr val="tx1"/>
                  </a:solidFill>
                  <a:latin typeface="Cambria Math" panose="02040503050406030204" pitchFamily="18" charset="0"/>
                  <a:ea typeface="+mn-ea"/>
                  <a:cs typeface="+mn-cs"/>
                </a:rPr>
                <a:t> </a:t>
              </a:r>
              <a:r>
                <a:rPr lang="fr-CH" sz="1100" b="0" i="0">
                  <a:solidFill>
                    <a:schemeClr val="tx1"/>
                  </a:solidFill>
                  <a:latin typeface="Cambria Math"/>
                  <a:ea typeface="+mn-ea"/>
                  <a:cs typeface="+mn-cs"/>
                </a:rPr>
                <a:t>=𝑛</a:t>
              </a:r>
              <a:r>
                <a:rPr lang="fr-CH" sz="1100" b="0" i="0">
                  <a:solidFill>
                    <a:schemeClr val="tx1"/>
                  </a:solidFill>
                  <a:latin typeface="Cambria Math"/>
                  <a:ea typeface="Cambria Math"/>
                  <a:cs typeface="+mn-cs"/>
                </a:rPr>
                <a:t>∙𝑀</a:t>
              </a:r>
              <a:r>
                <a:rPr lang="fr-CH" sz="1100" b="0" i="0">
                  <a:solidFill>
                    <a:schemeClr val="tx1"/>
                  </a:solidFill>
                  <a:latin typeface="Cambria Math" panose="02040503050406030204" pitchFamily="18" charset="0"/>
                  <a:ea typeface="Cambria Math"/>
                  <a:cs typeface="+mn-cs"/>
                </a:rPr>
                <a:t>_</a:t>
              </a:r>
              <a:r>
                <a:rPr lang="fr-CH" sz="1100" b="0" i="0">
                  <a:solidFill>
                    <a:schemeClr val="tx1"/>
                  </a:solidFill>
                  <a:latin typeface="Cambria Math"/>
                  <a:ea typeface="Cambria Math"/>
                  <a:cs typeface="+mn-cs"/>
                </a:rPr>
                <a:t>1−</a:t>
              </a:r>
              <a:r>
                <a:rPr lang="fr-CH" sz="1100" b="0" i="0">
                  <a:solidFill>
                    <a:schemeClr val="tx1"/>
                  </a:solidFill>
                  <a:latin typeface="Cambria Math" panose="02040503050406030204" pitchFamily="18" charset="0"/>
                  <a:ea typeface="Cambria Math"/>
                  <a:cs typeface="+mn-cs"/>
                </a:rPr>
                <a:t>(</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mn-ea"/>
                  <a:cs typeface="+mn-cs"/>
                </a:rPr>
                <a:t>𝑛+1</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mn-ea"/>
                  <a:cs typeface="+mn-cs"/>
                </a:rPr>
                <a:t>∙𝑛</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mn-ea"/>
                  <a:cs typeface="+mn-cs"/>
                </a:rPr>
                <a:t>2</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mn-ea"/>
                  <a:cs typeface="+mn-cs"/>
                </a:rPr>
                <a:t>−𝑛</a:t>
              </a:r>
              <a:r>
                <a:rPr lang="fr-CH" sz="1100" b="0" i="0">
                  <a:solidFill>
                    <a:schemeClr val="tx1"/>
                  </a:solidFill>
                  <a:latin typeface="Cambria Math" panose="02040503050406030204" pitchFamily="18" charset="0"/>
                  <a:ea typeface="+mn-ea"/>
                  <a:cs typeface="+mn-cs"/>
                </a:rPr>
                <a:t>)</a:t>
              </a:r>
              <a:r>
                <a:rPr lang="fr-CH" sz="1100" b="0" i="0">
                  <a:solidFill>
                    <a:schemeClr val="tx1"/>
                  </a:solidFill>
                  <a:latin typeface="Cambria Math"/>
                  <a:ea typeface="Cambria Math"/>
                  <a:cs typeface="+mn-cs"/>
                </a:rPr>
                <a:t>∙</a:t>
              </a:r>
              <a:r>
                <a:rPr lang="fr-CH" sz="1100" b="0" i="0">
                  <a:solidFill>
                    <a:schemeClr val="tx1"/>
                  </a:solidFill>
                  <a:latin typeface="Cambria Math" panose="02040503050406030204" pitchFamily="18" charset="0"/>
                  <a:ea typeface="Cambria Math"/>
                  <a:cs typeface="+mn-cs"/>
                </a:rPr>
                <a:t>((</a:t>
              </a:r>
              <a:r>
                <a:rPr lang="fr-CH" sz="1100" b="0" i="0">
                  <a:solidFill>
                    <a:schemeClr val="tx1"/>
                  </a:solidFill>
                  <a:latin typeface="Cambria Math"/>
                  <a:ea typeface="+mn-ea"/>
                  <a:cs typeface="+mn-cs"/>
                </a:rPr>
                <a:t>𝑚</a:t>
              </a:r>
              <a:r>
                <a:rPr lang="fr-CH" sz="1100" b="0" i="0">
                  <a:solidFill>
                    <a:schemeClr val="tx1"/>
                  </a:solidFill>
                  <a:latin typeface="Cambria Math" panose="02040503050406030204" pitchFamily="18" charset="0"/>
                  <a:ea typeface="+mn-ea"/>
                  <a:cs typeface="+mn-cs"/>
                </a:rPr>
                <a:t>_</a:t>
              </a:r>
              <a:r>
                <a:rPr lang="fr-CH" sz="1100" b="0" i="0">
                  <a:solidFill>
                    <a:schemeClr val="tx1"/>
                  </a:solidFill>
                  <a:latin typeface="Cambria Math"/>
                  <a:ea typeface="+mn-ea"/>
                  <a:cs typeface="+mn-cs"/>
                </a:rPr>
                <a:t>𝑟</a:t>
              </a:r>
              <a:r>
                <a:rPr lang="fr-CH" sz="1100" b="0" i="0">
                  <a:solidFill>
                    <a:schemeClr val="tx1"/>
                  </a:solidFill>
                  <a:latin typeface="Cambria Math"/>
                  <a:ea typeface="Cambria Math"/>
                  <a:cs typeface="+mn-cs"/>
                </a:rPr>
                <a:t>∙</a:t>
              </a:r>
              <a:r>
                <a:rPr lang="fr-CH" sz="1100" b="0" i="0">
                  <a:solidFill>
                    <a:schemeClr val="tx1"/>
                  </a:solidFill>
                  <a:latin typeface="Cambria Math"/>
                  <a:ea typeface="+mn-ea"/>
                  <a:cs typeface="+mn-cs"/>
                </a:rPr>
                <a:t>𝑀</a:t>
              </a:r>
              <a:r>
                <a:rPr lang="fr-CH" sz="1100" b="0" i="0">
                  <a:solidFill>
                    <a:schemeClr val="tx1"/>
                  </a:solidFill>
                  <a:latin typeface="Cambria Math" panose="02040503050406030204" pitchFamily="18" charset="0"/>
                  <a:ea typeface="+mn-ea"/>
                  <a:cs typeface="+mn-cs"/>
                </a:rPr>
                <a:t>_</a:t>
              </a:r>
              <a:r>
                <a:rPr lang="fr-CH" sz="1100" b="0" i="0">
                  <a:solidFill>
                    <a:schemeClr val="tx1"/>
                  </a:solidFill>
                  <a:latin typeface="Cambria Math"/>
                  <a:ea typeface="+mn-ea"/>
                  <a:cs typeface="+mn-cs"/>
                </a:rPr>
                <a:t>1</a:t>
              </a:r>
              <a:r>
                <a:rPr lang="fr-CH" sz="1100" b="0" i="0">
                  <a:solidFill>
                    <a:schemeClr val="tx1"/>
                  </a:solidFill>
                  <a:latin typeface="Cambria Math" panose="02040503050406030204" pitchFamily="18" charset="0"/>
                  <a:ea typeface="Cambria Math"/>
                  <a:cs typeface="+mn-cs"/>
                </a:rPr>
                <a:t>)/(</a:t>
              </a:r>
              <a:r>
                <a:rPr lang="fr-CH" sz="1100" b="0" i="0">
                  <a:solidFill>
                    <a:schemeClr val="tx1"/>
                  </a:solidFill>
                  <a:latin typeface="Cambria Math"/>
                  <a:ea typeface="Cambria Math"/>
                  <a:cs typeface="+mn-cs"/>
                </a:rPr>
                <a:t>𝑛−1</a:t>
              </a:r>
              <a:r>
                <a:rPr lang="fr-CH" sz="1100" b="0" i="0">
                  <a:solidFill>
                    <a:schemeClr val="tx1"/>
                  </a:solidFill>
                  <a:latin typeface="Cambria Math" panose="02040503050406030204" pitchFamily="18" charset="0"/>
                  <a:ea typeface="Cambria Math"/>
                  <a:cs typeface="+mn-cs"/>
                </a:rPr>
                <a:t>))</a:t>
              </a:r>
              <a:endParaRPr lang="fr-CH" sz="1100"/>
            </a:p>
          </xdr:txBody>
        </xdr:sp>
      </mc:Fallback>
    </mc:AlternateContent>
    <xdr:clientData/>
  </xdr:oneCellAnchor>
  <xdr:oneCellAnchor>
    <xdr:from>
      <xdr:col>1</xdr:col>
      <xdr:colOff>223630</xdr:colOff>
      <xdr:row>11</xdr:row>
      <xdr:rowOff>63753</xdr:rowOff>
    </xdr:from>
    <xdr:ext cx="5645969" cy="172226"/>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600-00000A000000}"/>
                </a:ext>
              </a:extLst>
            </xdr:cNvPr>
            <xdr:cNvSpPr txBox="1"/>
          </xdr:nvSpPr>
          <xdr:spPr bwMode="auto">
            <a:xfrm>
              <a:off x="223630" y="1778254"/>
              <a:ext cx="5645969"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b>
                          <m:sSubPr>
                            <m:ctrlPr>
                              <a:rPr lang="fr-CH" sz="1100" i="1">
                                <a:latin typeface="Cambria Math" panose="02040503050406030204" pitchFamily="18" charset="0"/>
                              </a:rPr>
                            </m:ctrlPr>
                          </m:sSubPr>
                          <m:e>
                            <m:r>
                              <a:rPr lang="fr-CH" sz="1100" b="0" i="1">
                                <a:latin typeface="Cambria Math"/>
                              </a:rPr>
                              <m:t>𝑀</m:t>
                            </m:r>
                          </m:e>
                          <m:sub>
                            <m:r>
                              <a:rPr lang="fr-CH" sz="1100" b="0" i="1">
                                <a:latin typeface="Cambria Math"/>
                              </a:rPr>
                              <m:t>𝑖</m:t>
                            </m:r>
                          </m:sub>
                        </m:sSub>
                        <m:r>
                          <a:rPr lang="fr-CH" sz="1100" b="0" i="1">
                            <a:latin typeface="Cambria Math"/>
                          </a:rPr>
                          <m:t>=  </m:t>
                        </m:r>
                        <m:r>
                          <a:rPr lang="fr-CH" sz="1100" b="0" i="1">
                            <a:latin typeface="Cambria Math"/>
                          </a:rPr>
                          <m:t>𝑀𝑎𝑠𝑠</m:t>
                        </m:r>
                        <m:r>
                          <a:rPr lang="fr-CH" sz="1100" b="0" i="1">
                            <a:latin typeface="Cambria Math"/>
                          </a:rPr>
                          <m:t> </m:t>
                        </m:r>
                        <m:r>
                          <a:rPr lang="fr-CH" sz="1100" b="0" i="1">
                            <a:latin typeface="Cambria Math"/>
                          </a:rPr>
                          <m:t>𝑜𝑓</m:t>
                        </m:r>
                        <m:r>
                          <a:rPr lang="fr-CH" sz="1100" b="0" i="1">
                            <a:latin typeface="Cambria Math"/>
                          </a:rPr>
                          <m:t> </m:t>
                        </m:r>
                        <m:r>
                          <a:rPr lang="fr-CH" sz="1100" b="0" i="1">
                            <a:latin typeface="Cambria Math"/>
                          </a:rPr>
                          <m:t>𝑤𝑎𝑠𝑡𝑒</m:t>
                        </m:r>
                        <m:r>
                          <a:rPr lang="fr-CH" sz="1100" b="0" i="1">
                            <a:latin typeface="Cambria Math"/>
                          </a:rPr>
                          <m:t> </m:t>
                        </m:r>
                        <m:r>
                          <a:rPr lang="fr-CH" sz="1100" b="0" i="1">
                            <a:latin typeface="Cambria Math"/>
                          </a:rPr>
                          <m:t>𝑎𝑡</m:t>
                        </m:r>
                        <m:r>
                          <a:rPr lang="fr-CH" sz="1100" b="0" i="1">
                            <a:latin typeface="Cambria Math"/>
                          </a:rPr>
                          <m:t> </m:t>
                        </m:r>
                        <m:r>
                          <a:rPr lang="fr-CH" sz="1100" b="0" i="1">
                            <a:latin typeface="Cambria Math"/>
                          </a:rPr>
                          <m:t>𝑡h𝑒</m:t>
                        </m:r>
                        <m:r>
                          <a:rPr lang="fr-CH" sz="1100" b="0" i="1">
                            <a:latin typeface="Cambria Math"/>
                          </a:rPr>
                          <m:t> </m:t>
                        </m:r>
                        <m:r>
                          <a:rPr lang="fr-CH" sz="1100" b="0" i="1">
                            <a:latin typeface="Cambria Math"/>
                          </a:rPr>
                          <m:t>𝑖</m:t>
                        </m:r>
                        <m:r>
                          <a:rPr lang="fr-CH" sz="1100" b="0" i="1">
                            <a:latin typeface="Cambria Math"/>
                          </a:rPr>
                          <m:t> </m:t>
                        </m:r>
                        <m:r>
                          <a:rPr lang="fr-CH" sz="1100" b="0" i="1">
                            <a:latin typeface="Cambria Math"/>
                          </a:rPr>
                          <m:t>𝑑𝑎𝑦</m:t>
                        </m:r>
                        <m:r>
                          <a:rPr lang="fr-CH" sz="1100" b="0" i="1">
                            <a:latin typeface="Cambria Math"/>
                          </a:rPr>
                          <m:t> </m:t>
                        </m:r>
                        <m:r>
                          <a:rPr lang="fr-CH" sz="1100" b="0" i="1">
                            <a:latin typeface="Cambria Math"/>
                          </a:rPr>
                          <m:t>𝑎𝑓𝑡𝑒𝑟</m:t>
                        </m:r>
                        <m:r>
                          <a:rPr lang="fr-CH" sz="1100" b="0" i="1">
                            <a:latin typeface="Cambria Math"/>
                          </a:rPr>
                          <m:t> </m:t>
                        </m:r>
                        <m:r>
                          <a:rPr lang="fr-CH" sz="1100" b="0" i="1">
                            <a:latin typeface="Cambria Math"/>
                          </a:rPr>
                          <m:t>𝑒𝑛𝑡𝑒𝑟𝑖𝑛𝑔</m:t>
                        </m:r>
                        <m:r>
                          <a:rPr lang="fr-CH" sz="1100" b="0" i="1">
                            <a:latin typeface="Cambria Math"/>
                          </a:rPr>
                          <m:t> </m:t>
                        </m:r>
                        <m:r>
                          <a:rPr lang="fr-CH" sz="1100" b="0" i="1">
                            <a:latin typeface="Cambria Math"/>
                          </a:rPr>
                          <m:t>𝑡h𝑒</m:t>
                        </m:r>
                        <m:r>
                          <a:rPr lang="fr-CH" sz="1100" b="0" i="1">
                            <a:latin typeface="Cambria Math"/>
                          </a:rPr>
                          <m:t> </m:t>
                        </m:r>
                        <m:r>
                          <a:rPr lang="fr-CH" sz="1100" b="0" i="1">
                            <a:latin typeface="Cambria Math"/>
                          </a:rPr>
                          <m:t>𝑝𝑙𝑎𝑛𝑡</m:t>
                        </m:r>
                        <m:r>
                          <a:rPr lang="fr-CH" sz="1100" b="0" i="0">
                            <a:latin typeface="Cambria Math"/>
                          </a:rPr>
                          <m:t> (1 </m:t>
                        </m:r>
                        <m:r>
                          <m:rPr>
                            <m:sty m:val="p"/>
                          </m:rPr>
                          <a:rPr lang="fr-CH" sz="1100" b="0" i="0">
                            <a:latin typeface="Cambria Math"/>
                          </a:rPr>
                          <m:t>is</m:t>
                        </m:r>
                        <m:r>
                          <a:rPr lang="fr-CH" sz="1100" b="0" i="0">
                            <a:latin typeface="Cambria Math"/>
                          </a:rPr>
                          <m:t> </m:t>
                        </m:r>
                        <m:r>
                          <m:rPr>
                            <m:sty m:val="p"/>
                          </m:rPr>
                          <a:rPr lang="fr-CH" sz="1100" b="0" i="0">
                            <a:latin typeface="Cambria Math"/>
                          </a:rPr>
                          <m:t>the</m:t>
                        </m:r>
                        <m:r>
                          <a:rPr lang="fr-CH" sz="1100" b="0" i="0">
                            <a:latin typeface="Cambria Math"/>
                          </a:rPr>
                          <m:t> </m:t>
                        </m:r>
                        <m:r>
                          <m:rPr>
                            <m:sty m:val="p"/>
                          </m:rPr>
                          <a:rPr lang="fr-CH" sz="1100" b="0" i="0">
                            <a:latin typeface="Cambria Math"/>
                          </a:rPr>
                          <m:t>day</m:t>
                        </m:r>
                        <m:r>
                          <a:rPr lang="fr-CH" sz="1100" b="0" i="0">
                            <a:latin typeface="Cambria Math"/>
                          </a:rPr>
                          <m:t> </m:t>
                        </m:r>
                        <m:r>
                          <m:rPr>
                            <m:sty m:val="p"/>
                          </m:rPr>
                          <a:rPr lang="fr-CH" sz="1100" b="0" i="0">
                            <a:latin typeface="Cambria Math"/>
                          </a:rPr>
                          <m:t>entering</m:t>
                        </m:r>
                        <m:r>
                          <a:rPr lang="fr-CH" sz="1100" b="0" i="0">
                            <a:latin typeface="Cambria Math"/>
                          </a:rPr>
                          <m:t> </m:t>
                        </m:r>
                        <m:r>
                          <m:rPr>
                            <m:sty m:val="p"/>
                          </m:rPr>
                          <a:rPr lang="fr-CH" sz="1100" b="0" i="0">
                            <a:latin typeface="Cambria Math"/>
                          </a:rPr>
                          <m:t>the</m:t>
                        </m:r>
                        <m:r>
                          <a:rPr lang="fr-CH" sz="1100" b="0" i="0">
                            <a:latin typeface="Cambria Math"/>
                          </a:rPr>
                          <m:t> </m:t>
                        </m:r>
                        <m:r>
                          <m:rPr>
                            <m:sty m:val="p"/>
                          </m:rPr>
                          <a:rPr lang="fr-CH" sz="1100" b="0" i="0">
                            <a:latin typeface="Cambria Math"/>
                          </a:rPr>
                          <m:t>plant</m:t>
                        </m:r>
                        <m:r>
                          <a:rPr lang="fr-CH" sz="1100" b="0" i="0">
                            <a:latin typeface="Cambria Math"/>
                          </a:rPr>
                          <m:t>)</m:t>
                        </m:r>
                      </m:oMath>
                    </m:oMathPara>
                  </a14:m>
                </mc:Choice>
                <mc:Fallback xmlns="" xmlns:r="http://schemas.openxmlformats.org/officeDocument/2006/relationships" xmlns:w="http://schemas.openxmlformats.org/wordprocessingml/2006/main" xmlns:m="http://schemas.openxmlformats.org/officeDocument/2006/math"/>
              </mc:AlternateContent>
              <a:endParaRPr lang="fr-CH" sz="1100"/>
            </a:p>
          </xdr:txBody>
        </xdr:sp>
      </mc:Choice>
      <mc:Fallback xmlns="">
        <xdr:sp macro="" textlink="">
          <xdr:nvSpPr>
            <xdr:cNvPr id="10" name="TextBox 9">
              <a:extLst>
                <a:ext uri="{FF2B5EF4-FFF2-40B4-BE49-F238E27FC236}">
                  <a16:creationId xmlns:a16="http://schemas.microsoft.com/office/drawing/2014/main" id="{00000000-0008-0000-0600-00000A000000}"/>
                </a:ext>
              </a:extLst>
            </xdr:cNvPr>
            <xdr:cNvSpPr txBox="1"/>
          </xdr:nvSpPr>
          <xdr:spPr bwMode="auto">
            <a:xfrm>
              <a:off x="223630" y="1778254"/>
              <a:ext cx="5645969"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fr-CH" sz="1100" b="0" i="0">
                  <a:latin typeface="Cambria Math"/>
                </a:rPr>
                <a:t>𝑀</a:t>
              </a:r>
              <a:r>
                <a:rPr lang="fr-CH" sz="1100" b="0" i="0">
                  <a:latin typeface="Cambria Math" panose="02040503050406030204" pitchFamily="18" charset="0"/>
                </a:rPr>
                <a:t>_</a:t>
              </a:r>
              <a:r>
                <a:rPr lang="fr-CH" sz="1100" b="0" i="0">
                  <a:latin typeface="Cambria Math"/>
                </a:rPr>
                <a:t>𝑖=  𝑀𝑎𝑠𝑠 𝑜𝑓 𝑤𝑎𝑠𝑡𝑒 𝑎𝑡 𝑡ℎ𝑒 𝑖 𝑑𝑎𝑦 𝑎𝑓𝑡𝑒𝑟 𝑒𝑛𝑡𝑒𝑟𝑖𝑛𝑔 𝑡ℎ𝑒 𝑝𝑙𝑎𝑛𝑡 (1 is the day entering the plant)</a:t>
              </a:r>
              <a:endParaRPr lang="fr-CH" sz="1100"/>
            </a:p>
          </xdr:txBody>
        </xdr:sp>
      </mc:Fallback>
    </mc:AlternateContent>
    <xdr:clientData/>
  </xdr:oneCellAnchor>
  <xdr:oneCellAnchor>
    <xdr:from>
      <xdr:col>1</xdr:col>
      <xdr:colOff>223630</xdr:colOff>
      <xdr:row>13</xdr:row>
      <xdr:rowOff>44703</xdr:rowOff>
    </xdr:from>
    <xdr:ext cx="1496692" cy="172226"/>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600-00000B000000}"/>
                </a:ext>
              </a:extLst>
            </xdr:cNvPr>
            <xdr:cNvSpPr txBox="1"/>
          </xdr:nvSpPr>
          <xdr:spPr bwMode="auto">
            <a:xfrm>
              <a:off x="223630" y="1759205"/>
              <a:ext cx="1496692"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b>
                          <m:sSubPr>
                            <m:ctrlPr>
                              <a:rPr lang="fr-CH" sz="1100" i="1">
                                <a:latin typeface="Cambria Math" panose="02040503050406030204" pitchFamily="18" charset="0"/>
                              </a:rPr>
                            </m:ctrlPr>
                          </m:sSubPr>
                          <m:e>
                            <m:r>
                              <a:rPr lang="fr-CH" sz="1100" b="0" i="1">
                                <a:latin typeface="Cambria Math"/>
                              </a:rPr>
                              <m:t>𝑀</m:t>
                            </m:r>
                          </m:e>
                          <m:sub>
                            <m:r>
                              <a:rPr lang="fr-CH" sz="1100" b="0" i="1">
                                <a:latin typeface="Cambria Math"/>
                              </a:rPr>
                              <m:t>𝑖</m:t>
                            </m:r>
                          </m:sub>
                        </m:sSub>
                        <m:r>
                          <a:rPr lang="fr-CH" sz="1100" b="0" i="1">
                            <a:latin typeface="Cambria Math"/>
                          </a:rPr>
                          <m:t>=  </m:t>
                        </m:r>
                        <m:sSub>
                          <m:sSubPr>
                            <m:ctrlPr>
                              <a:rPr lang="fr-CH" sz="1100" b="0" i="1">
                                <a:latin typeface="Cambria Math" panose="02040503050406030204" pitchFamily="18" charset="0"/>
                              </a:rPr>
                            </m:ctrlPr>
                          </m:sSubPr>
                          <m:e>
                            <m:r>
                              <a:rPr lang="fr-CH" sz="1100" b="0" i="1">
                                <a:latin typeface="Cambria Math"/>
                              </a:rPr>
                              <m:t>𝑀</m:t>
                            </m:r>
                          </m:e>
                          <m:sub>
                            <m:r>
                              <a:rPr lang="fr-CH" sz="1100" b="0" i="1">
                                <a:latin typeface="Cambria Math"/>
                              </a:rPr>
                              <m:t>1</m:t>
                            </m:r>
                          </m:sub>
                        </m:sSub>
                        <m:r>
                          <a:rPr lang="fr-CH" sz="1100" b="0" i="1">
                            <a:latin typeface="Cambria Math"/>
                          </a:rPr>
                          <m:t>−(</m:t>
                        </m:r>
                        <m:r>
                          <a:rPr lang="fr-CH" sz="1100" b="0" i="1">
                            <a:latin typeface="Cambria Math"/>
                          </a:rPr>
                          <m:t>𝑖</m:t>
                        </m:r>
                        <m:r>
                          <a:rPr lang="fr-CH" sz="1100" b="0" i="1">
                            <a:latin typeface="Cambria Math"/>
                          </a:rPr>
                          <m:t>−1)∙∆</m:t>
                        </m:r>
                        <m:r>
                          <a:rPr lang="fr-CH" sz="1100" b="0" i="1">
                            <a:latin typeface="Cambria Math"/>
                            <a:ea typeface="Cambria Math"/>
                          </a:rPr>
                          <m:t>𝑚</m:t>
                        </m:r>
                      </m:oMath>
                    </m:oMathPara>
                  </a14:m>
                </mc:Choice>
                <mc:Fallback xmlns="" xmlns:r="http://schemas.openxmlformats.org/officeDocument/2006/relationships" xmlns:w="http://schemas.openxmlformats.org/wordprocessingml/2006/main" xmlns:m="http://schemas.openxmlformats.org/officeDocument/2006/math"/>
              </mc:AlternateContent>
              <a:endParaRPr lang="fr-CH" sz="1100"/>
            </a:p>
          </xdr:txBody>
        </xdr:sp>
      </mc:Choice>
      <mc:Fallback xmlns="">
        <xdr:sp macro="" textlink="">
          <xdr:nvSpPr>
            <xdr:cNvPr id="11" name="TextBox 10">
              <a:extLst>
                <a:ext uri="{FF2B5EF4-FFF2-40B4-BE49-F238E27FC236}">
                  <a16:creationId xmlns:a16="http://schemas.microsoft.com/office/drawing/2014/main" id="{00000000-0008-0000-0600-00000B000000}"/>
                </a:ext>
              </a:extLst>
            </xdr:cNvPr>
            <xdr:cNvSpPr txBox="1"/>
          </xdr:nvSpPr>
          <xdr:spPr bwMode="auto">
            <a:xfrm>
              <a:off x="223630" y="1759205"/>
              <a:ext cx="1496692"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fr-CH" sz="1100" b="0" i="0">
                  <a:latin typeface="Cambria Math"/>
                </a:rPr>
                <a:t>𝑀</a:t>
              </a:r>
              <a:r>
                <a:rPr lang="fr-CH" sz="1100" b="0" i="0">
                  <a:latin typeface="Cambria Math" panose="02040503050406030204" pitchFamily="18" charset="0"/>
                </a:rPr>
                <a:t>_</a:t>
              </a:r>
              <a:r>
                <a:rPr lang="fr-CH" sz="1100" b="0" i="0">
                  <a:latin typeface="Cambria Math"/>
                </a:rPr>
                <a:t>𝑖=  𝑀</a:t>
              </a:r>
              <a:r>
                <a:rPr lang="fr-CH" sz="1100" b="0" i="0">
                  <a:latin typeface="Cambria Math" panose="02040503050406030204" pitchFamily="18" charset="0"/>
                </a:rPr>
                <a:t>_</a:t>
              </a:r>
              <a:r>
                <a:rPr lang="fr-CH" sz="1100" b="0" i="0">
                  <a:latin typeface="Cambria Math"/>
                </a:rPr>
                <a:t>1−(𝑖−1)∙∆</a:t>
              </a:r>
              <a:r>
                <a:rPr lang="fr-CH" sz="1100" b="0" i="0">
                  <a:latin typeface="Cambria Math"/>
                  <a:ea typeface="Cambria Math"/>
                </a:rPr>
                <a:t>𝑚</a:t>
              </a:r>
              <a:endParaRPr lang="fr-CH" sz="1100"/>
            </a:p>
          </xdr:txBody>
        </xdr:sp>
      </mc:Fallback>
    </mc:AlternateContent>
    <xdr:clientData/>
  </xdr:oneCellAnchor>
  <xdr:oneCellAnchor>
    <xdr:from>
      <xdr:col>1</xdr:col>
      <xdr:colOff>223630</xdr:colOff>
      <xdr:row>15</xdr:row>
      <xdr:rowOff>13174</xdr:rowOff>
    </xdr:from>
    <xdr:ext cx="2019783" cy="172226"/>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600-00000C000000}"/>
                </a:ext>
              </a:extLst>
            </xdr:cNvPr>
            <xdr:cNvSpPr txBox="1"/>
          </xdr:nvSpPr>
          <xdr:spPr bwMode="auto">
            <a:xfrm>
              <a:off x="223630" y="2108674"/>
              <a:ext cx="2019784"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r>
                          <a:rPr lang="fr-CH" sz="1100" b="0" i="1">
                            <a:solidFill>
                              <a:schemeClr val="tx1"/>
                            </a:solidFill>
                            <a:latin typeface="Cambria Math"/>
                            <a:ea typeface="+mn-ea"/>
                            <a:cs typeface="+mn-cs"/>
                          </a:rPr>
                          <m:t>∆</m:t>
                        </m:r>
                        <m:r>
                          <a:rPr lang="fr-CH" sz="1100" b="0" i="1">
                            <a:solidFill>
                              <a:schemeClr val="tx1"/>
                            </a:solidFill>
                            <a:latin typeface="Cambria Math"/>
                            <a:ea typeface="+mn-ea"/>
                            <a:cs typeface="+mn-cs"/>
                          </a:rPr>
                          <m:t>𝑚</m:t>
                        </m:r>
                        <m:r>
                          <a:rPr lang="fr-CH" sz="1100" b="0" i="1">
                            <a:latin typeface="Cambria Math"/>
                          </a:rPr>
                          <m:t>=  </m:t>
                        </m:r>
                        <m:r>
                          <a:rPr lang="fr-CH" sz="1100" b="0" i="1">
                            <a:latin typeface="Cambria Math"/>
                          </a:rPr>
                          <m:t>𝑎𝑣𝑒𝑟𝑎𝑔𝑒</m:t>
                        </m:r>
                        <m:r>
                          <a:rPr lang="fr-CH" sz="1100" b="0" i="1">
                            <a:latin typeface="Cambria Math"/>
                          </a:rPr>
                          <m:t> </m:t>
                        </m:r>
                        <m:r>
                          <a:rPr lang="fr-CH" sz="1100" b="0" i="1">
                            <a:latin typeface="Cambria Math"/>
                          </a:rPr>
                          <m:t>𝑑𝑎𝑖𝑙𝑦</m:t>
                        </m:r>
                        <m:r>
                          <a:rPr lang="fr-CH" sz="1100" b="0" i="1">
                            <a:latin typeface="Cambria Math"/>
                          </a:rPr>
                          <m:t> </m:t>
                        </m:r>
                        <m:r>
                          <a:rPr lang="fr-CH" sz="1100" b="0" i="1">
                            <a:latin typeface="Cambria Math"/>
                          </a:rPr>
                          <m:t>𝑚𝑎𝑠𝑠</m:t>
                        </m:r>
                        <m:r>
                          <a:rPr lang="fr-CH" sz="1100" b="0" i="1">
                            <a:latin typeface="Cambria Math"/>
                          </a:rPr>
                          <m:t> </m:t>
                        </m:r>
                        <m:r>
                          <a:rPr lang="fr-CH" sz="1100" b="0" i="1">
                            <a:latin typeface="Cambria Math"/>
                          </a:rPr>
                          <m:t>𝑙𝑜𝑠𝑠</m:t>
                        </m:r>
                      </m:oMath>
                    </m:oMathPara>
                  </a14:m>
                </mc:Choice>
                <mc:Fallback xmlns="" xmlns:r="http://schemas.openxmlformats.org/officeDocument/2006/relationships" xmlns:w="http://schemas.openxmlformats.org/wordprocessingml/2006/main" xmlns:m="http://schemas.openxmlformats.org/officeDocument/2006/math"/>
              </mc:AlternateContent>
              <a:endParaRPr lang="fr-CH" sz="1100"/>
            </a:p>
          </xdr:txBody>
        </xdr:sp>
      </mc:Choice>
      <mc:Fallback xmlns="">
        <xdr:sp macro="" textlink="">
          <xdr:nvSpPr>
            <xdr:cNvPr id="12" name="TextBox 11">
              <a:extLst>
                <a:ext uri="{FF2B5EF4-FFF2-40B4-BE49-F238E27FC236}">
                  <a16:creationId xmlns:a16="http://schemas.microsoft.com/office/drawing/2014/main" id="{00000000-0008-0000-0600-00000C000000}"/>
                </a:ext>
              </a:extLst>
            </xdr:cNvPr>
            <xdr:cNvSpPr txBox="1"/>
          </xdr:nvSpPr>
          <xdr:spPr bwMode="auto">
            <a:xfrm>
              <a:off x="223630" y="2108674"/>
              <a:ext cx="2019784"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fr-CH" sz="1100" b="0" i="0">
                  <a:solidFill>
                    <a:schemeClr val="tx1"/>
                  </a:solidFill>
                  <a:latin typeface="Cambria Math"/>
                  <a:ea typeface="+mn-ea"/>
                  <a:cs typeface="+mn-cs"/>
                </a:rPr>
                <a:t>∆𝑚</a:t>
              </a:r>
              <a:r>
                <a:rPr lang="fr-CH" sz="1100" b="0" i="0">
                  <a:latin typeface="Cambria Math"/>
                </a:rPr>
                <a:t>=  𝑎𝑣𝑒𝑟𝑎𝑔𝑒 𝑑𝑎𝑖𝑙𝑦 𝑚𝑎𝑠𝑠 𝑙𝑜𝑠𝑠</a:t>
              </a:r>
              <a:endParaRPr lang="fr-CH" sz="1100"/>
            </a:p>
          </xdr:txBody>
        </xdr:sp>
      </mc:Fallback>
    </mc:AlternateContent>
    <xdr:clientData/>
  </xdr:oneCellAnchor>
  <xdr:oneCellAnchor>
    <xdr:from>
      <xdr:col>1</xdr:col>
      <xdr:colOff>223630</xdr:colOff>
      <xdr:row>16</xdr:row>
      <xdr:rowOff>80178</xdr:rowOff>
    </xdr:from>
    <xdr:ext cx="978280" cy="316882"/>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600-00000D000000}"/>
                </a:ext>
              </a:extLst>
            </xdr:cNvPr>
            <xdr:cNvSpPr txBox="1"/>
          </xdr:nvSpPr>
          <xdr:spPr bwMode="auto">
            <a:xfrm>
              <a:off x="223630" y="2366178"/>
              <a:ext cx="978280" cy="31688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r>
                          <a:rPr lang="fr-CH" sz="1100" b="0" i="1">
                            <a:solidFill>
                              <a:schemeClr val="tx1"/>
                            </a:solidFill>
                            <a:latin typeface="Cambria Math"/>
                            <a:ea typeface="+mn-ea"/>
                            <a:cs typeface="+mn-cs"/>
                          </a:rPr>
                          <m:t>∆</m:t>
                        </m:r>
                        <m:r>
                          <a:rPr lang="fr-CH" sz="1100" b="0" i="1">
                            <a:solidFill>
                              <a:schemeClr val="tx1"/>
                            </a:solidFill>
                            <a:latin typeface="Cambria Math"/>
                            <a:ea typeface="+mn-ea"/>
                            <a:cs typeface="+mn-cs"/>
                          </a:rPr>
                          <m:t>𝑚</m:t>
                        </m:r>
                        <m:r>
                          <a:rPr lang="fr-CH" sz="1100" b="0" i="1">
                            <a:latin typeface="Cambria Math"/>
                          </a:rPr>
                          <m:t>=  </m:t>
                        </m:r>
                        <m:f>
                          <m:fPr>
                            <m:ctrlPr>
                              <a:rPr lang="fr-CH" sz="1100" b="0" i="1">
                                <a:latin typeface="Cambria Math" panose="02040503050406030204" pitchFamily="18" charset="0"/>
                              </a:rPr>
                            </m:ctrlPr>
                          </m:fPr>
                          <m:num>
                            <m:sSub>
                              <m:sSubPr>
                                <m:ctrlPr>
                                  <a:rPr lang="fr-CH" sz="1100" b="0" i="1">
                                    <a:solidFill>
                                      <a:schemeClr val="tx1"/>
                                    </a:solidFill>
                                    <a:latin typeface="Cambria Math" panose="02040503050406030204" pitchFamily="18" charset="0"/>
                                    <a:ea typeface="+mn-ea"/>
                                    <a:cs typeface="+mn-cs"/>
                                  </a:rPr>
                                </m:ctrlPr>
                              </m:sSubPr>
                              <m:e>
                                <m:r>
                                  <a:rPr lang="fr-CH" sz="1100" b="0" i="1">
                                    <a:solidFill>
                                      <a:schemeClr val="tx1"/>
                                    </a:solidFill>
                                    <a:latin typeface="Cambria Math"/>
                                    <a:ea typeface="+mn-ea"/>
                                    <a:cs typeface="+mn-cs"/>
                                  </a:rPr>
                                  <m:t>𝑀</m:t>
                                </m:r>
                              </m:e>
                              <m:sub>
                                <m:r>
                                  <a:rPr lang="fr-CH" sz="1100" b="0" i="1">
                                    <a:solidFill>
                                      <a:schemeClr val="tx1"/>
                                    </a:solidFill>
                                    <a:latin typeface="Cambria Math"/>
                                    <a:ea typeface="+mn-ea"/>
                                    <a:cs typeface="+mn-cs"/>
                                  </a:rPr>
                                  <m:t>1</m:t>
                                </m:r>
                              </m:sub>
                            </m:sSub>
                            <m:r>
                              <a:rPr lang="fr-CH" sz="1100" b="0" i="1">
                                <a:solidFill>
                                  <a:schemeClr val="tx1"/>
                                </a:solidFill>
                                <a:latin typeface="Cambria Math"/>
                                <a:ea typeface="Cambria Math"/>
                                <a:cs typeface="+mn-cs"/>
                              </a:rPr>
                              <m:t>∙</m:t>
                            </m:r>
                            <m:sSub>
                              <m:sSubPr>
                                <m:ctrlPr>
                                  <a:rPr lang="fr-CH" sz="1100" b="0" i="1">
                                    <a:solidFill>
                                      <a:schemeClr val="tx1"/>
                                    </a:solidFill>
                                    <a:latin typeface="Cambria Math" panose="02040503050406030204" pitchFamily="18" charset="0"/>
                                    <a:ea typeface="Cambria Math"/>
                                    <a:cs typeface="+mn-cs"/>
                                  </a:rPr>
                                </m:ctrlPr>
                              </m:sSubPr>
                              <m:e>
                                <m:r>
                                  <a:rPr lang="fr-CH" sz="1100" b="0" i="1">
                                    <a:solidFill>
                                      <a:schemeClr val="tx1"/>
                                    </a:solidFill>
                                    <a:latin typeface="Cambria Math"/>
                                    <a:ea typeface="Cambria Math"/>
                                    <a:cs typeface="+mn-cs"/>
                                  </a:rPr>
                                  <m:t>𝑚</m:t>
                                </m:r>
                              </m:e>
                              <m:sub>
                                <m:r>
                                  <a:rPr lang="fr-CH" sz="1100" b="0" i="1">
                                    <a:solidFill>
                                      <a:schemeClr val="tx1"/>
                                    </a:solidFill>
                                    <a:latin typeface="Cambria Math"/>
                                    <a:ea typeface="Cambria Math"/>
                                    <a:cs typeface="+mn-cs"/>
                                  </a:rPr>
                                  <m:t>𝑟</m:t>
                                </m:r>
                              </m:sub>
                            </m:sSub>
                          </m:num>
                          <m:den>
                            <m:r>
                              <a:rPr lang="fr-CH" sz="1100" b="0" i="1">
                                <a:latin typeface="Cambria Math"/>
                              </a:rPr>
                              <m:t>𝑛</m:t>
                            </m:r>
                            <m:r>
                              <a:rPr lang="fr-CH" sz="1100" b="0" i="1">
                                <a:latin typeface="Cambria Math"/>
                              </a:rPr>
                              <m:t>−1</m:t>
                            </m:r>
                          </m:den>
                        </m:f>
                      </m:oMath>
                    </m:oMathPara>
                  </a14:m>
                </mc:Choice>
                <mc:Fallback xmlns="" xmlns:r="http://schemas.openxmlformats.org/officeDocument/2006/relationships" xmlns:w="http://schemas.openxmlformats.org/wordprocessingml/2006/main" xmlns:m="http://schemas.openxmlformats.org/officeDocument/2006/math"/>
              </mc:AlternateContent>
              <a:endParaRPr lang="fr-CH" sz="1100"/>
            </a:p>
          </xdr:txBody>
        </xdr:sp>
      </mc:Choice>
      <mc:Fallback xmlns="">
        <xdr:sp macro="" textlink="">
          <xdr:nvSpPr>
            <xdr:cNvPr id="13" name="TextBox 12">
              <a:extLst>
                <a:ext uri="{FF2B5EF4-FFF2-40B4-BE49-F238E27FC236}">
                  <a16:creationId xmlns:a16="http://schemas.microsoft.com/office/drawing/2014/main" id="{00000000-0008-0000-0600-00000D000000}"/>
                </a:ext>
              </a:extLst>
            </xdr:cNvPr>
            <xdr:cNvSpPr txBox="1"/>
          </xdr:nvSpPr>
          <xdr:spPr bwMode="auto">
            <a:xfrm>
              <a:off x="223630" y="2366178"/>
              <a:ext cx="978280" cy="31688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fr-CH" sz="1100" b="0" i="0">
                  <a:solidFill>
                    <a:schemeClr val="tx1"/>
                  </a:solidFill>
                  <a:latin typeface="Cambria Math"/>
                  <a:ea typeface="+mn-ea"/>
                  <a:cs typeface="+mn-cs"/>
                </a:rPr>
                <a:t>∆𝑚</a:t>
              </a:r>
              <a:r>
                <a:rPr lang="fr-CH" sz="1100" b="0" i="0">
                  <a:latin typeface="Cambria Math"/>
                </a:rPr>
                <a:t>=  </a:t>
              </a:r>
              <a:r>
                <a:rPr lang="fr-CH" sz="1100" b="0" i="0">
                  <a:solidFill>
                    <a:schemeClr val="tx1"/>
                  </a:solidFill>
                  <a:latin typeface="Cambria Math" panose="02040503050406030204" pitchFamily="18" charset="0"/>
                  <a:ea typeface="+mn-ea"/>
                  <a:cs typeface="+mn-cs"/>
                </a:rPr>
                <a:t> (</a:t>
              </a:r>
              <a:r>
                <a:rPr lang="fr-CH" sz="1100" b="0" i="0">
                  <a:solidFill>
                    <a:schemeClr val="tx1"/>
                  </a:solidFill>
                  <a:latin typeface="Cambria Math"/>
                  <a:ea typeface="+mn-ea"/>
                  <a:cs typeface="+mn-cs"/>
                </a:rPr>
                <a:t>𝑀</a:t>
              </a:r>
              <a:r>
                <a:rPr lang="fr-CH" sz="1100" b="0" i="0">
                  <a:solidFill>
                    <a:schemeClr val="tx1"/>
                  </a:solidFill>
                  <a:latin typeface="Cambria Math" panose="02040503050406030204" pitchFamily="18" charset="0"/>
                  <a:ea typeface="+mn-ea"/>
                  <a:cs typeface="+mn-cs"/>
                </a:rPr>
                <a:t>_</a:t>
              </a:r>
              <a:r>
                <a:rPr lang="fr-CH" sz="1100" b="0" i="0">
                  <a:solidFill>
                    <a:schemeClr val="tx1"/>
                  </a:solidFill>
                  <a:latin typeface="Cambria Math"/>
                  <a:ea typeface="+mn-ea"/>
                  <a:cs typeface="+mn-cs"/>
                </a:rPr>
                <a:t>1</a:t>
              </a:r>
              <a:r>
                <a:rPr lang="fr-CH" sz="1100" b="0" i="0">
                  <a:solidFill>
                    <a:schemeClr val="tx1"/>
                  </a:solidFill>
                  <a:latin typeface="Cambria Math"/>
                  <a:ea typeface="Cambria Math"/>
                  <a:cs typeface="+mn-cs"/>
                </a:rPr>
                <a:t>∙𝑚</a:t>
              </a:r>
              <a:r>
                <a:rPr lang="fr-CH" sz="1100" b="0" i="0">
                  <a:solidFill>
                    <a:schemeClr val="tx1"/>
                  </a:solidFill>
                  <a:latin typeface="Cambria Math" panose="02040503050406030204" pitchFamily="18" charset="0"/>
                  <a:ea typeface="Cambria Math"/>
                  <a:cs typeface="+mn-cs"/>
                </a:rPr>
                <a:t>_</a:t>
              </a:r>
              <a:r>
                <a:rPr lang="fr-CH" sz="1100" b="0" i="0">
                  <a:solidFill>
                    <a:schemeClr val="tx1"/>
                  </a:solidFill>
                  <a:latin typeface="Cambria Math"/>
                  <a:ea typeface="Cambria Math"/>
                  <a:cs typeface="+mn-cs"/>
                </a:rPr>
                <a:t>𝑟</a:t>
              </a:r>
              <a:r>
                <a:rPr lang="fr-CH" sz="1100" b="0" i="0">
                  <a:solidFill>
                    <a:schemeClr val="tx1"/>
                  </a:solidFill>
                  <a:latin typeface="Cambria Math" panose="02040503050406030204" pitchFamily="18" charset="0"/>
                  <a:ea typeface="Cambria Math"/>
                  <a:cs typeface="+mn-cs"/>
                </a:rPr>
                <a:t>)/(</a:t>
              </a:r>
              <a:r>
                <a:rPr lang="fr-CH" sz="1100" b="0" i="0">
                  <a:latin typeface="Cambria Math"/>
                </a:rPr>
                <a:t>𝑛−1</a:t>
              </a:r>
              <a:r>
                <a:rPr lang="fr-CH" sz="1100" b="0" i="0">
                  <a:latin typeface="Cambria Math" panose="02040503050406030204" pitchFamily="18" charset="0"/>
                </a:rPr>
                <a:t>)</a:t>
              </a:r>
              <a:endParaRPr lang="fr-CH" sz="1100"/>
            </a:p>
          </xdr:txBody>
        </xdr:sp>
      </mc:Fallback>
    </mc:AlternateContent>
    <xdr:clientData/>
  </xdr:oneCellAnchor>
  <xdr:oneCellAnchor>
    <xdr:from>
      <xdr:col>1</xdr:col>
      <xdr:colOff>223630</xdr:colOff>
      <xdr:row>18</xdr:row>
      <xdr:rowOff>78864</xdr:rowOff>
    </xdr:from>
    <xdr:ext cx="1897122" cy="172226"/>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600-00000E000000}"/>
                </a:ext>
              </a:extLst>
            </xdr:cNvPr>
            <xdr:cNvSpPr txBox="1"/>
          </xdr:nvSpPr>
          <xdr:spPr bwMode="auto">
            <a:xfrm>
              <a:off x="223630" y="2745864"/>
              <a:ext cx="1897122"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b>
                          <m:sSubPr>
                            <m:ctrlPr>
                              <a:rPr lang="fr-CH" sz="1100" i="1">
                                <a:latin typeface="Cambria Math" panose="02040503050406030204" pitchFamily="18" charset="0"/>
                              </a:rPr>
                            </m:ctrlPr>
                          </m:sSubPr>
                          <m:e>
                            <m:r>
                              <a:rPr lang="fr-CH" sz="1100" b="0" i="1">
                                <a:latin typeface="Cambria Math"/>
                              </a:rPr>
                              <m:t>𝑚</m:t>
                            </m:r>
                          </m:e>
                          <m:sub>
                            <m:r>
                              <a:rPr lang="fr-CH" sz="1100" b="0" i="1">
                                <a:latin typeface="Cambria Math"/>
                              </a:rPr>
                              <m:t>𝑟</m:t>
                            </m:r>
                          </m:sub>
                        </m:sSub>
                        <m:r>
                          <a:rPr lang="fr-CH" sz="1100" b="0" i="1">
                            <a:latin typeface="Cambria Math"/>
                          </a:rPr>
                          <m:t>=  </m:t>
                        </m:r>
                        <m:r>
                          <a:rPr lang="fr-CH" sz="1100" b="0" i="1">
                            <a:latin typeface="Cambria Math"/>
                          </a:rPr>
                          <m:t>𝑚𝑎𝑠𝑠</m:t>
                        </m:r>
                        <m:r>
                          <a:rPr lang="fr-CH" sz="1100" b="0" i="1">
                            <a:latin typeface="Cambria Math"/>
                          </a:rPr>
                          <m:t> </m:t>
                        </m:r>
                        <m:r>
                          <a:rPr lang="fr-CH" sz="1100" b="0" i="1">
                            <a:latin typeface="Cambria Math"/>
                          </a:rPr>
                          <m:t>𝑟𝑒𝑑𝑢𝑐𝑡𝑖𝑜𝑛</m:t>
                        </m:r>
                        <m:r>
                          <a:rPr lang="fr-CH" sz="1100" b="0" i="1">
                            <a:latin typeface="Cambria Math"/>
                          </a:rPr>
                          <m:t> </m:t>
                        </m:r>
                        <m:r>
                          <a:rPr lang="fr-CH" sz="1100" b="0" i="1">
                            <a:latin typeface="Cambria Math"/>
                          </a:rPr>
                          <m:t>𝑓𝑎𝑐𝑡𝑜𝑟</m:t>
                        </m:r>
                      </m:oMath>
                    </m:oMathPara>
                  </a14:m>
                </mc:Choice>
                <mc:Fallback xmlns="" xmlns:r="http://schemas.openxmlformats.org/officeDocument/2006/relationships" xmlns:w="http://schemas.openxmlformats.org/wordprocessingml/2006/main" xmlns:m="http://schemas.openxmlformats.org/officeDocument/2006/math"/>
              </mc:AlternateContent>
              <a:endParaRPr lang="fr-CH" sz="1100"/>
            </a:p>
          </xdr:txBody>
        </xdr:sp>
      </mc:Choice>
      <mc:Fallback xmlns="">
        <xdr:sp macro="" textlink="">
          <xdr:nvSpPr>
            <xdr:cNvPr id="14" name="TextBox 13">
              <a:extLst>
                <a:ext uri="{FF2B5EF4-FFF2-40B4-BE49-F238E27FC236}">
                  <a16:creationId xmlns:a16="http://schemas.microsoft.com/office/drawing/2014/main" id="{00000000-0008-0000-0600-00000E000000}"/>
                </a:ext>
              </a:extLst>
            </xdr:cNvPr>
            <xdr:cNvSpPr txBox="1"/>
          </xdr:nvSpPr>
          <xdr:spPr bwMode="auto">
            <a:xfrm>
              <a:off x="223630" y="2745864"/>
              <a:ext cx="1897122" cy="1722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fr-CH" sz="1100" b="0" i="0">
                  <a:latin typeface="Cambria Math"/>
                </a:rPr>
                <a:t>𝑚</a:t>
              </a:r>
              <a:r>
                <a:rPr lang="fr-CH" sz="1100" b="0" i="0">
                  <a:latin typeface="Cambria Math" panose="02040503050406030204" pitchFamily="18" charset="0"/>
                </a:rPr>
                <a:t>_</a:t>
              </a:r>
              <a:r>
                <a:rPr lang="fr-CH" sz="1100" b="0" i="0">
                  <a:latin typeface="Cambria Math"/>
                </a:rPr>
                <a:t>𝑟=  𝑚𝑎𝑠𝑠 𝑟𝑒𝑑𝑢𝑐𝑡𝑖𝑜𝑛 𝑓𝑎𝑐𝑡𝑜𝑟</a:t>
              </a:r>
              <a:endParaRPr lang="fr-CH" sz="1100"/>
            </a:p>
          </xdr:txBody>
        </xdr:sp>
      </mc:Fallback>
    </mc:AlternateContent>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eawag.ch/en/department/sandec/projects/mswm/practical-knowhow-on-black-soldier-fly-bsf-biowaste-processing"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hyperlink" Target="https://globalmethane.org/resources/details.aspx?resourceid=517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energypedia.info/wiki/Biogas_Sto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A1:P66"/>
  <sheetViews>
    <sheetView tabSelected="1" zoomScaleNormal="100" workbookViewId="0">
      <selection activeCell="B12" sqref="B12"/>
    </sheetView>
  </sheetViews>
  <sheetFormatPr defaultColWidth="0" defaultRowHeight="14.5" zeroHeight="1" x14ac:dyDescent="0.35"/>
  <cols>
    <col min="1" max="15" width="9.1796875" style="1" customWidth="1"/>
    <col min="16" max="16" width="11.1796875" style="1" bestFit="1" customWidth="1"/>
    <col min="17" max="16384" width="8.7265625" style="1" hidden="1"/>
  </cols>
  <sheetData>
    <row r="1" spans="1:16" x14ac:dyDescent="0.35">
      <c r="A1" s="2"/>
      <c r="B1" s="2"/>
      <c r="C1" s="2"/>
      <c r="D1" s="2"/>
      <c r="E1" s="2"/>
      <c r="F1" s="2"/>
      <c r="G1" s="2"/>
      <c r="H1" s="2"/>
      <c r="I1" s="2"/>
      <c r="J1" s="2"/>
      <c r="K1" s="2"/>
      <c r="L1" s="2"/>
      <c r="M1" s="2"/>
      <c r="N1" s="2"/>
      <c r="O1" s="2"/>
      <c r="P1" s="2"/>
    </row>
    <row r="2" spans="1:16" ht="15.65" customHeight="1" x14ac:dyDescent="0.35">
      <c r="A2" s="2"/>
      <c r="B2" s="329" t="s">
        <v>0</v>
      </c>
      <c r="C2" s="329"/>
      <c r="D2" s="329"/>
      <c r="E2" s="329"/>
      <c r="F2" s="329"/>
      <c r="G2" s="329"/>
      <c r="H2" s="329"/>
      <c r="I2" s="329"/>
      <c r="J2" s="329"/>
      <c r="K2" s="329"/>
      <c r="L2" s="329"/>
      <c r="M2" s="330" t="s">
        <v>1</v>
      </c>
      <c r="N2" s="330"/>
      <c r="O2" s="330"/>
      <c r="P2" s="3"/>
    </row>
    <row r="3" spans="1:16" ht="14.5" customHeight="1" x14ac:dyDescent="0.35">
      <c r="A3" s="2"/>
      <c r="B3" s="329"/>
      <c r="C3" s="329"/>
      <c r="D3" s="329"/>
      <c r="E3" s="329"/>
      <c r="F3" s="329"/>
      <c r="G3" s="329"/>
      <c r="H3" s="329"/>
      <c r="I3" s="329"/>
      <c r="J3" s="329"/>
      <c r="K3" s="329"/>
      <c r="L3" s="329"/>
      <c r="M3" s="330"/>
      <c r="N3" s="330"/>
      <c r="O3" s="330"/>
      <c r="P3" s="2"/>
    </row>
    <row r="4" spans="1:16" ht="15.65" customHeight="1" x14ac:dyDescent="0.35">
      <c r="A4" s="2"/>
      <c r="B4" s="331" t="s">
        <v>2</v>
      </c>
      <c r="C4" s="331"/>
      <c r="D4" s="331"/>
      <c r="E4" s="331"/>
      <c r="F4" s="331"/>
      <c r="G4" s="331"/>
      <c r="H4" s="331"/>
      <c r="I4" s="331"/>
      <c r="J4" s="331"/>
      <c r="K4" s="331"/>
      <c r="L4" s="331"/>
      <c r="M4" s="331"/>
      <c r="N4" s="331"/>
      <c r="O4" s="331"/>
      <c r="P4" s="2"/>
    </row>
    <row r="5" spans="1:16" x14ac:dyDescent="0.35">
      <c r="A5" s="2"/>
      <c r="B5" s="331"/>
      <c r="C5" s="331"/>
      <c r="D5" s="331"/>
      <c r="E5" s="331"/>
      <c r="F5" s="331"/>
      <c r="G5" s="331"/>
      <c r="H5" s="331"/>
      <c r="I5" s="331"/>
      <c r="J5" s="331"/>
      <c r="K5" s="331"/>
      <c r="L5" s="331"/>
      <c r="M5" s="331"/>
      <c r="N5" s="331"/>
      <c r="O5" s="331"/>
      <c r="P5" s="2"/>
    </row>
    <row r="6" spans="1:16" ht="15.65" customHeight="1" x14ac:dyDescent="0.35">
      <c r="A6" s="2"/>
      <c r="B6" s="331" t="s">
        <v>3</v>
      </c>
      <c r="C6" s="331"/>
      <c r="D6" s="331"/>
      <c r="E6" s="331"/>
      <c r="F6" s="331"/>
      <c r="G6" s="331"/>
      <c r="H6" s="331"/>
      <c r="I6" s="331"/>
      <c r="J6" s="331"/>
      <c r="K6" s="331"/>
      <c r="L6" s="331"/>
      <c r="M6" s="331"/>
      <c r="N6" s="331"/>
      <c r="O6" s="331"/>
      <c r="P6" s="2"/>
    </row>
    <row r="7" spans="1:16" x14ac:dyDescent="0.35">
      <c r="A7" s="2"/>
      <c r="B7" s="331"/>
      <c r="C7" s="331"/>
      <c r="D7" s="331"/>
      <c r="E7" s="331"/>
      <c r="F7" s="331"/>
      <c r="G7" s="331"/>
      <c r="H7" s="331"/>
      <c r="I7" s="331"/>
      <c r="J7" s="331"/>
      <c r="K7" s="331"/>
      <c r="L7" s="331"/>
      <c r="M7" s="331"/>
      <c r="N7" s="331"/>
      <c r="O7" s="331"/>
      <c r="P7" s="2"/>
    </row>
    <row r="8" spans="1:16" x14ac:dyDescent="0.35"/>
    <row r="9" spans="1:16" x14ac:dyDescent="0.35">
      <c r="B9" s="291" t="s">
        <v>269</v>
      </c>
    </row>
    <row r="10" spans="1:16" x14ac:dyDescent="0.35">
      <c r="B10" s="4"/>
    </row>
    <row r="11" spans="1:16" ht="18.5" x14ac:dyDescent="0.45">
      <c r="B11" s="326" t="s">
        <v>275</v>
      </c>
      <c r="C11" s="326"/>
      <c r="D11" s="326"/>
      <c r="E11" s="326"/>
      <c r="F11" s="326"/>
      <c r="G11" s="326"/>
      <c r="H11" s="326"/>
      <c r="I11" s="326"/>
      <c r="J11" s="326"/>
      <c r="K11" s="326"/>
    </row>
    <row r="12" spans="1:16" ht="18.5" x14ac:dyDescent="0.45">
      <c r="B12" s="298"/>
      <c r="C12" s="298"/>
      <c r="D12" s="298"/>
      <c r="E12" s="298"/>
      <c r="F12" s="298"/>
      <c r="G12" s="298"/>
      <c r="H12" s="298"/>
      <c r="I12" s="298"/>
      <c r="J12" s="298"/>
      <c r="K12" s="298"/>
    </row>
    <row r="13" spans="1:16" ht="15.5" x14ac:dyDescent="0.35">
      <c r="B13" s="297" t="s">
        <v>274</v>
      </c>
      <c r="C13" s="296"/>
      <c r="D13" s="296"/>
      <c r="E13" s="296"/>
      <c r="F13" s="296"/>
    </row>
    <row r="14" spans="1:16" x14ac:dyDescent="0.35">
      <c r="B14" s="1" t="s">
        <v>4</v>
      </c>
    </row>
    <row r="15" spans="1:16" x14ac:dyDescent="0.35">
      <c r="B15" s="270" t="s">
        <v>260</v>
      </c>
    </row>
    <row r="16" spans="1:16" x14ac:dyDescent="0.35">
      <c r="B16" s="273" t="s">
        <v>261</v>
      </c>
    </row>
    <row r="17" spans="2:15" x14ac:dyDescent="0.35">
      <c r="B17" s="270" t="s">
        <v>262</v>
      </c>
    </row>
    <row r="18" spans="2:15" x14ac:dyDescent="0.35">
      <c r="B18" s="6" t="s">
        <v>5</v>
      </c>
    </row>
    <row r="19" spans="2:15" x14ac:dyDescent="0.35">
      <c r="B19" s="5" t="s">
        <v>6</v>
      </c>
    </row>
    <row r="20" spans="2:15" x14ac:dyDescent="0.35"/>
    <row r="21" spans="2:15" x14ac:dyDescent="0.35">
      <c r="B21" s="327" t="s">
        <v>257</v>
      </c>
      <c r="C21" s="328"/>
      <c r="D21" s="328"/>
      <c r="E21" s="328"/>
      <c r="F21" s="328"/>
      <c r="G21" s="328"/>
      <c r="H21" s="328"/>
      <c r="I21" s="328"/>
      <c r="J21" s="328"/>
      <c r="K21" s="328"/>
      <c r="L21" s="328"/>
      <c r="M21" s="328"/>
      <c r="N21" s="328"/>
      <c r="O21" s="328"/>
    </row>
    <row r="22" spans="2:15" x14ac:dyDescent="0.35">
      <c r="B22" s="328"/>
      <c r="C22" s="328"/>
      <c r="D22" s="328"/>
      <c r="E22" s="328"/>
      <c r="F22" s="328"/>
      <c r="G22" s="328"/>
      <c r="H22" s="328"/>
      <c r="I22" s="328"/>
      <c r="J22" s="328"/>
      <c r="K22" s="328"/>
      <c r="L22" s="328"/>
      <c r="M22" s="328"/>
      <c r="N22" s="328"/>
      <c r="O22" s="328"/>
    </row>
    <row r="23" spans="2:15" x14ac:dyDescent="0.35">
      <c r="B23" s="328"/>
      <c r="C23" s="328"/>
      <c r="D23" s="328"/>
      <c r="E23" s="328"/>
      <c r="F23" s="328"/>
      <c r="G23" s="328"/>
      <c r="H23" s="328"/>
      <c r="I23" s="328"/>
      <c r="J23" s="328"/>
      <c r="K23" s="328"/>
      <c r="L23" s="328"/>
      <c r="M23" s="328"/>
      <c r="N23" s="328"/>
      <c r="O23" s="328"/>
    </row>
    <row r="24" spans="2:15" ht="15" customHeight="1" x14ac:dyDescent="0.35">
      <c r="B24" s="325" t="s">
        <v>258</v>
      </c>
      <c r="C24" s="325"/>
      <c r="D24" s="325"/>
      <c r="E24" s="325"/>
      <c r="F24" s="325"/>
      <c r="G24" s="325"/>
      <c r="H24" s="325"/>
      <c r="I24" s="325"/>
      <c r="J24" s="325"/>
      <c r="K24" s="325"/>
      <c r="L24" s="325"/>
      <c r="M24" s="325"/>
      <c r="N24" s="325"/>
      <c r="O24" s="325"/>
    </row>
    <row r="25" spans="2:15" ht="15" customHeight="1" x14ac:dyDescent="0.35">
      <c r="B25" s="325"/>
      <c r="C25" s="325"/>
      <c r="D25" s="325"/>
      <c r="E25" s="325"/>
      <c r="F25" s="325"/>
      <c r="G25" s="325"/>
      <c r="H25" s="325"/>
      <c r="I25" s="325"/>
      <c r="J25" s="325"/>
      <c r="K25" s="325"/>
      <c r="L25" s="325"/>
      <c r="M25" s="325"/>
      <c r="N25" s="325"/>
      <c r="O25" s="325"/>
    </row>
    <row r="26" spans="2:15" x14ac:dyDescent="0.35"/>
    <row r="27" spans="2:15" x14ac:dyDescent="0.35">
      <c r="B27" s="7"/>
      <c r="C27" s="7"/>
      <c r="D27" s="7"/>
      <c r="E27" s="7"/>
      <c r="F27" s="7"/>
      <c r="G27" s="7"/>
      <c r="H27" s="7"/>
      <c r="I27" s="7"/>
      <c r="J27" s="7"/>
      <c r="K27" s="7"/>
      <c r="L27" s="7"/>
      <c r="M27" s="7"/>
      <c r="N27" s="7"/>
      <c r="O27" s="7"/>
    </row>
    <row r="28" spans="2:15" x14ac:dyDescent="0.35">
      <c r="B28" s="7"/>
      <c r="C28" s="7"/>
      <c r="D28" s="7"/>
      <c r="E28" s="7"/>
      <c r="F28" s="7"/>
      <c r="G28" s="7"/>
      <c r="H28" s="7"/>
      <c r="I28" s="7"/>
      <c r="J28" s="7"/>
      <c r="K28" s="7"/>
      <c r="L28" s="7"/>
      <c r="M28" s="7"/>
      <c r="N28" s="7"/>
      <c r="O28" s="7"/>
    </row>
    <row r="29" spans="2:15" x14ac:dyDescent="0.35">
      <c r="B29" s="7"/>
      <c r="C29" s="7"/>
      <c r="D29" s="7"/>
      <c r="E29" s="7"/>
      <c r="F29" s="7"/>
      <c r="G29" s="7"/>
      <c r="H29" s="7"/>
      <c r="I29" s="7"/>
      <c r="J29" s="7"/>
      <c r="K29" s="7"/>
      <c r="L29" s="7"/>
      <c r="M29" s="7"/>
      <c r="N29" s="7"/>
      <c r="O29" s="7"/>
    </row>
    <row r="30" spans="2:15" x14ac:dyDescent="0.35">
      <c r="B30" s="7"/>
      <c r="C30" s="7"/>
      <c r="D30" s="7"/>
      <c r="E30" s="7"/>
      <c r="F30" s="7"/>
      <c r="G30" s="7"/>
      <c r="H30" s="7"/>
      <c r="I30" s="7"/>
      <c r="J30" s="7"/>
      <c r="K30" s="7"/>
      <c r="L30" s="7"/>
      <c r="M30" s="7"/>
      <c r="N30" s="7"/>
      <c r="O30" s="7"/>
    </row>
    <row r="33" s="1" customFormat="1" x14ac:dyDescent="0.35"/>
    <row r="34" s="1" customFormat="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sheetData>
  <mergeCells count="7">
    <mergeCell ref="B24:O25"/>
    <mergeCell ref="B11:K11"/>
    <mergeCell ref="B21:O23"/>
    <mergeCell ref="B2:L3"/>
    <mergeCell ref="M2:O3"/>
    <mergeCell ref="B4:O5"/>
    <mergeCell ref="B6:O7"/>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499984740745262"/>
  </sheetPr>
  <dimension ref="A1:AA46"/>
  <sheetViews>
    <sheetView topLeftCell="A33" zoomScale="85" zoomScaleNormal="85" workbookViewId="0">
      <selection activeCell="C18" sqref="C18"/>
    </sheetView>
  </sheetViews>
  <sheetFormatPr defaultColWidth="9.1796875" defaultRowHeight="14.5" zeroHeight="1" x14ac:dyDescent="0.35"/>
  <cols>
    <col min="1" max="1" width="9.1796875" style="1" customWidth="1"/>
    <col min="2" max="2" width="26.453125" style="1" customWidth="1"/>
    <col min="3" max="3" width="21.81640625" style="1" customWidth="1"/>
    <col min="4" max="4" width="16.453125" style="1" bestFit="1" customWidth="1"/>
    <col min="5" max="5" width="16.26953125" style="1" bestFit="1" customWidth="1"/>
    <col min="6" max="6" width="17.26953125" style="1" bestFit="1" customWidth="1"/>
    <col min="7" max="7" width="17.26953125" style="1" customWidth="1"/>
    <col min="8" max="8" width="24.7265625" style="1" customWidth="1"/>
    <col min="9" max="9" width="17.453125" style="1" customWidth="1"/>
    <col min="10" max="10" width="10.26953125" style="1" bestFit="1" customWidth="1"/>
    <col min="11" max="11" width="55.1796875" style="1" customWidth="1"/>
    <col min="12" max="12" width="9.1796875" style="1" customWidth="1"/>
    <col min="13" max="13" width="15.1796875" style="1" customWidth="1"/>
    <col min="14" max="14" width="18.54296875" style="1" customWidth="1"/>
    <col min="15" max="15" width="19.453125" style="1" customWidth="1"/>
    <col min="16" max="17" width="13.453125" style="1" customWidth="1"/>
    <col min="18" max="18" width="16.1796875" style="1" customWidth="1"/>
    <col min="19" max="19" width="17.81640625" style="1" customWidth="1"/>
    <col min="20" max="20" width="13.453125" style="1" customWidth="1"/>
    <col min="21" max="21" width="14" style="1" customWidth="1"/>
    <col min="22" max="22" width="12.81640625" style="1" customWidth="1"/>
    <col min="23" max="23" width="21.1796875" style="1" customWidth="1"/>
    <col min="24" max="24" width="15.54296875" style="1" customWidth="1"/>
    <col min="25" max="16384" width="9.1796875" style="1"/>
  </cols>
  <sheetData>
    <row r="1" spans="1:27" x14ac:dyDescent="0.35">
      <c r="A1" s="2"/>
      <c r="B1" s="2"/>
      <c r="C1" s="2"/>
      <c r="D1" s="2"/>
      <c r="E1" s="2"/>
      <c r="F1" s="2"/>
      <c r="G1" s="2"/>
      <c r="H1" s="2"/>
      <c r="I1" s="2"/>
      <c r="J1" s="2"/>
      <c r="K1" s="2"/>
      <c r="L1" s="2"/>
      <c r="M1" s="2"/>
      <c r="N1" s="2"/>
      <c r="O1" s="2"/>
      <c r="P1" s="2"/>
      <c r="Q1" s="2"/>
      <c r="R1" s="2"/>
      <c r="S1" s="2"/>
      <c r="T1" s="2"/>
      <c r="U1" s="2"/>
      <c r="V1" s="2"/>
      <c r="W1" s="2"/>
    </row>
    <row r="2" spans="1:27" ht="26" x14ac:dyDescent="0.6">
      <c r="A2" s="2"/>
      <c r="B2" s="8" t="s">
        <v>67</v>
      </c>
      <c r="C2" s="2"/>
      <c r="D2" s="2"/>
      <c r="E2" s="2"/>
      <c r="F2" s="2"/>
      <c r="G2" s="2"/>
      <c r="H2" s="2"/>
      <c r="I2" s="2"/>
      <c r="J2" s="2"/>
      <c r="K2" s="2"/>
      <c r="L2" s="2"/>
      <c r="M2" s="2"/>
      <c r="N2" s="2"/>
      <c r="O2" s="2"/>
      <c r="P2" s="2"/>
      <c r="Q2" s="2"/>
      <c r="R2" s="2"/>
      <c r="S2" s="2"/>
      <c r="T2" s="2"/>
      <c r="U2" s="2"/>
      <c r="V2" s="2"/>
      <c r="W2" s="2"/>
    </row>
    <row r="3" spans="1:27" x14ac:dyDescent="0.35">
      <c r="A3" s="2"/>
      <c r="B3" s="31"/>
      <c r="C3" s="2"/>
      <c r="D3" s="2"/>
      <c r="E3" s="2"/>
      <c r="F3" s="2"/>
      <c r="G3" s="2"/>
      <c r="H3" s="2"/>
      <c r="I3" s="2"/>
      <c r="J3" s="2"/>
      <c r="K3" s="2"/>
      <c r="L3" s="2"/>
      <c r="M3" s="2"/>
      <c r="N3" s="2"/>
      <c r="O3" s="2"/>
      <c r="P3" s="2"/>
      <c r="Q3" s="2"/>
      <c r="R3" s="2"/>
      <c r="S3" s="2"/>
      <c r="T3" s="2"/>
      <c r="U3" s="2"/>
      <c r="V3" s="2"/>
      <c r="W3" s="2"/>
    </row>
    <row r="4" spans="1:27" x14ac:dyDescent="0.35">
      <c r="B4" s="291"/>
    </row>
    <row r="5" spans="1:27" ht="18.5" x14ac:dyDescent="0.45">
      <c r="B5" s="295" t="s">
        <v>270</v>
      </c>
    </row>
    <row r="6" spans="1:27" ht="18.5" x14ac:dyDescent="0.45">
      <c r="B6" s="295" t="s">
        <v>271</v>
      </c>
    </row>
    <row r="7" spans="1:27" ht="18.5" x14ac:dyDescent="0.45">
      <c r="B7" s="295" t="s">
        <v>273</v>
      </c>
    </row>
    <row r="8" spans="1:27" x14ac:dyDescent="0.35">
      <c r="B8" s="291"/>
    </row>
    <row r="9" spans="1:27" ht="23.5" x14ac:dyDescent="0.55000000000000004">
      <c r="B9" s="292" t="s">
        <v>100</v>
      </c>
    </row>
    <row r="10" spans="1:27" ht="36.75" customHeight="1" x14ac:dyDescent="0.35">
      <c r="B10" s="341" t="s">
        <v>288</v>
      </c>
      <c r="C10" s="341"/>
      <c r="D10" s="341"/>
      <c r="E10" s="341"/>
      <c r="F10" s="341"/>
      <c r="G10" s="341"/>
      <c r="H10" s="341"/>
    </row>
    <row r="11" spans="1:27" ht="19" thickBot="1" x14ac:dyDescent="0.4">
      <c r="B11" s="293"/>
      <c r="H11" s="261"/>
    </row>
    <row r="12" spans="1:27" ht="31" x14ac:dyDescent="0.35">
      <c r="B12" s="346" t="s">
        <v>268</v>
      </c>
      <c r="C12" s="348" t="s">
        <v>68</v>
      </c>
      <c r="D12" s="350" t="s">
        <v>69</v>
      </c>
      <c r="E12" s="351"/>
      <c r="F12" s="351"/>
      <c r="G12" s="348"/>
      <c r="H12" s="352" t="s">
        <v>265</v>
      </c>
      <c r="I12" s="33" t="s">
        <v>10</v>
      </c>
      <c r="J12" s="34" t="s">
        <v>11</v>
      </c>
      <c r="K12" s="33" t="s">
        <v>12</v>
      </c>
      <c r="L12" s="33" t="s">
        <v>13</v>
      </c>
      <c r="M12" s="33" t="s">
        <v>70</v>
      </c>
      <c r="N12" s="33" t="s">
        <v>14</v>
      </c>
      <c r="O12" s="33" t="s">
        <v>71</v>
      </c>
      <c r="P12" s="33" t="s">
        <v>15</v>
      </c>
      <c r="Q12" s="33" t="s">
        <v>16</v>
      </c>
      <c r="R12" s="33" t="s">
        <v>17</v>
      </c>
      <c r="S12" s="34"/>
      <c r="T12" s="34" t="s">
        <v>72</v>
      </c>
      <c r="U12" s="33" t="s">
        <v>20</v>
      </c>
      <c r="V12" s="33" t="s">
        <v>21</v>
      </c>
      <c r="W12" s="354" t="s">
        <v>73</v>
      </c>
      <c r="X12" s="342" t="s">
        <v>74</v>
      </c>
      <c r="Y12" s="35"/>
      <c r="Z12" s="35"/>
      <c r="AA12" s="35"/>
    </row>
    <row r="13" spans="1:27" ht="31" x14ac:dyDescent="0.35">
      <c r="B13" s="347"/>
      <c r="C13" s="349"/>
      <c r="D13" s="36" t="s">
        <v>75</v>
      </c>
      <c r="E13" s="259" t="s">
        <v>20</v>
      </c>
      <c r="F13" s="259" t="s">
        <v>21</v>
      </c>
      <c r="G13" s="38" t="s">
        <v>30</v>
      </c>
      <c r="H13" s="353"/>
      <c r="I13" s="33" t="s">
        <v>76</v>
      </c>
      <c r="J13" s="33" t="s">
        <v>77</v>
      </c>
      <c r="K13" s="33" t="s">
        <v>78</v>
      </c>
      <c r="L13" s="33" t="s">
        <v>79</v>
      </c>
      <c r="M13" s="33" t="s">
        <v>80</v>
      </c>
      <c r="N13" s="33" t="s">
        <v>27</v>
      </c>
      <c r="O13" s="33" t="s">
        <v>81</v>
      </c>
      <c r="P13" s="33" t="s">
        <v>28</v>
      </c>
      <c r="Q13" s="33" t="s">
        <v>29</v>
      </c>
      <c r="R13" s="33" t="s">
        <v>30</v>
      </c>
      <c r="S13" s="33" t="s">
        <v>82</v>
      </c>
      <c r="T13" s="33" t="s">
        <v>83</v>
      </c>
      <c r="U13" s="33" t="s">
        <v>84</v>
      </c>
      <c r="V13" s="33" t="s">
        <v>85</v>
      </c>
      <c r="W13" s="354"/>
      <c r="X13" s="342"/>
      <c r="Y13" s="35"/>
      <c r="Z13" s="35"/>
      <c r="AA13" s="35"/>
    </row>
    <row r="14" spans="1:27" x14ac:dyDescent="0.35">
      <c r="B14" s="39" t="s">
        <v>253</v>
      </c>
      <c r="C14" s="40">
        <v>200</v>
      </c>
      <c r="D14" s="41" t="str">
        <f>IF(ISBLANK($B14),"",VLOOKUP($B14,'2 Feedstock database'!$B$8:$N$27,2,FALSE))</f>
        <v>High</v>
      </c>
      <c r="E14" s="260" t="str">
        <f>IF(ISBLANK($B14),"",VLOOKUP($B14,'2 Feedstock database'!$B$8:$N$27,3,FALSE))</f>
        <v>Very high</v>
      </c>
      <c r="F14" s="260" t="str">
        <f>IF(ISBLANK($B14),"",VLOOKUP($B14,'2 Feedstock database'!$B$8:$N$27,4,FALSE))</f>
        <v>Medium</v>
      </c>
      <c r="G14" s="43">
        <f>IF(ISBLANK($B14),"",VLOOKUP($B14,'2 Feedstock database'!$B$8:$N$27,13,FALSE))</f>
        <v>24.389199999999995</v>
      </c>
      <c r="H14" s="227" t="str">
        <f>IF(ISBLANK($B14),"",IF(ISERROR(VLOOKUP($B14,'2 Feedstock database'!$B$8:$N$27,5,FALSE)),"",VLOOKUP($B14,'2 Feedstock database'!$B$8:$N$27,5,FALSE)))</f>
        <v>Suitable</v>
      </c>
      <c r="I14" s="44">
        <f>IF(ISBLANK($B14),,VLOOKUP($B14,'2 Feedstock database'!$B$8:$N$27,6,FALSE))</f>
        <v>0.77</v>
      </c>
      <c r="J14" s="44">
        <f>IF(ISBLANK($B14),,VLOOKUP($B14,'2 Feedstock database'!$B$8:$N$27,7,FALSE))</f>
        <v>0.22999999999999998</v>
      </c>
      <c r="K14" s="44">
        <f>IF(ISBLANK($B14),,VLOOKUP($B14,'2 Feedstock database'!$B$8:$N$27,8,FALSE))</f>
        <v>0.96399999999999997</v>
      </c>
      <c r="L14" s="44">
        <f>IF(ISBLANK($B14),,VLOOKUP($B14,'2 Feedstock database'!$B$8:$N$27,9,FALSE))</f>
        <v>3.5999999999999997E-2</v>
      </c>
      <c r="M14" s="45">
        <f t="shared" ref="M14:M24" si="0">C14*J14*K14</f>
        <v>44.344000000000001</v>
      </c>
      <c r="N14" s="44">
        <f>IF(ISBLANK($B14),,VLOOKUP($B14,'2 Feedstock database'!$B$8:$N$27,10,FALSE))</f>
        <v>0.36099999999999999</v>
      </c>
      <c r="O14" s="45">
        <f t="shared" ref="O14:O24" si="1">M14*N14</f>
        <v>16.008184</v>
      </c>
      <c r="P14" s="44">
        <f>IF(ISBLANK($B14),,VLOOKUP($B14,'2 Feedstock database'!$B$8:$N$27,11,FALSE))</f>
        <v>0.5302</v>
      </c>
      <c r="Q14" s="44">
        <f>IF(ISBLANK($B14),,VLOOKUP($B14,'2 Feedstock database'!$B$8:$N$27,12,FALSE))</f>
        <v>2.1739130434782612E-2</v>
      </c>
      <c r="R14" s="44">
        <f>IF(ISBLANK($B14),,VLOOKUP($B14,'2 Feedstock database'!$B$8:$N$27,13,FALSE))</f>
        <v>24.389199999999995</v>
      </c>
      <c r="S14" s="44">
        <f t="shared" ref="S14:S24" si="2">C14*I14</f>
        <v>154</v>
      </c>
      <c r="T14" s="44">
        <f t="shared" ref="T14:T24" si="3">C14*J14</f>
        <v>46</v>
      </c>
      <c r="U14" s="44">
        <f t="shared" ref="U14:U24" si="4">T14*P14</f>
        <v>24.389199999999999</v>
      </c>
      <c r="V14" s="44">
        <f t="shared" ref="V14:V24" si="5">T14*Q14</f>
        <v>1.0000000000000002</v>
      </c>
      <c r="W14" s="288">
        <f t="shared" ref="W14:W24" si="6">IF(H14="Suitable",C14,0)</f>
        <v>200</v>
      </c>
      <c r="X14" s="44">
        <f t="shared" ref="X14:X24" si="7">IF(H14="Can be added for structure",C14,0)</f>
        <v>0</v>
      </c>
      <c r="Y14" s="35"/>
      <c r="Z14" s="35"/>
      <c r="AA14" s="35"/>
    </row>
    <row r="15" spans="1:27" x14ac:dyDescent="0.35">
      <c r="B15" s="39"/>
      <c r="C15" s="40"/>
      <c r="D15" s="41" t="str">
        <f>IF(ISBLANK($B15),"",VLOOKUP($B15,'2 Feedstock database'!$B$8:$N$27,2,FALSE))</f>
        <v/>
      </c>
      <c r="E15" s="260" t="str">
        <f>IF(ISBLANK($B15),"",VLOOKUP($B15,'2 Feedstock database'!$B$8:$N$27,3,FALSE))</f>
        <v/>
      </c>
      <c r="F15" s="260" t="str">
        <f>IF(ISBLANK($B15),"",VLOOKUP($B15,'2 Feedstock database'!$B$8:$N$27,4,FALSE))</f>
        <v/>
      </c>
      <c r="G15" s="43" t="str">
        <f>IF(ISBLANK($B15),"",VLOOKUP($B15,'2 Feedstock database'!$B$8:$N$27,13,FALSE))</f>
        <v/>
      </c>
      <c r="H15" s="227" t="str">
        <f>IF(ISBLANK($B15),"",IF(ISERROR(VLOOKUP($B15,'2 Feedstock database'!$B$8:$N$27,5,FALSE)),"",VLOOKUP($B15,'2 Feedstock database'!$B$8:$N$27,5,FALSE)))</f>
        <v/>
      </c>
      <c r="I15" s="44">
        <f>IF(ISBLANK($B15),,VLOOKUP($B15,'2 Feedstock database'!$B$8:$N$27,6,FALSE))</f>
        <v>0</v>
      </c>
      <c r="J15" s="44">
        <f>IF(ISBLANK($B15),,VLOOKUP($B15,'2 Feedstock database'!$B$8:$N$27,7,FALSE))</f>
        <v>0</v>
      </c>
      <c r="K15" s="44">
        <f>IF(ISBLANK($B15),,VLOOKUP($B15,'2 Feedstock database'!$B$8:$N$27,8,FALSE))</f>
        <v>0</v>
      </c>
      <c r="L15" s="44">
        <f>IF(ISBLANK($B15),,VLOOKUP($B15,'2 Feedstock database'!$B$8:$N$27,9,FALSE))</f>
        <v>0</v>
      </c>
      <c r="M15" s="45">
        <f t="shared" si="0"/>
        <v>0</v>
      </c>
      <c r="N15" s="44">
        <f>IF(ISBLANK($B15),,VLOOKUP($B15,'2 Feedstock database'!$B$8:$N$27,10,FALSE))</f>
        <v>0</v>
      </c>
      <c r="O15" s="45">
        <f t="shared" si="1"/>
        <v>0</v>
      </c>
      <c r="P15" s="44">
        <f>IF(ISBLANK($B15),,VLOOKUP($B15,'2 Feedstock database'!$B$8:$N$27,11,FALSE))</f>
        <v>0</v>
      </c>
      <c r="Q15" s="44">
        <f>IF(ISBLANK($B15),,VLOOKUP($B15,'2 Feedstock database'!$B$8:$N$27,12,FALSE))</f>
        <v>0</v>
      </c>
      <c r="R15" s="44">
        <f>IF(ISBLANK($B15),,VLOOKUP($B15,'2 Feedstock database'!$B$8:$N$27,13,FALSE))</f>
        <v>0</v>
      </c>
      <c r="S15" s="44">
        <f t="shared" si="2"/>
        <v>0</v>
      </c>
      <c r="T15" s="44">
        <f t="shared" si="3"/>
        <v>0</v>
      </c>
      <c r="U15" s="44">
        <f t="shared" si="4"/>
        <v>0</v>
      </c>
      <c r="V15" s="44">
        <f t="shared" si="5"/>
        <v>0</v>
      </c>
      <c r="W15" s="288">
        <f t="shared" si="6"/>
        <v>0</v>
      </c>
      <c r="X15" s="44">
        <f t="shared" si="7"/>
        <v>0</v>
      </c>
      <c r="Y15" s="35"/>
      <c r="Z15" s="35"/>
      <c r="AA15" s="35"/>
    </row>
    <row r="16" spans="1:27" x14ac:dyDescent="0.35">
      <c r="B16" s="39"/>
      <c r="C16" s="40"/>
      <c r="D16" s="41" t="str">
        <f>IF(ISBLANK($B16),"",VLOOKUP($B16,'2 Feedstock database'!$B$8:$N$27,2,FALSE))</f>
        <v/>
      </c>
      <c r="E16" s="260" t="str">
        <f>IF(ISBLANK($B16),"",VLOOKUP($B16,'2 Feedstock database'!$B$8:$N$27,3,FALSE))</f>
        <v/>
      </c>
      <c r="F16" s="260" t="str">
        <f>IF(ISBLANK($B16),"",VLOOKUP($B16,'2 Feedstock database'!$B$8:$N$27,4,FALSE))</f>
        <v/>
      </c>
      <c r="G16" s="43" t="str">
        <f>IF(ISBLANK($B16),"",VLOOKUP($B16,'2 Feedstock database'!$B$8:$N$27,13,FALSE))</f>
        <v/>
      </c>
      <c r="H16" s="227" t="str">
        <f>IF(ISBLANK($B16),"",IF(ISERROR(VLOOKUP($B16,'2 Feedstock database'!$B$8:$N$27,5,FALSE)),"",VLOOKUP($B16,'2 Feedstock database'!$B$8:$N$27,5,FALSE)))</f>
        <v/>
      </c>
      <c r="I16" s="44">
        <f>IF(ISBLANK($B16),,VLOOKUP($B16,'2 Feedstock database'!$B$8:$N$27,6,FALSE))</f>
        <v>0</v>
      </c>
      <c r="J16" s="44">
        <f>IF(ISBLANK($B16),,VLOOKUP($B16,'2 Feedstock database'!$B$8:$N$27,7,FALSE))</f>
        <v>0</v>
      </c>
      <c r="K16" s="44">
        <f>IF(ISBLANK($B16),,VLOOKUP($B16,'2 Feedstock database'!$B$8:$N$27,8,FALSE))</f>
        <v>0</v>
      </c>
      <c r="L16" s="44">
        <f>IF(ISBLANK($B16),,VLOOKUP($B16,'2 Feedstock database'!$B$8:$N$27,9,FALSE))</f>
        <v>0</v>
      </c>
      <c r="M16" s="45">
        <f t="shared" si="0"/>
        <v>0</v>
      </c>
      <c r="N16" s="44">
        <f>IF(ISBLANK($B16),,VLOOKUP($B16,'2 Feedstock database'!$B$8:$N$27,10,FALSE))</f>
        <v>0</v>
      </c>
      <c r="O16" s="45">
        <f t="shared" si="1"/>
        <v>0</v>
      </c>
      <c r="P16" s="44">
        <f>IF(ISBLANK($B16),,VLOOKUP($B16,'2 Feedstock database'!$B$8:$N$27,11,FALSE))</f>
        <v>0</v>
      </c>
      <c r="Q16" s="44">
        <f>IF(ISBLANK($B16),,VLOOKUP($B16,'2 Feedstock database'!$B$8:$N$27,12,FALSE))</f>
        <v>0</v>
      </c>
      <c r="R16" s="44">
        <f>IF(ISBLANK($B16),,VLOOKUP($B16,'2 Feedstock database'!$B$8:$N$27,13,FALSE))</f>
        <v>0</v>
      </c>
      <c r="S16" s="44">
        <f t="shared" si="2"/>
        <v>0</v>
      </c>
      <c r="T16" s="44">
        <f t="shared" si="3"/>
        <v>0</v>
      </c>
      <c r="U16" s="44">
        <f t="shared" si="4"/>
        <v>0</v>
      </c>
      <c r="V16" s="44">
        <f t="shared" si="5"/>
        <v>0</v>
      </c>
      <c r="W16" s="288">
        <f t="shared" si="6"/>
        <v>0</v>
      </c>
      <c r="X16" s="44">
        <f t="shared" si="7"/>
        <v>0</v>
      </c>
      <c r="Y16" s="35"/>
      <c r="Z16" s="35"/>
      <c r="AA16" s="35"/>
    </row>
    <row r="17" spans="2:27" x14ac:dyDescent="0.35">
      <c r="B17" s="39"/>
      <c r="C17" s="40"/>
      <c r="D17" s="41" t="str">
        <f>IF(ISBLANK($B17),"",VLOOKUP($B17,'2 Feedstock database'!$B$8:$N$27,2,FALSE))</f>
        <v/>
      </c>
      <c r="E17" s="260" t="str">
        <f>IF(ISBLANK($B17),"",VLOOKUP($B17,'2 Feedstock database'!$B$8:$N$27,3,FALSE))</f>
        <v/>
      </c>
      <c r="F17" s="260" t="str">
        <f>IF(ISBLANK($B17),"",VLOOKUP($B17,'2 Feedstock database'!$B$8:$N$27,4,FALSE))</f>
        <v/>
      </c>
      <c r="G17" s="43" t="str">
        <f>IF(ISBLANK($B17),"",VLOOKUP($B17,'2 Feedstock database'!$B$8:$N$27,13,FALSE))</f>
        <v/>
      </c>
      <c r="H17" s="227" t="str">
        <f>IF(ISBLANK($B17),"",IF(ISERROR(VLOOKUP($B17,'2 Feedstock database'!$B$8:$N$27,5,FALSE)),"",VLOOKUP($B17,'2 Feedstock database'!$B$8:$N$27,5,FALSE)))</f>
        <v/>
      </c>
      <c r="I17" s="44">
        <f>IF(ISBLANK($B17),,VLOOKUP($B17,'2 Feedstock database'!$B$8:$N$27,6,FALSE))</f>
        <v>0</v>
      </c>
      <c r="J17" s="44">
        <f>IF(ISBLANK($B17),,VLOOKUP($B17,'2 Feedstock database'!$B$8:$N$27,7,FALSE))</f>
        <v>0</v>
      </c>
      <c r="K17" s="44">
        <f>IF(ISBLANK($B17),,VLOOKUP($B17,'2 Feedstock database'!$B$8:$N$27,8,FALSE))</f>
        <v>0</v>
      </c>
      <c r="L17" s="44">
        <f>IF(ISBLANK($B17),,VLOOKUP($B17,'2 Feedstock database'!$B$8:$N$27,9,FALSE))</f>
        <v>0</v>
      </c>
      <c r="M17" s="45">
        <f t="shared" si="0"/>
        <v>0</v>
      </c>
      <c r="N17" s="44">
        <f>IF(ISBLANK($B17),,VLOOKUP($B17,'2 Feedstock database'!$B$8:$N$27,10,FALSE))</f>
        <v>0</v>
      </c>
      <c r="O17" s="45">
        <f t="shared" si="1"/>
        <v>0</v>
      </c>
      <c r="P17" s="44">
        <f>IF(ISBLANK($B17),,VLOOKUP($B17,'2 Feedstock database'!$B$8:$N$27,11,FALSE))</f>
        <v>0</v>
      </c>
      <c r="Q17" s="44">
        <f>IF(ISBLANK($B17),,VLOOKUP($B17,'2 Feedstock database'!$B$8:$N$27,12,FALSE))</f>
        <v>0</v>
      </c>
      <c r="R17" s="44">
        <f>IF(ISBLANK($B17),,VLOOKUP($B17,'2 Feedstock database'!$B$8:$N$27,13,FALSE))</f>
        <v>0</v>
      </c>
      <c r="S17" s="44">
        <f t="shared" si="2"/>
        <v>0</v>
      </c>
      <c r="T17" s="44">
        <f t="shared" si="3"/>
        <v>0</v>
      </c>
      <c r="U17" s="44">
        <f t="shared" si="4"/>
        <v>0</v>
      </c>
      <c r="V17" s="44">
        <f t="shared" si="5"/>
        <v>0</v>
      </c>
      <c r="W17" s="288">
        <f t="shared" si="6"/>
        <v>0</v>
      </c>
      <c r="X17" s="44">
        <f t="shared" si="7"/>
        <v>0</v>
      </c>
      <c r="Y17" s="35"/>
      <c r="Z17" s="35"/>
      <c r="AA17" s="35"/>
    </row>
    <row r="18" spans="2:27" x14ac:dyDescent="0.35">
      <c r="B18" s="39"/>
      <c r="C18" s="40"/>
      <c r="D18" s="41" t="str">
        <f>IF(ISBLANK($B18),"",VLOOKUP($B18,'2 Feedstock database'!$B$8:$N$27,2,FALSE))</f>
        <v/>
      </c>
      <c r="E18" s="260" t="str">
        <f>IF(ISBLANK($B18),"",VLOOKUP($B18,'2 Feedstock database'!$B$8:$N$27,3,FALSE))</f>
        <v/>
      </c>
      <c r="F18" s="260" t="str">
        <f>IF(ISBLANK($B18),"",VLOOKUP($B18,'2 Feedstock database'!$B$8:$N$27,4,FALSE))</f>
        <v/>
      </c>
      <c r="G18" s="43" t="str">
        <f>IF(ISBLANK($B18),"",VLOOKUP($B18,'2 Feedstock database'!$B$8:$N$27,13,FALSE))</f>
        <v/>
      </c>
      <c r="H18" s="227" t="str">
        <f>IF(ISBLANK($B18),"",IF(ISERROR(VLOOKUP($B18,'2 Feedstock database'!$B$8:$N$27,5,FALSE)),"",VLOOKUP($B18,'2 Feedstock database'!$B$8:$N$27,5,FALSE)))</f>
        <v/>
      </c>
      <c r="I18" s="44">
        <f>IF(ISBLANK($B18),,VLOOKUP($B18,'2 Feedstock database'!$B$8:$N$27,6,FALSE))</f>
        <v>0</v>
      </c>
      <c r="J18" s="44">
        <f>IF(ISBLANK($B18),,VLOOKUP($B18,'2 Feedstock database'!$B$8:$N$27,7,FALSE))</f>
        <v>0</v>
      </c>
      <c r="K18" s="44">
        <f>IF(ISBLANK($B18),,VLOOKUP($B18,'2 Feedstock database'!$B$8:$N$27,8,FALSE))</f>
        <v>0</v>
      </c>
      <c r="L18" s="44">
        <f>IF(ISBLANK($B18),,VLOOKUP($B18,'2 Feedstock database'!$B$8:$N$27,9,FALSE))</f>
        <v>0</v>
      </c>
      <c r="M18" s="45">
        <f t="shared" si="0"/>
        <v>0</v>
      </c>
      <c r="N18" s="44">
        <f>IF(ISBLANK($B18),,VLOOKUP($B18,'2 Feedstock database'!$B$8:$N$27,10,FALSE))</f>
        <v>0</v>
      </c>
      <c r="O18" s="45">
        <f t="shared" si="1"/>
        <v>0</v>
      </c>
      <c r="P18" s="44">
        <f>IF(ISBLANK($B18),,VLOOKUP($B18,'2 Feedstock database'!$B$8:$N$27,11,FALSE))</f>
        <v>0</v>
      </c>
      <c r="Q18" s="44">
        <f>IF(ISBLANK($B18),,VLOOKUP($B18,'2 Feedstock database'!$B$8:$N$27,12,FALSE))</f>
        <v>0</v>
      </c>
      <c r="R18" s="44">
        <f>IF(ISBLANK($B18),,VLOOKUP($B18,'2 Feedstock database'!$B$8:$N$27,13,FALSE))</f>
        <v>0</v>
      </c>
      <c r="S18" s="44">
        <f t="shared" si="2"/>
        <v>0</v>
      </c>
      <c r="T18" s="44">
        <f t="shared" si="3"/>
        <v>0</v>
      </c>
      <c r="U18" s="44">
        <f t="shared" si="4"/>
        <v>0</v>
      </c>
      <c r="V18" s="44">
        <f t="shared" si="5"/>
        <v>0</v>
      </c>
      <c r="W18" s="288">
        <f t="shared" si="6"/>
        <v>0</v>
      </c>
      <c r="X18" s="44">
        <f t="shared" si="7"/>
        <v>0</v>
      </c>
      <c r="Y18" s="35"/>
      <c r="Z18" s="35"/>
      <c r="AA18" s="35"/>
    </row>
    <row r="19" spans="2:27" x14ac:dyDescent="0.35">
      <c r="B19" s="39"/>
      <c r="C19" s="40"/>
      <c r="D19" s="41" t="str">
        <f>IF(ISBLANK($B19),"",VLOOKUP($B19,'2 Feedstock database'!$B$8:$N$27,2,FALSE))</f>
        <v/>
      </c>
      <c r="E19" s="260" t="str">
        <f>IF(ISBLANK($B19),"",VLOOKUP($B19,'2 Feedstock database'!$B$8:$N$27,3,FALSE))</f>
        <v/>
      </c>
      <c r="F19" s="260" t="str">
        <f>IF(ISBLANK($B19),"",VLOOKUP($B19,'2 Feedstock database'!$B$8:$N$27,4,FALSE))</f>
        <v/>
      </c>
      <c r="G19" s="43" t="str">
        <f>IF(ISBLANK($B19),"",VLOOKUP($B19,'2 Feedstock database'!$B$8:$N$27,13,FALSE))</f>
        <v/>
      </c>
      <c r="H19" s="227" t="str">
        <f>IF(ISBLANK($B19),"",IF(ISERROR(VLOOKUP($B19,'2 Feedstock database'!$B$8:$N$27,5,FALSE)),"",VLOOKUP($B19,'2 Feedstock database'!$B$8:$N$27,5,FALSE)))</f>
        <v/>
      </c>
      <c r="I19" s="44">
        <f>IF(ISBLANK($B19),,VLOOKUP($B19,'2 Feedstock database'!$B$8:$N$27,6,FALSE))</f>
        <v>0</v>
      </c>
      <c r="J19" s="44">
        <f>IF(ISBLANK($B19),,VLOOKUP($B19,'2 Feedstock database'!$B$8:$N$27,7,FALSE))</f>
        <v>0</v>
      </c>
      <c r="K19" s="44">
        <f>IF(ISBLANK($B19),,VLOOKUP($B19,'2 Feedstock database'!$B$8:$N$27,8,FALSE))</f>
        <v>0</v>
      </c>
      <c r="L19" s="44">
        <f>IF(ISBLANK($B19),,VLOOKUP($B19,'2 Feedstock database'!$B$8:$N$27,9,FALSE))</f>
        <v>0</v>
      </c>
      <c r="M19" s="45">
        <f t="shared" si="0"/>
        <v>0</v>
      </c>
      <c r="N19" s="44">
        <f>IF(ISBLANK($B19),,VLOOKUP($B19,'2 Feedstock database'!$B$8:$N$27,10,FALSE))</f>
        <v>0</v>
      </c>
      <c r="O19" s="45">
        <f t="shared" si="1"/>
        <v>0</v>
      </c>
      <c r="P19" s="44">
        <f>IF(ISBLANK($B19),,VLOOKUP($B19,'2 Feedstock database'!$B$8:$N$27,11,FALSE))</f>
        <v>0</v>
      </c>
      <c r="Q19" s="44">
        <f>IF(ISBLANK($B19),,VLOOKUP($B19,'2 Feedstock database'!$B$8:$N$27,12,FALSE))</f>
        <v>0</v>
      </c>
      <c r="R19" s="44">
        <f>IF(ISBLANK($B19),,VLOOKUP($B19,'2 Feedstock database'!$B$8:$N$27,13,FALSE))</f>
        <v>0</v>
      </c>
      <c r="S19" s="44">
        <f t="shared" si="2"/>
        <v>0</v>
      </c>
      <c r="T19" s="44">
        <f t="shared" si="3"/>
        <v>0</v>
      </c>
      <c r="U19" s="44">
        <f t="shared" si="4"/>
        <v>0</v>
      </c>
      <c r="V19" s="44">
        <f t="shared" si="5"/>
        <v>0</v>
      </c>
      <c r="W19" s="288">
        <f t="shared" si="6"/>
        <v>0</v>
      </c>
      <c r="X19" s="44">
        <f t="shared" si="7"/>
        <v>0</v>
      </c>
      <c r="Y19" s="35"/>
      <c r="Z19" s="35"/>
      <c r="AA19" s="35"/>
    </row>
    <row r="20" spans="2:27" x14ac:dyDescent="0.35">
      <c r="B20" s="39"/>
      <c r="C20" s="40"/>
      <c r="D20" s="41" t="str">
        <f>IF(ISBLANK($B20),"",VLOOKUP($B20,'2 Feedstock database'!$B$8:$N$27,2,FALSE))</f>
        <v/>
      </c>
      <c r="E20" s="260" t="str">
        <f>IF(ISBLANK($B20),"",VLOOKUP($B20,'2 Feedstock database'!$B$8:$N$27,3,FALSE))</f>
        <v/>
      </c>
      <c r="F20" s="260" t="str">
        <f>IF(ISBLANK($B20),"",VLOOKUP($B20,'2 Feedstock database'!$B$8:$N$27,4,FALSE))</f>
        <v/>
      </c>
      <c r="G20" s="43" t="str">
        <f>IF(ISBLANK($B20),"",VLOOKUP($B20,'2 Feedstock database'!$B$8:$N$27,13,FALSE))</f>
        <v/>
      </c>
      <c r="H20" s="227" t="str">
        <f>IF(ISBLANK($B20),"",IF(ISERROR(VLOOKUP($B20,'2 Feedstock database'!$B$8:$N$27,5,FALSE)),"",VLOOKUP($B20,'2 Feedstock database'!$B$8:$N$27,5,FALSE)))</f>
        <v/>
      </c>
      <c r="I20" s="44">
        <f>IF(ISBLANK($B20),,VLOOKUP($B20,'2 Feedstock database'!$B$8:$N$27,6,FALSE))</f>
        <v>0</v>
      </c>
      <c r="J20" s="44">
        <f>IF(ISBLANK($B20),,VLOOKUP($B20,'2 Feedstock database'!$B$8:$N$27,7,FALSE))</f>
        <v>0</v>
      </c>
      <c r="K20" s="44">
        <f>IF(ISBLANK($B20),,VLOOKUP($B20,'2 Feedstock database'!$B$8:$N$27,8,FALSE))</f>
        <v>0</v>
      </c>
      <c r="L20" s="44">
        <f>IF(ISBLANK($B20),,VLOOKUP($B20,'2 Feedstock database'!$B$8:$N$27,9,FALSE))</f>
        <v>0</v>
      </c>
      <c r="M20" s="45">
        <f t="shared" si="0"/>
        <v>0</v>
      </c>
      <c r="N20" s="44">
        <f>IF(ISBLANK($B20),,VLOOKUP($B20,'2 Feedstock database'!$B$8:$N$27,10,FALSE))</f>
        <v>0</v>
      </c>
      <c r="O20" s="45">
        <f t="shared" si="1"/>
        <v>0</v>
      </c>
      <c r="P20" s="44">
        <f>IF(ISBLANK($B20),,VLOOKUP($B20,'2 Feedstock database'!$B$8:$N$27,11,FALSE))</f>
        <v>0</v>
      </c>
      <c r="Q20" s="44">
        <f>IF(ISBLANK($B20),,VLOOKUP($B20,'2 Feedstock database'!$B$8:$N$27,12,FALSE))</f>
        <v>0</v>
      </c>
      <c r="R20" s="44">
        <f>IF(ISBLANK($B20),,VLOOKUP($B20,'2 Feedstock database'!$B$8:$N$27,13,FALSE))</f>
        <v>0</v>
      </c>
      <c r="S20" s="44">
        <f t="shared" si="2"/>
        <v>0</v>
      </c>
      <c r="T20" s="44">
        <f t="shared" si="3"/>
        <v>0</v>
      </c>
      <c r="U20" s="44">
        <f t="shared" si="4"/>
        <v>0</v>
      </c>
      <c r="V20" s="44">
        <f t="shared" si="5"/>
        <v>0</v>
      </c>
      <c r="W20" s="288">
        <f t="shared" si="6"/>
        <v>0</v>
      </c>
      <c r="X20" s="44">
        <f t="shared" si="7"/>
        <v>0</v>
      </c>
      <c r="Y20" s="35"/>
      <c r="Z20" s="35"/>
      <c r="AA20" s="35"/>
    </row>
    <row r="21" spans="2:27" x14ac:dyDescent="0.35">
      <c r="B21" s="39"/>
      <c r="C21" s="40"/>
      <c r="D21" s="41" t="str">
        <f>IF(ISBLANK($B21),"",VLOOKUP($B21,'2 Feedstock database'!$B$8:$N$27,2,FALSE))</f>
        <v/>
      </c>
      <c r="E21" s="260" t="str">
        <f>IF(ISBLANK($B21),"",VLOOKUP($B21,'2 Feedstock database'!$B$8:$N$27,3,FALSE))</f>
        <v/>
      </c>
      <c r="F21" s="260" t="str">
        <f>IF(ISBLANK($B21),"",VLOOKUP($B21,'2 Feedstock database'!$B$8:$N$27,4,FALSE))</f>
        <v/>
      </c>
      <c r="G21" s="43" t="str">
        <f>IF(ISBLANK($B21),"",VLOOKUP($B21,'2 Feedstock database'!$B$8:$N$27,13,FALSE))</f>
        <v/>
      </c>
      <c r="H21" s="227" t="str">
        <f>IF(ISBLANK($B21),"",IF(ISERROR(VLOOKUP($B21,'2 Feedstock database'!$B$8:$N$27,5,FALSE)),"",VLOOKUP($B21,'2 Feedstock database'!$B$8:$N$27,5,FALSE)))</f>
        <v/>
      </c>
      <c r="I21" s="44">
        <f>IF(ISBLANK($B21),,VLOOKUP($B21,'2 Feedstock database'!$B$8:$N$27,6,FALSE))</f>
        <v>0</v>
      </c>
      <c r="J21" s="44">
        <f>IF(ISBLANK($B21),,VLOOKUP($B21,'2 Feedstock database'!$B$8:$N$27,7,FALSE))</f>
        <v>0</v>
      </c>
      <c r="K21" s="44">
        <f>IF(ISBLANK($B21),,VLOOKUP($B21,'2 Feedstock database'!$B$8:$N$27,8,FALSE))</f>
        <v>0</v>
      </c>
      <c r="L21" s="44">
        <f>IF(ISBLANK($B21),,VLOOKUP($B21,'2 Feedstock database'!$B$8:$N$27,9,FALSE))</f>
        <v>0</v>
      </c>
      <c r="M21" s="45">
        <f t="shared" si="0"/>
        <v>0</v>
      </c>
      <c r="N21" s="44">
        <f>IF(ISBLANK($B21),,VLOOKUP($B21,'2 Feedstock database'!$B$8:$N$27,10,FALSE))</f>
        <v>0</v>
      </c>
      <c r="O21" s="45">
        <f t="shared" si="1"/>
        <v>0</v>
      </c>
      <c r="P21" s="44">
        <f>IF(ISBLANK($B21),,VLOOKUP($B21,'2 Feedstock database'!$B$8:$N$27,11,FALSE))</f>
        <v>0</v>
      </c>
      <c r="Q21" s="44">
        <f>IF(ISBLANK($B21),,VLOOKUP($B21,'2 Feedstock database'!$B$8:$N$27,12,FALSE))</f>
        <v>0</v>
      </c>
      <c r="R21" s="44">
        <f>IF(ISBLANK($B21),,VLOOKUP($B21,'2 Feedstock database'!$B$8:$N$27,13,FALSE))</f>
        <v>0</v>
      </c>
      <c r="S21" s="44">
        <f t="shared" si="2"/>
        <v>0</v>
      </c>
      <c r="T21" s="44">
        <f t="shared" si="3"/>
        <v>0</v>
      </c>
      <c r="U21" s="44">
        <f t="shared" si="4"/>
        <v>0</v>
      </c>
      <c r="V21" s="44">
        <f t="shared" si="5"/>
        <v>0</v>
      </c>
      <c r="W21" s="288">
        <f t="shared" si="6"/>
        <v>0</v>
      </c>
      <c r="X21" s="44">
        <f t="shared" si="7"/>
        <v>0</v>
      </c>
      <c r="Y21" s="35"/>
      <c r="Z21" s="35"/>
      <c r="AA21" s="35"/>
    </row>
    <row r="22" spans="2:27" x14ac:dyDescent="0.35">
      <c r="B22" s="39"/>
      <c r="C22" s="40"/>
      <c r="D22" s="41" t="str">
        <f>IF(ISBLANK($B22),"",VLOOKUP($B22,'2 Feedstock database'!$B$8:$N$27,2,FALSE))</f>
        <v/>
      </c>
      <c r="E22" s="260" t="str">
        <f>IF(ISBLANK($B22),"",VLOOKUP($B22,'2 Feedstock database'!$B$8:$N$27,3,FALSE))</f>
        <v/>
      </c>
      <c r="F22" s="260" t="str">
        <f>IF(ISBLANK($B22),"",VLOOKUP($B22,'2 Feedstock database'!$B$8:$N$27,4,FALSE))</f>
        <v/>
      </c>
      <c r="G22" s="43" t="str">
        <f>IF(ISBLANK($B22),"",VLOOKUP($B22,'2 Feedstock database'!$B$8:$N$27,13,FALSE))</f>
        <v/>
      </c>
      <c r="H22" s="227" t="str">
        <f>IF(ISBLANK($B22),"",IF(ISERROR(VLOOKUP($B22,'2 Feedstock database'!$B$8:$N$27,5,FALSE)),"",VLOOKUP($B22,'2 Feedstock database'!$B$8:$N$27,5,FALSE)))</f>
        <v/>
      </c>
      <c r="I22" s="44">
        <f>IF(ISBLANK($B22),,VLOOKUP($B22,'2 Feedstock database'!$B$8:$N$27,6,FALSE))</f>
        <v>0</v>
      </c>
      <c r="J22" s="44">
        <f>IF(ISBLANK($B22),,VLOOKUP($B22,'2 Feedstock database'!$B$8:$N$27,7,FALSE))</f>
        <v>0</v>
      </c>
      <c r="K22" s="44">
        <f>IF(ISBLANK($B22),,VLOOKUP($B22,'2 Feedstock database'!$B$8:$N$27,8,FALSE))</f>
        <v>0</v>
      </c>
      <c r="L22" s="44">
        <f>IF(ISBLANK($B22),,VLOOKUP($B22,'2 Feedstock database'!$B$8:$N$27,9,FALSE))</f>
        <v>0</v>
      </c>
      <c r="M22" s="45">
        <f t="shared" si="0"/>
        <v>0</v>
      </c>
      <c r="N22" s="44">
        <f>IF(ISBLANK($B22),,VLOOKUP($B22,'2 Feedstock database'!$B$8:$N$27,10,FALSE))</f>
        <v>0</v>
      </c>
      <c r="O22" s="45">
        <f t="shared" si="1"/>
        <v>0</v>
      </c>
      <c r="P22" s="44">
        <f>IF(ISBLANK($B22),,VLOOKUP($B22,'2 Feedstock database'!$B$8:$N$27,11,FALSE))</f>
        <v>0</v>
      </c>
      <c r="Q22" s="44">
        <f>IF(ISBLANK($B22),,VLOOKUP($B22,'2 Feedstock database'!$B$8:$N$27,12,FALSE))</f>
        <v>0</v>
      </c>
      <c r="R22" s="44">
        <f>IF(ISBLANK($B22),,VLOOKUP($B22,'2 Feedstock database'!$B$8:$N$27,13,FALSE))</f>
        <v>0</v>
      </c>
      <c r="S22" s="44">
        <f t="shared" si="2"/>
        <v>0</v>
      </c>
      <c r="T22" s="44">
        <f t="shared" si="3"/>
        <v>0</v>
      </c>
      <c r="U22" s="44">
        <f t="shared" si="4"/>
        <v>0</v>
      </c>
      <c r="V22" s="44">
        <f t="shared" si="5"/>
        <v>0</v>
      </c>
      <c r="W22" s="288">
        <f t="shared" si="6"/>
        <v>0</v>
      </c>
      <c r="X22" s="44">
        <f t="shared" si="7"/>
        <v>0</v>
      </c>
      <c r="Y22" s="35"/>
      <c r="Z22" s="35"/>
      <c r="AA22" s="35"/>
    </row>
    <row r="23" spans="2:27" x14ac:dyDescent="0.35">
      <c r="B23" s="39"/>
      <c r="C23" s="40"/>
      <c r="D23" s="41" t="str">
        <f>IF(ISBLANK($B23),"",VLOOKUP($B23,'2 Feedstock database'!$B$8:$N$27,2,FALSE))</f>
        <v/>
      </c>
      <c r="E23" s="260" t="str">
        <f>IF(ISBLANK($B23),"",VLOOKUP($B23,'2 Feedstock database'!$B$8:$N$27,3,FALSE))</f>
        <v/>
      </c>
      <c r="F23" s="260" t="str">
        <f>IF(ISBLANK($B23),"",VLOOKUP($B23,'2 Feedstock database'!$B$8:$N$27,4,FALSE))</f>
        <v/>
      </c>
      <c r="G23" s="43" t="str">
        <f>IF(ISBLANK($B23),"",VLOOKUP($B23,'2 Feedstock database'!$B$8:$N$27,13,FALSE))</f>
        <v/>
      </c>
      <c r="H23" s="227" t="str">
        <f>IF(ISBLANK($B23),"",IF(ISERROR(VLOOKUP($B23,'2 Feedstock database'!$B$8:$N$27,5,FALSE)),"",VLOOKUP($B23,'2 Feedstock database'!$B$8:$N$27,5,FALSE)))</f>
        <v/>
      </c>
      <c r="I23" s="44">
        <f>IF(ISBLANK($B23),,VLOOKUP($B23,'2 Feedstock database'!$B$8:$N$27,6,FALSE))</f>
        <v>0</v>
      </c>
      <c r="J23" s="44">
        <f>IF(ISBLANK($B23),,VLOOKUP($B23,'2 Feedstock database'!$B$8:$N$27,7,FALSE))</f>
        <v>0</v>
      </c>
      <c r="K23" s="44">
        <f>IF(ISBLANK($B23),,VLOOKUP($B23,'2 Feedstock database'!$B$8:$N$27,8,FALSE))</f>
        <v>0</v>
      </c>
      <c r="L23" s="44">
        <f>IF(ISBLANK($B23),,VLOOKUP($B23,'2 Feedstock database'!$B$8:$N$27,9,FALSE))</f>
        <v>0</v>
      </c>
      <c r="M23" s="45">
        <f t="shared" si="0"/>
        <v>0</v>
      </c>
      <c r="N23" s="44">
        <f>IF(ISBLANK($B23),,VLOOKUP($B23,'2 Feedstock database'!$B$8:$N$27,10,FALSE))</f>
        <v>0</v>
      </c>
      <c r="O23" s="45">
        <f t="shared" si="1"/>
        <v>0</v>
      </c>
      <c r="P23" s="44">
        <f>IF(ISBLANK($B23),,VLOOKUP($B23,'2 Feedstock database'!$B$8:$N$27,11,FALSE))</f>
        <v>0</v>
      </c>
      <c r="Q23" s="44">
        <f>IF(ISBLANK($B23),,VLOOKUP($B23,'2 Feedstock database'!$B$8:$N$27,12,FALSE))</f>
        <v>0</v>
      </c>
      <c r="R23" s="44">
        <f>IF(ISBLANK($B23),,VLOOKUP($B23,'2 Feedstock database'!$B$8:$N$27,13,FALSE))</f>
        <v>0</v>
      </c>
      <c r="S23" s="44">
        <f t="shared" si="2"/>
        <v>0</v>
      </c>
      <c r="T23" s="44">
        <f t="shared" si="3"/>
        <v>0</v>
      </c>
      <c r="U23" s="44">
        <f t="shared" si="4"/>
        <v>0</v>
      </c>
      <c r="V23" s="44">
        <f t="shared" si="5"/>
        <v>0</v>
      </c>
      <c r="W23" s="288">
        <f t="shared" si="6"/>
        <v>0</v>
      </c>
      <c r="X23" s="44">
        <f t="shared" si="7"/>
        <v>0</v>
      </c>
      <c r="Y23" s="35"/>
      <c r="Z23" s="35"/>
      <c r="AA23" s="35"/>
    </row>
    <row r="24" spans="2:27" ht="15" thickBot="1" x14ac:dyDescent="0.4">
      <c r="B24" s="46"/>
      <c r="C24" s="47"/>
      <c r="D24" s="48" t="str">
        <f>IF(ISBLANK($B24),"",VLOOKUP($B24,'2 Feedstock database'!$B$8:$N$27,2,FALSE))</f>
        <v/>
      </c>
      <c r="E24" s="49" t="str">
        <f>IF(ISBLANK($B24),"",VLOOKUP($B24,'2 Feedstock database'!$B$8:$N$27,3,FALSE))</f>
        <v/>
      </c>
      <c r="F24" s="49" t="str">
        <f>IF(ISBLANK($B24),"",VLOOKUP($B24,'2 Feedstock database'!$B$8:$N$27,4,FALSE))</f>
        <v/>
      </c>
      <c r="G24" s="50" t="str">
        <f>IF(ISBLANK($B24),"",VLOOKUP($B24,'2 Feedstock database'!$B$8:$N$27,13,FALSE))</f>
        <v/>
      </c>
      <c r="H24" s="228" t="str">
        <f>IF(ISBLANK($B24),"",IF(ISERROR(VLOOKUP($B24,'2 Feedstock database'!$B$8:$N$27,5,FALSE)),"",VLOOKUP($B24,'2 Feedstock database'!$B$8:$N$27,5,FALSE)))</f>
        <v/>
      </c>
      <c r="I24" s="44">
        <f>IF(ISBLANK($B24),,VLOOKUP($B24,'2 Feedstock database'!$B$8:$N$27,6,FALSE))</f>
        <v>0</v>
      </c>
      <c r="J24" s="44">
        <f>IF(ISBLANK($B24),,VLOOKUP($B24,'2 Feedstock database'!$B$8:$N$27,7,FALSE))</f>
        <v>0</v>
      </c>
      <c r="K24" s="44">
        <f>IF(ISBLANK($B24),,VLOOKUP($B24,'2 Feedstock database'!$B$8:$N$27,8,FALSE))</f>
        <v>0</v>
      </c>
      <c r="L24" s="44">
        <f>IF(ISBLANK($B24),,VLOOKUP($B24,'2 Feedstock database'!$B$8:$N$27,9,FALSE))</f>
        <v>0</v>
      </c>
      <c r="M24" s="45">
        <f t="shared" si="0"/>
        <v>0</v>
      </c>
      <c r="N24" s="44">
        <f>IF(ISBLANK($B24),,VLOOKUP($B24,'2 Feedstock database'!$B$8:$N$27,10,FALSE))</f>
        <v>0</v>
      </c>
      <c r="O24" s="45">
        <f t="shared" si="1"/>
        <v>0</v>
      </c>
      <c r="P24" s="44">
        <f>IF(ISBLANK($B24),,VLOOKUP($B24,'2 Feedstock database'!$B$8:$N$27,11,FALSE))</f>
        <v>0</v>
      </c>
      <c r="Q24" s="44">
        <f>IF(ISBLANK($B24),,VLOOKUP($B24,'2 Feedstock database'!$B$8:$N$27,12,FALSE))</f>
        <v>0</v>
      </c>
      <c r="R24" s="44">
        <f>IF(ISBLANK($B24),,VLOOKUP($B24,'2 Feedstock database'!$B$8:$N$27,13,FALSE))</f>
        <v>0</v>
      </c>
      <c r="S24" s="44">
        <f t="shared" si="2"/>
        <v>0</v>
      </c>
      <c r="T24" s="44">
        <f t="shared" si="3"/>
        <v>0</v>
      </c>
      <c r="U24" s="44">
        <f t="shared" si="4"/>
        <v>0</v>
      </c>
      <c r="V24" s="44">
        <f t="shared" si="5"/>
        <v>0</v>
      </c>
      <c r="W24" s="288">
        <f t="shared" si="6"/>
        <v>0</v>
      </c>
      <c r="X24" s="44">
        <f t="shared" si="7"/>
        <v>0</v>
      </c>
      <c r="Y24" s="44"/>
      <c r="Z24" s="44"/>
    </row>
    <row r="25" spans="2:27" x14ac:dyDescent="0.35">
      <c r="B25" s="343" t="s">
        <v>86</v>
      </c>
      <c r="C25" s="343"/>
      <c r="D25" s="344"/>
      <c r="E25" s="344"/>
      <c r="F25" s="344"/>
      <c r="G25" s="344"/>
      <c r="H25" s="345"/>
      <c r="I25" s="44"/>
      <c r="J25" s="44"/>
      <c r="K25" s="44"/>
      <c r="L25" s="44"/>
      <c r="M25" s="44"/>
      <c r="N25" s="44"/>
      <c r="O25" s="44"/>
      <c r="P25" s="44"/>
      <c r="Q25" s="44"/>
      <c r="R25" s="44"/>
      <c r="S25" s="44"/>
      <c r="T25" s="44"/>
      <c r="U25" s="44"/>
      <c r="V25" s="44"/>
      <c r="W25" s="288"/>
      <c r="X25" s="44"/>
      <c r="Y25" s="44"/>
      <c r="Z25" s="44"/>
    </row>
    <row r="26" spans="2:27" x14ac:dyDescent="0.35">
      <c r="B26" s="344"/>
      <c r="C26" s="344"/>
      <c r="D26" s="344"/>
      <c r="E26" s="344"/>
      <c r="F26" s="344"/>
      <c r="G26" s="344"/>
      <c r="H26" s="344"/>
      <c r="W26" s="288"/>
    </row>
    <row r="27" spans="2:27" x14ac:dyDescent="0.35">
      <c r="B27" s="355" t="s">
        <v>266</v>
      </c>
      <c r="C27" s="355"/>
      <c r="D27" s="355"/>
      <c r="E27" s="355"/>
      <c r="F27" s="355"/>
      <c r="G27" s="355"/>
      <c r="H27" s="355"/>
      <c r="W27" s="288"/>
    </row>
    <row r="28" spans="2:27" ht="15" thickBot="1" x14ac:dyDescent="0.4">
      <c r="W28" s="288"/>
    </row>
    <row r="29" spans="2:27" x14ac:dyDescent="0.35">
      <c r="B29" s="51"/>
      <c r="C29" s="52"/>
      <c r="D29" s="52" t="s">
        <v>87</v>
      </c>
      <c r="E29" s="52" t="s">
        <v>88</v>
      </c>
      <c r="F29" s="53"/>
      <c r="W29" s="288"/>
    </row>
    <row r="30" spans="2:27" x14ac:dyDescent="0.35">
      <c r="B30" s="54"/>
      <c r="C30" s="55" t="s">
        <v>89</v>
      </c>
      <c r="D30" s="55" t="s">
        <v>90</v>
      </c>
      <c r="E30" s="55" t="s">
        <v>91</v>
      </c>
      <c r="F30" s="56" t="s">
        <v>30</v>
      </c>
      <c r="W30" s="288"/>
    </row>
    <row r="31" spans="2:27" x14ac:dyDescent="0.35">
      <c r="B31" s="57" t="s">
        <v>92</v>
      </c>
      <c r="C31" s="58">
        <f>SUM(C14:C24)</f>
        <v>200</v>
      </c>
      <c r="D31" s="59">
        <f>SUM(S14:S24)/$C$31</f>
        <v>0.77</v>
      </c>
      <c r="E31" s="59">
        <f>SUM(T14:T24)/$C$31</f>
        <v>0.23</v>
      </c>
      <c r="F31" s="60">
        <f>SUM(U14:U24)/SUM(V14:V24)</f>
        <v>24.389199999999992</v>
      </c>
      <c r="W31" s="288"/>
    </row>
    <row r="32" spans="2:27" x14ac:dyDescent="0.35">
      <c r="W32" s="288"/>
    </row>
    <row r="33" spans="2:23" ht="23.25" customHeight="1" x14ac:dyDescent="0.55000000000000004">
      <c r="B33" s="292" t="s">
        <v>101</v>
      </c>
      <c r="C33" s="292"/>
      <c r="W33" s="288"/>
    </row>
    <row r="34" spans="2:23" ht="23.25" customHeight="1" thickBot="1" x14ac:dyDescent="0.6">
      <c r="B34" s="294" t="s">
        <v>272</v>
      </c>
      <c r="C34" s="292"/>
      <c r="W34" s="288"/>
    </row>
    <row r="35" spans="2:23" ht="19" thickBot="1" x14ac:dyDescent="0.5">
      <c r="K35" s="62" t="s">
        <v>93</v>
      </c>
      <c r="W35" s="288"/>
    </row>
    <row r="36" spans="2:23" ht="30.75" customHeight="1" x14ac:dyDescent="0.35">
      <c r="B36" s="63" t="s">
        <v>94</v>
      </c>
      <c r="C36" s="337" t="s">
        <v>19</v>
      </c>
      <c r="D36" s="332" t="str">
        <f>'1.1 Composting'!C30</f>
        <v>Your mixture is very wet, composting can work with a pretreatment step or add dry material</v>
      </c>
      <c r="E36" s="332"/>
      <c r="F36" s="332"/>
      <c r="G36" s="332"/>
      <c r="H36" s="332"/>
      <c r="I36" s="332"/>
      <c r="J36" s="332"/>
      <c r="K36" s="333" t="str">
        <f>'1.1 Composting'!C38</f>
        <v>Yes, with pretreatment for dewatering &amp; C/N ratio is acceptable but not optimal</v>
      </c>
      <c r="W36" s="288"/>
    </row>
    <row r="37" spans="2:23" x14ac:dyDescent="0.35">
      <c r="B37" s="304"/>
      <c r="C37" s="338"/>
      <c r="D37" s="339" t="str">
        <f>'1.1 Composting'!C32</f>
        <v>Reduce water by -85 L</v>
      </c>
      <c r="E37" s="339"/>
      <c r="F37" s="339"/>
      <c r="G37" s="339"/>
      <c r="H37" s="339"/>
      <c r="I37" s="339"/>
      <c r="J37" s="340"/>
      <c r="K37" s="334"/>
      <c r="W37" s="288"/>
    </row>
    <row r="38" spans="2:23" ht="30.75" customHeight="1" thickBot="1" x14ac:dyDescent="0.4">
      <c r="B38" s="64"/>
      <c r="C38" s="137" t="s">
        <v>30</v>
      </c>
      <c r="D38" s="336" t="str">
        <f>'1.1 Composting'!C35</f>
        <v>Acceptable</v>
      </c>
      <c r="E38" s="336"/>
      <c r="F38" s="336"/>
      <c r="G38" s="336"/>
      <c r="H38" s="336"/>
      <c r="I38" s="336"/>
      <c r="J38" s="336"/>
      <c r="K38" s="335"/>
    </row>
    <row r="39" spans="2:23" ht="15" thickBot="1" x14ac:dyDescent="0.4">
      <c r="B39" s="65"/>
    </row>
    <row r="40" spans="2:23" ht="32.25" customHeight="1" x14ac:dyDescent="0.35">
      <c r="B40" s="63" t="s">
        <v>95</v>
      </c>
      <c r="C40" s="337" t="s">
        <v>19</v>
      </c>
      <c r="D40" s="332" t="str">
        <f>'1.2 AD'!C31</f>
        <v>Your mixture is too dense, you need to add water to have at least 0.85 moisture content. Current: 0.77</v>
      </c>
      <c r="E40" s="332"/>
      <c r="F40" s="332"/>
      <c r="G40" s="332"/>
      <c r="H40" s="332"/>
      <c r="I40" s="332"/>
      <c r="J40" s="332"/>
      <c r="K40" s="333" t="str">
        <f>'1.2 AD'!C39</f>
        <v>No</v>
      </c>
    </row>
    <row r="41" spans="2:23" x14ac:dyDescent="0.35">
      <c r="B41" s="304"/>
      <c r="C41" s="338"/>
      <c r="D41" s="339" t="str">
        <f>'1.2 AD'!C33</f>
        <v>Add 107 L of water to your feedstock</v>
      </c>
      <c r="E41" s="339"/>
      <c r="F41" s="339"/>
      <c r="G41" s="339"/>
      <c r="H41" s="339"/>
      <c r="I41" s="339"/>
      <c r="J41" s="340"/>
      <c r="K41" s="334"/>
    </row>
    <row r="42" spans="2:23" ht="30.75" customHeight="1" thickBot="1" x14ac:dyDescent="0.4">
      <c r="B42" s="64"/>
      <c r="C42" s="137" t="s">
        <v>30</v>
      </c>
      <c r="D42" s="336" t="str">
        <f>'1.2 AD'!C36</f>
        <v>Optimal</v>
      </c>
      <c r="E42" s="336"/>
      <c r="F42" s="336"/>
      <c r="G42" s="336"/>
      <c r="H42" s="336"/>
      <c r="I42" s="336"/>
      <c r="J42" s="336"/>
      <c r="K42" s="335"/>
    </row>
    <row r="43" spans="2:23" ht="15" thickBot="1" x14ac:dyDescent="0.4">
      <c r="B43" s="65"/>
    </row>
    <row r="44" spans="2:23" ht="45.75" customHeight="1" x14ac:dyDescent="0.35">
      <c r="B44" s="63" t="s">
        <v>96</v>
      </c>
      <c r="C44" s="305" t="s">
        <v>19</v>
      </c>
      <c r="D44" s="332" t="str">
        <f>'1.3 BSF'!C30</f>
        <v>Optimal</v>
      </c>
      <c r="E44" s="332"/>
      <c r="F44" s="332"/>
      <c r="G44" s="332"/>
      <c r="H44" s="332"/>
      <c r="I44" s="332"/>
      <c r="J44" s="332"/>
      <c r="K44" s="333" t="str">
        <f>'1.3 BSF'!C38</f>
        <v>Yes</v>
      </c>
    </row>
    <row r="45" spans="2:23" ht="15" customHeight="1" thickBot="1" x14ac:dyDescent="0.4">
      <c r="B45" s="66"/>
      <c r="C45" s="137" t="s">
        <v>97</v>
      </c>
      <c r="D45" s="336" t="str">
        <f>'1.3 BSF'!C35</f>
        <v>Your mixture is more than 50% suitable</v>
      </c>
      <c r="E45" s="336"/>
      <c r="F45" s="336"/>
      <c r="G45" s="336"/>
      <c r="H45" s="336"/>
      <c r="I45" s="336"/>
      <c r="J45" s="336"/>
      <c r="K45" s="335"/>
    </row>
    <row r="46" spans="2:23" x14ac:dyDescent="0.35"/>
  </sheetData>
  <mergeCells count="22">
    <mergeCell ref="C40:C41"/>
    <mergeCell ref="D41:J41"/>
    <mergeCell ref="D37:J37"/>
    <mergeCell ref="B10:H10"/>
    <mergeCell ref="X12:X13"/>
    <mergeCell ref="B25:H26"/>
    <mergeCell ref="D36:J36"/>
    <mergeCell ref="K36:K38"/>
    <mergeCell ref="D38:J38"/>
    <mergeCell ref="B12:B13"/>
    <mergeCell ref="C12:C13"/>
    <mergeCell ref="D12:G12"/>
    <mergeCell ref="H12:H13"/>
    <mergeCell ref="W12:W13"/>
    <mergeCell ref="B27:H27"/>
    <mergeCell ref="C36:C37"/>
    <mergeCell ref="D40:J40"/>
    <mergeCell ref="K40:K42"/>
    <mergeCell ref="D42:J42"/>
    <mergeCell ref="D44:J44"/>
    <mergeCell ref="K44:K45"/>
    <mergeCell ref="D45:J45"/>
  </mergeCells>
  <conditionalFormatting sqref="K36:K37">
    <cfRule type="cellIs" dxfId="26" priority="5" operator="equal">
      <formula>"No"</formula>
    </cfRule>
  </conditionalFormatting>
  <conditionalFormatting sqref="K40:K41">
    <cfRule type="cellIs" dxfId="25" priority="1" operator="equal">
      <formula>"No"</formula>
    </cfRule>
  </conditionalFormatting>
  <conditionalFormatting sqref="K44">
    <cfRule type="cellIs" dxfId="24" priority="2" operator="equal">
      <formula>"No"</formula>
    </cfRule>
  </conditionalFormatting>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'2 Feedstock database'!$B$8:$B$27</xm:f>
          </x14:formula1>
          <xm:sqref>B14:B24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Y160"/>
  <sheetViews>
    <sheetView topLeftCell="A13" zoomScale="85" zoomScaleNormal="85" workbookViewId="0">
      <selection activeCell="B8" sqref="B8"/>
    </sheetView>
  </sheetViews>
  <sheetFormatPr defaultColWidth="0" defaultRowHeight="14.5" zeroHeight="1" x14ac:dyDescent="0.35"/>
  <cols>
    <col min="1" max="1" width="8.7265625" customWidth="1"/>
    <col min="2" max="2" width="35.81640625" customWidth="1"/>
    <col min="3" max="3" width="34.1796875" customWidth="1"/>
    <col min="4" max="4" width="17.7265625" customWidth="1"/>
    <col min="5" max="5" width="15.54296875" customWidth="1"/>
    <col min="6" max="6" width="18.1796875" customWidth="1"/>
    <col min="7" max="7" width="8.453125" bestFit="1" customWidth="1"/>
    <col min="8" max="8" width="16.26953125" customWidth="1"/>
    <col min="9" max="9" width="36" customWidth="1"/>
    <col min="10" max="10" width="25" customWidth="1"/>
    <col min="11" max="11" width="13.1796875" bestFit="1" customWidth="1"/>
    <col min="12" max="12" width="17.7265625" customWidth="1"/>
    <col min="13" max="13" width="21" customWidth="1"/>
    <col min="14" max="14" width="19.453125" customWidth="1"/>
    <col min="15" max="16" width="8.7265625" customWidth="1"/>
    <col min="17" max="17" width="11.1796875" customWidth="1"/>
    <col min="18" max="18" width="23.1796875" style="1" customWidth="1"/>
    <col min="19" max="19" width="15.7265625" style="1" bestFit="1" customWidth="1"/>
    <col min="20" max="21" width="14.453125" style="1" bestFit="1" customWidth="1"/>
    <col min="22" max="25" width="9.1796875" style="1" customWidth="1"/>
    <col min="26" max="16384" width="9.1796875" style="1" hidden="1"/>
  </cols>
  <sheetData>
    <row r="1" spans="1:24" x14ac:dyDescent="0.35">
      <c r="A1" s="1"/>
      <c r="B1" s="1"/>
      <c r="C1" s="1"/>
      <c r="D1" s="1"/>
      <c r="E1" s="1"/>
      <c r="F1" s="1"/>
      <c r="G1" s="1"/>
      <c r="H1" s="1"/>
      <c r="I1" s="1"/>
      <c r="J1" s="1"/>
      <c r="K1" s="1"/>
      <c r="L1" s="1"/>
      <c r="M1" s="1"/>
      <c r="N1" s="1"/>
      <c r="O1" s="1"/>
      <c r="P1" s="1"/>
      <c r="Q1" s="1"/>
    </row>
    <row r="2" spans="1:24" ht="26" x14ac:dyDescent="0.6">
      <c r="A2" s="1"/>
      <c r="B2" s="61" t="s">
        <v>98</v>
      </c>
      <c r="C2" s="61"/>
      <c r="D2" s="4"/>
      <c r="E2" s="1"/>
      <c r="F2" s="1"/>
      <c r="G2" s="1"/>
      <c r="H2" s="1"/>
      <c r="I2" s="1"/>
      <c r="J2" s="1"/>
      <c r="K2" s="1"/>
      <c r="L2" s="1"/>
      <c r="M2" s="1"/>
      <c r="N2" s="1"/>
      <c r="O2" s="1"/>
      <c r="P2" s="1"/>
      <c r="Q2" s="1"/>
    </row>
    <row r="3" spans="1:24" x14ac:dyDescent="0.35">
      <c r="A3" s="1"/>
      <c r="B3" s="1"/>
      <c r="C3" s="5"/>
      <c r="D3" s="4"/>
      <c r="E3" s="1"/>
      <c r="F3" s="1"/>
      <c r="G3" s="1"/>
      <c r="H3" s="1"/>
      <c r="I3" s="1"/>
      <c r="J3" s="1"/>
      <c r="K3" s="1"/>
      <c r="L3" s="1"/>
      <c r="M3" s="1"/>
      <c r="N3" s="1"/>
      <c r="O3" s="1"/>
      <c r="P3" s="1"/>
      <c r="Q3" s="1"/>
    </row>
    <row r="4" spans="1:24" x14ac:dyDescent="0.35">
      <c r="A4" s="1"/>
      <c r="B4" s="390" t="s">
        <v>292</v>
      </c>
      <c r="C4" s="391"/>
      <c r="D4" s="391"/>
      <c r="E4" s="391"/>
      <c r="F4" s="391"/>
      <c r="G4" s="1"/>
      <c r="H4" s="1"/>
      <c r="I4" s="1"/>
      <c r="J4" s="1"/>
      <c r="K4" s="1"/>
      <c r="L4" s="1"/>
      <c r="M4" s="1"/>
      <c r="N4" s="1"/>
      <c r="O4" s="1"/>
      <c r="P4" s="1"/>
      <c r="Q4" s="1"/>
    </row>
    <row r="5" spans="1:24" x14ac:dyDescent="0.35">
      <c r="A5" s="1"/>
      <c r="B5" s="391"/>
      <c r="C5" s="391"/>
      <c r="D5" s="391"/>
      <c r="E5" s="391"/>
      <c r="F5" s="391"/>
      <c r="G5" s="1"/>
      <c r="H5" s="1"/>
      <c r="I5" s="1"/>
      <c r="J5" s="1"/>
      <c r="K5" s="1"/>
      <c r="L5" s="1"/>
      <c r="M5" s="1"/>
      <c r="N5" s="1"/>
      <c r="O5" s="1"/>
      <c r="P5" s="1"/>
      <c r="Q5" s="1"/>
    </row>
    <row r="6" spans="1:24" ht="21" x14ac:dyDescent="0.5">
      <c r="A6" s="1"/>
      <c r="B6" s="67"/>
      <c r="C6" s="67"/>
      <c r="D6" s="68"/>
      <c r="E6" s="69"/>
      <c r="F6" s="69"/>
      <c r="G6" s="1"/>
      <c r="H6" s="1"/>
      <c r="I6" s="1"/>
      <c r="J6" s="1"/>
      <c r="K6" s="1"/>
      <c r="L6" s="1"/>
      <c r="M6" s="1"/>
      <c r="N6" s="1"/>
      <c r="O6" s="1"/>
      <c r="P6" s="1"/>
      <c r="Q6" s="1"/>
    </row>
    <row r="7" spans="1:24" ht="21" x14ac:dyDescent="0.5">
      <c r="A7" s="1"/>
      <c r="B7" s="299" t="s">
        <v>293</v>
      </c>
      <c r="C7" s="67"/>
      <c r="D7" s="69"/>
      <c r="E7" s="69"/>
      <c r="F7" s="69"/>
      <c r="G7" s="1"/>
      <c r="H7" s="1"/>
      <c r="I7" s="1"/>
      <c r="J7" s="1"/>
      <c r="K7" s="1"/>
      <c r="L7" s="1"/>
      <c r="M7" s="1"/>
      <c r="N7" s="1"/>
      <c r="O7" s="1"/>
      <c r="P7" s="1"/>
      <c r="Q7" s="1"/>
    </row>
    <row r="8" spans="1:24" ht="21" x14ac:dyDescent="0.5">
      <c r="A8" s="1"/>
      <c r="B8" s="299"/>
      <c r="C8" s="67"/>
      <c r="D8" s="69"/>
      <c r="E8" s="69"/>
      <c r="F8" s="69"/>
      <c r="G8" s="1"/>
      <c r="H8" s="1"/>
      <c r="I8" s="1"/>
      <c r="J8" s="1"/>
      <c r="K8" s="1"/>
      <c r="L8" s="1"/>
      <c r="M8" s="1"/>
      <c r="N8" s="1"/>
      <c r="O8" s="1"/>
      <c r="P8" s="1"/>
      <c r="Q8" s="1"/>
    </row>
    <row r="9" spans="1:24" ht="21" x14ac:dyDescent="0.5">
      <c r="A9" s="1"/>
      <c r="B9" s="392" t="s">
        <v>99</v>
      </c>
      <c r="C9" s="392"/>
      <c r="D9" s="392"/>
      <c r="E9" s="392"/>
      <c r="F9" s="392"/>
      <c r="G9" s="392"/>
      <c r="H9" s="392"/>
      <c r="I9" s="1"/>
      <c r="J9" s="1"/>
      <c r="K9" s="1"/>
      <c r="L9" s="1"/>
      <c r="M9" s="1"/>
      <c r="N9" s="1"/>
      <c r="O9" s="1"/>
      <c r="P9" s="1"/>
      <c r="Q9" s="1"/>
    </row>
    <row r="10" spans="1:24" ht="32.5" customHeight="1" x14ac:dyDescent="0.55000000000000004">
      <c r="A10" s="1"/>
      <c r="B10" s="379" t="s">
        <v>100</v>
      </c>
      <c r="C10" s="379"/>
      <c r="D10" s="71"/>
      <c r="E10" s="71"/>
      <c r="F10" s="1"/>
      <c r="G10" s="1"/>
      <c r="H10" s="1"/>
      <c r="I10" s="1"/>
      <c r="J10" s="1"/>
      <c r="K10" s="1"/>
      <c r="L10" s="1"/>
      <c r="M10" s="1"/>
      <c r="N10" s="1"/>
      <c r="O10" s="1"/>
      <c r="P10" s="1"/>
      <c r="Q10" s="1"/>
    </row>
    <row r="11" spans="1:24" ht="59.5" customHeight="1" x14ac:dyDescent="0.5">
      <c r="A11" s="1"/>
      <c r="B11" s="393" t="s">
        <v>282</v>
      </c>
      <c r="C11" s="394"/>
      <c r="D11" s="394"/>
      <c r="E11" s="394"/>
      <c r="F11" s="1"/>
      <c r="G11" s="1"/>
      <c r="H11" s="1"/>
      <c r="I11" s="1"/>
      <c r="J11" s="1"/>
      <c r="K11" s="1"/>
      <c r="L11" s="1"/>
      <c r="M11" s="1"/>
      <c r="N11" s="1"/>
      <c r="O11" s="1"/>
      <c r="P11" s="1"/>
      <c r="Q11" s="1"/>
    </row>
    <row r="12" spans="1:24" ht="24" thickBot="1" x14ac:dyDescent="0.6">
      <c r="A12" s="1"/>
      <c r="B12" s="72"/>
      <c r="C12" s="73"/>
      <c r="D12" s="1"/>
      <c r="E12" s="1"/>
      <c r="F12" s="1"/>
      <c r="G12" s="1"/>
      <c r="H12" s="1"/>
      <c r="I12" s="1"/>
      <c r="J12" s="1"/>
      <c r="K12" s="1"/>
      <c r="L12" s="1"/>
      <c r="M12" s="1"/>
      <c r="N12" s="1"/>
      <c r="O12" s="1"/>
      <c r="P12" s="1"/>
      <c r="Q12" s="1"/>
    </row>
    <row r="13" spans="1:24" ht="93.5" thickBot="1" x14ac:dyDescent="0.4">
      <c r="A13" s="1"/>
      <c r="B13" s="395" t="s">
        <v>18</v>
      </c>
      <c r="C13" s="348" t="s">
        <v>68</v>
      </c>
      <c r="D13" s="350" t="s">
        <v>69</v>
      </c>
      <c r="E13" s="351"/>
      <c r="F13" s="351"/>
      <c r="G13" s="32"/>
      <c r="H13" s="282"/>
      <c r="I13" s="282"/>
      <c r="J13" s="282"/>
      <c r="K13" s="225" t="s">
        <v>10</v>
      </c>
      <c r="L13" s="75" t="s">
        <v>11</v>
      </c>
      <c r="M13" s="74" t="s">
        <v>12</v>
      </c>
      <c r="N13" s="74" t="s">
        <v>13</v>
      </c>
      <c r="O13" s="74" t="s">
        <v>70</v>
      </c>
      <c r="P13" s="74" t="s">
        <v>14</v>
      </c>
      <c r="Q13" s="74" t="s">
        <v>71</v>
      </c>
      <c r="R13" s="74" t="s">
        <v>15</v>
      </c>
      <c r="S13" s="74" t="s">
        <v>16</v>
      </c>
      <c r="T13" s="74" t="s">
        <v>17</v>
      </c>
      <c r="U13" s="75"/>
      <c r="V13" s="75" t="s">
        <v>72</v>
      </c>
      <c r="W13" s="74" t="s">
        <v>20</v>
      </c>
      <c r="X13" s="76" t="s">
        <v>21</v>
      </c>
    </row>
    <row r="14" spans="1:24" ht="46.5" x14ac:dyDescent="0.35">
      <c r="A14" s="1"/>
      <c r="B14" s="347"/>
      <c r="C14" s="349"/>
      <c r="D14" s="36" t="s">
        <v>75</v>
      </c>
      <c r="E14" s="37" t="s">
        <v>20</v>
      </c>
      <c r="F14" s="37" t="s">
        <v>21</v>
      </c>
      <c r="G14" s="38" t="s">
        <v>30</v>
      </c>
      <c r="H14" s="282"/>
      <c r="I14" s="282"/>
      <c r="J14" s="282"/>
      <c r="K14" s="257" t="s">
        <v>76</v>
      </c>
      <c r="L14" s="259" t="s">
        <v>77</v>
      </c>
      <c r="M14" s="259" t="s">
        <v>78</v>
      </c>
      <c r="N14" s="259" t="s">
        <v>79</v>
      </c>
      <c r="O14" s="259" t="s">
        <v>80</v>
      </c>
      <c r="P14" s="259" t="s">
        <v>27</v>
      </c>
      <c r="Q14" s="259" t="s">
        <v>81</v>
      </c>
      <c r="R14" s="259" t="s">
        <v>28</v>
      </c>
      <c r="S14" s="259" t="s">
        <v>29</v>
      </c>
      <c r="T14" s="259" t="s">
        <v>30</v>
      </c>
      <c r="U14" s="259" t="s">
        <v>82</v>
      </c>
      <c r="V14" s="259" t="s">
        <v>83</v>
      </c>
      <c r="W14" s="259" t="s">
        <v>84</v>
      </c>
      <c r="X14" s="258" t="s">
        <v>85</v>
      </c>
    </row>
    <row r="15" spans="1:24" x14ac:dyDescent="0.35">
      <c r="A15" s="1"/>
      <c r="B15" s="310" t="str">
        <f>IF(ISBLANK(' 1 Technology_check'!B14),"",' 1 Technology_check'!B14)</f>
        <v>Organic waste</v>
      </c>
      <c r="C15" s="311">
        <f>IF(ISBLANK(' 1 Technology_check'!C14),"",' 1 Technology_check'!C14)</f>
        <v>200</v>
      </c>
      <c r="D15" s="77" t="str">
        <f>IF(ISBLANK($B15),"",IF(ISERROR(VLOOKUP($B15,'2 Feedstock database'!$B$8:$N$27,2,FALSE)),"",VLOOKUP($B15,'2 Feedstock database'!$B$8:$N$27,2,FALSE)))</f>
        <v>High</v>
      </c>
      <c r="E15" s="78" t="str">
        <f>IF(ISBLANK($B15),"",IF(ISERROR(VLOOKUP($B15,'2 Feedstock database'!$B$8:$N$27,3,FALSE)),"",VLOOKUP($B15,'2 Feedstock database'!$B$8:$N$27,3,FALSE)))</f>
        <v>Very high</v>
      </c>
      <c r="F15" s="78" t="str">
        <f>IF(ISBLANK($B15),"",IF(ISERROR(VLOOKUP($B15,'2 Feedstock database'!$B$8:$N$27,4,FALSE)),"",VLOOKUP($B15,'2 Feedstock database'!$B$8:$N$27,4,FALSE)))</f>
        <v>Medium</v>
      </c>
      <c r="G15" s="79">
        <f>IF(ISBLANK($B15),"",IF(ISERROR(VLOOKUP($B15,'2 Feedstock database'!$B$8:$N$27,13,FALSE)),"",VLOOKUP($B15,'2 Feedstock database'!$B$8:$N$27,13,FALSE)))</f>
        <v>24.389199999999995</v>
      </c>
      <c r="H15" s="282"/>
      <c r="I15" s="282"/>
      <c r="J15" s="282"/>
      <c r="K15" s="77">
        <f>IF(ISBLANK($B15),"",IF(ISERROR(VLOOKUP($B15,'2 Feedstock database'!$B$8:$N$27,6,FALSE)),"",VLOOKUP($B15,'2 Feedstock database'!$B$8:$N$27,6,FALSE)))</f>
        <v>0.77</v>
      </c>
      <c r="L15" s="279">
        <f>IF(ISBLANK($B15),"",IF(ISERROR(VLOOKUP($B15,'2 Feedstock database'!$B$8:$N$27,7,FALSE)),"",VLOOKUP($B15,'2 Feedstock database'!$B$8:$N$27,7,FALSE)))</f>
        <v>0.22999999999999998</v>
      </c>
      <c r="M15" s="279">
        <f>IF(ISBLANK($B15),"",IF(ISERROR(VLOOKUP($B15,'2 Feedstock database'!$B$8:$N$27,8,FALSE)),"",VLOOKUP($B15,'2 Feedstock database'!$B$8:$N$27,8,FALSE)))</f>
        <v>0.96399999999999997</v>
      </c>
      <c r="N15" s="279">
        <f>IF(ISBLANK($B15),"",IF(ISERROR(VLOOKUP($B15,'2 Feedstock database'!$B$8:$N$27,9,FALSE)),"",VLOOKUP($B15,'2 Feedstock database'!$B$8:$N$27,9,FALSE)))</f>
        <v>3.5999999999999997E-2</v>
      </c>
      <c r="O15" s="283">
        <f t="shared" ref="O15:O25" si="0">IF(ISERROR(C15*L15*M15),"",C15*L15*M15)</f>
        <v>44.344000000000001</v>
      </c>
      <c r="P15" s="284">
        <f>IF(ISBLANK($B15),"",IF(ISERROR(VLOOKUP($B15,'2 Feedstock database'!$B$8:$N$27,10,FALSE)),"",VLOOKUP($B15,'2 Feedstock database'!$B$8:$N$27,10,FALSE)))</f>
        <v>0.36099999999999999</v>
      </c>
      <c r="Q15" s="283">
        <f t="shared" ref="Q15:Q25" si="1">IF(ISERROR(O15*P15),"",O15*P15)</f>
        <v>16.008184</v>
      </c>
      <c r="R15" s="279">
        <f>IF(ISBLANK($B15),"",IF(ISERROR(VLOOKUP($B15,'2 Feedstock database'!$B$8:$N$27,11,FALSE)),"",VLOOKUP($B15,'2 Feedstock database'!$B$8:$N$27,11,FALSE)))</f>
        <v>0.5302</v>
      </c>
      <c r="S15" s="279">
        <f>IF(ISBLANK($B15),"",IF(ISERROR(VLOOKUP($B15,'2 Feedstock database'!$B$8:$N$27,12,FALSE)),"",VLOOKUP($B15,'2 Feedstock database'!$B$8:$N$27,12,FALSE)))</f>
        <v>2.1739130434782612E-2</v>
      </c>
      <c r="T15" s="279">
        <f>IF(ISBLANK($B15),"",IF(ISERROR(VLOOKUP($B15,'2 Feedstock database'!$B$8:$N$27,13,FALSE)),"",VLOOKUP($B15,'2 Feedstock database'!$B$8:$N$27,13,FALSE)))</f>
        <v>24.389199999999995</v>
      </c>
      <c r="U15" s="281">
        <f t="shared" ref="U15:U25" si="2">IF(ISERROR(C15*K15),"",C15*K15)</f>
        <v>154</v>
      </c>
      <c r="V15" s="281">
        <f t="shared" ref="V15:V25" si="3">IF(ISERROR(C15*L15),"",C15*L15)</f>
        <v>46</v>
      </c>
      <c r="W15" s="281">
        <f t="shared" ref="W15:W25" si="4">IF(ISERROR(V15*R15),"",V15*R15)</f>
        <v>24.389199999999999</v>
      </c>
      <c r="X15" s="81">
        <f t="shared" ref="X15:X25" si="5">IF(ISERROR(V15*S15),"",V15*S15)</f>
        <v>1.0000000000000002</v>
      </c>
    </row>
    <row r="16" spans="1:24" x14ac:dyDescent="0.35">
      <c r="A16" s="1"/>
      <c r="B16" s="310" t="str">
        <f>IF(ISBLANK(' 1 Technology_check'!B15),"",' 1 Technology_check'!B15)</f>
        <v/>
      </c>
      <c r="C16" s="311" t="str">
        <f>IF(ISBLANK(' 1 Technology_check'!C15),"",' 1 Technology_check'!C15)</f>
        <v/>
      </c>
      <c r="D16" s="77" t="str">
        <f>IF(ISBLANK($B16),"",IF(ISERROR(VLOOKUP($B16,'2 Feedstock database'!$B$8:$N$27,2,FALSE)),"",VLOOKUP($B16,'2 Feedstock database'!$B$8:$N$27,2,FALSE)))</f>
        <v/>
      </c>
      <c r="E16" s="78" t="str">
        <f>IF(ISBLANK($B16),"",IF(ISERROR(VLOOKUP($B16,'2 Feedstock database'!$B$8:$N$27,3,FALSE)),"",VLOOKUP($B16,'2 Feedstock database'!$B$8:$N$27,3,FALSE)))</f>
        <v/>
      </c>
      <c r="F16" s="78" t="str">
        <f>IF(ISBLANK($B16),"",IF(ISERROR(VLOOKUP($B16,'2 Feedstock database'!$B$8:$N$27,4,FALSE)),"",VLOOKUP($B16,'2 Feedstock database'!$B$8:$N$27,4,FALSE)))</f>
        <v/>
      </c>
      <c r="G16" s="79" t="str">
        <f>IF(ISBLANK($B16),"",IF(ISERROR(VLOOKUP($B16,'2 Feedstock database'!$B$8:$N$27,13,FALSE)),"",VLOOKUP($B16,'2 Feedstock database'!$B$8:$N$27,13,FALSE)))</f>
        <v/>
      </c>
      <c r="H16" s="282"/>
      <c r="I16" s="282"/>
      <c r="J16" s="282"/>
      <c r="K16" s="77" t="str">
        <f>IF(ISBLANK($B16),"",IF(ISERROR(VLOOKUP($B16,'2 Feedstock database'!$B$8:$N$27,6,FALSE)),"",VLOOKUP($B16,'2 Feedstock database'!$B$8:$N$27,6,FALSE)))</f>
        <v/>
      </c>
      <c r="L16" s="279" t="str">
        <f>IF(ISBLANK($B16),"",IF(ISERROR(VLOOKUP($B16,'2 Feedstock database'!$B$8:$N$27,7,FALSE)),"",VLOOKUP($B16,'2 Feedstock database'!$B$8:$N$27,7,FALSE)))</f>
        <v/>
      </c>
      <c r="M16" s="279" t="str">
        <f>IF(ISBLANK($B16),"",IF(ISERROR(VLOOKUP($B16,'2 Feedstock database'!$B$8:$N$27,8,FALSE)),"",VLOOKUP($B16,'2 Feedstock database'!$B$8:$N$27,8,FALSE)))</f>
        <v/>
      </c>
      <c r="N16" s="279" t="str">
        <f>IF(ISBLANK($B16),"",IF(ISERROR(VLOOKUP($B16,'2 Feedstock database'!$B$8:$N$27,9,FALSE)),"",VLOOKUP($B16,'2 Feedstock database'!$B$8:$N$27,9,FALSE)))</f>
        <v/>
      </c>
      <c r="O16" s="283" t="str">
        <f t="shared" si="0"/>
        <v/>
      </c>
      <c r="P16" s="284" t="str">
        <f>IF(ISBLANK($B16),"",IF(ISERROR(VLOOKUP($B16,'2 Feedstock database'!$B$8:$N$27,10,FALSE)),"",VLOOKUP($B16,'2 Feedstock database'!$B$8:$N$27,10,FALSE)))</f>
        <v/>
      </c>
      <c r="Q16" s="283" t="str">
        <f t="shared" si="1"/>
        <v/>
      </c>
      <c r="R16" s="279" t="str">
        <f>IF(ISBLANK($B16),"",IF(ISERROR(VLOOKUP($B16,'2 Feedstock database'!$B$8:$N$27,11,FALSE)),"",VLOOKUP($B16,'2 Feedstock database'!$B$8:$N$27,11,FALSE)))</f>
        <v/>
      </c>
      <c r="S16" s="279" t="str">
        <f>IF(ISBLANK($B16),"",IF(ISERROR(VLOOKUP($B16,'2 Feedstock database'!$B$8:$N$27,12,FALSE)),"",VLOOKUP($B16,'2 Feedstock database'!$B$8:$N$27,12,FALSE)))</f>
        <v/>
      </c>
      <c r="T16" s="279" t="str">
        <f>IF(ISBLANK($B16),"",IF(ISERROR(VLOOKUP($B16,'2 Feedstock database'!$B$8:$N$27,13,FALSE)),"",VLOOKUP($B16,'2 Feedstock database'!$B$8:$N$27,13,FALSE)))</f>
        <v/>
      </c>
      <c r="U16" s="281" t="str">
        <f t="shared" si="2"/>
        <v/>
      </c>
      <c r="V16" s="281" t="str">
        <f t="shared" si="3"/>
        <v/>
      </c>
      <c r="W16" s="281" t="str">
        <f t="shared" si="4"/>
        <v/>
      </c>
      <c r="X16" s="81" t="str">
        <f t="shared" si="5"/>
        <v/>
      </c>
    </row>
    <row r="17" spans="1:24" x14ac:dyDescent="0.35">
      <c r="A17" s="1"/>
      <c r="B17" s="310" t="str">
        <f>IF(ISBLANK(' 1 Technology_check'!B16),"",' 1 Technology_check'!B16)</f>
        <v/>
      </c>
      <c r="C17" s="311" t="str">
        <f>IF(ISBLANK(' 1 Technology_check'!C16),"",' 1 Technology_check'!C16)</f>
        <v/>
      </c>
      <c r="D17" s="77" t="str">
        <f>IF(ISBLANK($B17),"",IF(ISERROR(VLOOKUP($B17,'2 Feedstock database'!$B$8:$N$27,2,FALSE)),"",VLOOKUP($B17,'2 Feedstock database'!$B$8:$N$27,2,FALSE)))</f>
        <v/>
      </c>
      <c r="E17" s="78" t="str">
        <f>IF(ISBLANK($B17),"",IF(ISERROR(VLOOKUP($B17,'2 Feedstock database'!$B$8:$N$27,3,FALSE)),"",VLOOKUP($B17,'2 Feedstock database'!$B$8:$N$27,3,FALSE)))</f>
        <v/>
      </c>
      <c r="F17" s="78" t="str">
        <f>IF(ISBLANK($B17),"",IF(ISERROR(VLOOKUP($B17,'2 Feedstock database'!$B$8:$N$27,4,FALSE)),"",VLOOKUP($B17,'2 Feedstock database'!$B$8:$N$27,4,FALSE)))</f>
        <v/>
      </c>
      <c r="G17" s="79" t="str">
        <f>IF(ISBLANK($B17),"",IF(ISERROR(VLOOKUP($B17,'2 Feedstock database'!$B$8:$N$27,13,FALSE)),"",VLOOKUP($B17,'2 Feedstock database'!$B$8:$N$27,13,FALSE)))</f>
        <v/>
      </c>
      <c r="H17" s="282"/>
      <c r="I17" s="282"/>
      <c r="J17" s="282"/>
      <c r="K17" s="77" t="str">
        <f>IF(ISBLANK($B17),"",IF(ISERROR(VLOOKUP($B17,'2 Feedstock database'!$B$8:$N$27,6,FALSE)),"",VLOOKUP($B17,'2 Feedstock database'!$B$8:$N$27,6,FALSE)))</f>
        <v/>
      </c>
      <c r="L17" s="279" t="str">
        <f>IF(ISBLANK($B17),"",IF(ISERROR(VLOOKUP($B17,'2 Feedstock database'!$B$8:$N$27,7,FALSE)),"",VLOOKUP($B17,'2 Feedstock database'!$B$8:$N$27,7,FALSE)))</f>
        <v/>
      </c>
      <c r="M17" s="279" t="str">
        <f>IF(ISBLANK($B17),"",IF(ISERROR(VLOOKUP($B17,'2 Feedstock database'!$B$8:$N$27,8,FALSE)),"",VLOOKUP($B17,'2 Feedstock database'!$B$8:$N$27,8,FALSE)))</f>
        <v/>
      </c>
      <c r="N17" s="279" t="str">
        <f>IF(ISBLANK($B17),"",IF(ISERROR(VLOOKUP($B17,'2 Feedstock database'!$B$8:$N$27,9,FALSE)),"",VLOOKUP($B17,'2 Feedstock database'!$B$8:$N$27,9,FALSE)))</f>
        <v/>
      </c>
      <c r="O17" s="283" t="str">
        <f t="shared" si="0"/>
        <v/>
      </c>
      <c r="P17" s="284" t="str">
        <f>IF(ISBLANK($B17),"",IF(ISERROR(VLOOKUP($B17,'2 Feedstock database'!$B$8:$N$27,10,FALSE)),"",VLOOKUP($B17,'2 Feedstock database'!$B$8:$N$27,10,FALSE)))</f>
        <v/>
      </c>
      <c r="Q17" s="283" t="str">
        <f t="shared" si="1"/>
        <v/>
      </c>
      <c r="R17" s="279" t="str">
        <f>IF(ISBLANK($B17),"",IF(ISERROR(VLOOKUP($B17,'2 Feedstock database'!$B$8:$N$27,11,FALSE)),"",VLOOKUP($B17,'2 Feedstock database'!$B$8:$N$27,11,FALSE)))</f>
        <v/>
      </c>
      <c r="S17" s="279" t="str">
        <f>IF(ISBLANK($B17),"",IF(ISERROR(VLOOKUP($B17,'2 Feedstock database'!$B$8:$N$27,12,FALSE)),"",VLOOKUP($B17,'2 Feedstock database'!$B$8:$N$27,12,FALSE)))</f>
        <v/>
      </c>
      <c r="T17" s="279" t="str">
        <f>IF(ISBLANK($B17),"",IF(ISERROR(VLOOKUP($B17,'2 Feedstock database'!$B$8:$N$27,13,FALSE)),"",VLOOKUP($B17,'2 Feedstock database'!$B$8:$N$27,13,FALSE)))</f>
        <v/>
      </c>
      <c r="U17" s="281" t="str">
        <f t="shared" si="2"/>
        <v/>
      </c>
      <c r="V17" s="281" t="str">
        <f t="shared" si="3"/>
        <v/>
      </c>
      <c r="W17" s="281" t="str">
        <f t="shared" si="4"/>
        <v/>
      </c>
      <c r="X17" s="81" t="str">
        <f t="shared" si="5"/>
        <v/>
      </c>
    </row>
    <row r="18" spans="1:24" x14ac:dyDescent="0.35">
      <c r="A18" s="1"/>
      <c r="B18" s="310" t="str">
        <f>IF(ISBLANK(' 1 Technology_check'!B17),"",' 1 Technology_check'!B17)</f>
        <v/>
      </c>
      <c r="C18" s="311" t="str">
        <f>IF(ISBLANK(' 1 Technology_check'!C17),"",' 1 Technology_check'!C17)</f>
        <v/>
      </c>
      <c r="D18" s="77" t="str">
        <f>IF(ISBLANK($B18),"",IF(ISERROR(VLOOKUP($B18,'2 Feedstock database'!$B$8:$N$27,2,FALSE)),"",VLOOKUP($B18,'2 Feedstock database'!$B$8:$N$27,2,FALSE)))</f>
        <v/>
      </c>
      <c r="E18" s="78" t="str">
        <f>IF(ISBLANK($B18),"",IF(ISERROR(VLOOKUP($B18,'2 Feedstock database'!$B$8:$N$27,3,FALSE)),"",VLOOKUP($B18,'2 Feedstock database'!$B$8:$N$27,3,FALSE)))</f>
        <v/>
      </c>
      <c r="F18" s="78" t="str">
        <f>IF(ISBLANK($B18),"",IF(ISERROR(VLOOKUP($B18,'2 Feedstock database'!$B$8:$N$27,4,FALSE)),"",VLOOKUP($B18,'2 Feedstock database'!$B$8:$N$27,4,FALSE)))</f>
        <v/>
      </c>
      <c r="G18" s="79" t="str">
        <f>IF(ISBLANK($B18),"",IF(ISERROR(VLOOKUP($B18,'2 Feedstock database'!$B$8:$N$27,13,FALSE)),"",VLOOKUP($B18,'2 Feedstock database'!$B$8:$N$27,13,FALSE)))</f>
        <v/>
      </c>
      <c r="H18" s="282"/>
      <c r="I18" s="282"/>
      <c r="J18" s="282"/>
      <c r="K18" s="77" t="str">
        <f>IF(ISBLANK($B18),"",IF(ISERROR(VLOOKUP($B18,'2 Feedstock database'!$B$8:$N$27,6,FALSE)),"",VLOOKUP($B18,'2 Feedstock database'!$B$8:$N$27,6,FALSE)))</f>
        <v/>
      </c>
      <c r="L18" s="279" t="str">
        <f>IF(ISBLANK($B18),"",IF(ISERROR(VLOOKUP($B18,'2 Feedstock database'!$B$8:$N$27,7,FALSE)),"",VLOOKUP($B18,'2 Feedstock database'!$B$8:$N$27,7,FALSE)))</f>
        <v/>
      </c>
      <c r="M18" s="279" t="str">
        <f>IF(ISBLANK($B18),"",IF(ISERROR(VLOOKUP($B18,'2 Feedstock database'!$B$8:$N$27,8,FALSE)),"",VLOOKUP($B18,'2 Feedstock database'!$B$8:$N$27,8,FALSE)))</f>
        <v/>
      </c>
      <c r="N18" s="279" t="str">
        <f>IF(ISBLANK($B18),"",IF(ISERROR(VLOOKUP($B18,'2 Feedstock database'!$B$8:$N$27,9,FALSE)),"",VLOOKUP($B18,'2 Feedstock database'!$B$8:$N$27,9,FALSE)))</f>
        <v/>
      </c>
      <c r="O18" s="283" t="str">
        <f t="shared" si="0"/>
        <v/>
      </c>
      <c r="P18" s="284" t="str">
        <f>IF(ISBLANK($B18),"",IF(ISERROR(VLOOKUP($B18,'2 Feedstock database'!$B$8:$N$27,10,FALSE)),"",VLOOKUP($B18,'2 Feedstock database'!$B$8:$N$27,10,FALSE)))</f>
        <v/>
      </c>
      <c r="Q18" s="283" t="str">
        <f t="shared" si="1"/>
        <v/>
      </c>
      <c r="R18" s="279" t="str">
        <f>IF(ISBLANK($B18),"",IF(ISERROR(VLOOKUP($B18,'2 Feedstock database'!$B$8:$N$27,11,FALSE)),"",VLOOKUP($B18,'2 Feedstock database'!$B$8:$N$27,11,FALSE)))</f>
        <v/>
      </c>
      <c r="S18" s="279" t="str">
        <f>IF(ISBLANK($B18),"",IF(ISERROR(VLOOKUP($B18,'2 Feedstock database'!$B$8:$N$27,12,FALSE)),"",VLOOKUP($B18,'2 Feedstock database'!$B$8:$N$27,12,FALSE)))</f>
        <v/>
      </c>
      <c r="T18" s="279" t="str">
        <f>IF(ISBLANK($B18),"",IF(ISERROR(VLOOKUP($B18,'2 Feedstock database'!$B$8:$N$27,13,FALSE)),"",VLOOKUP($B18,'2 Feedstock database'!$B$8:$N$27,13,FALSE)))</f>
        <v/>
      </c>
      <c r="U18" s="281" t="str">
        <f t="shared" si="2"/>
        <v/>
      </c>
      <c r="V18" s="281" t="str">
        <f t="shared" si="3"/>
        <v/>
      </c>
      <c r="W18" s="281" t="str">
        <f t="shared" si="4"/>
        <v/>
      </c>
      <c r="X18" s="81" t="str">
        <f t="shared" si="5"/>
        <v/>
      </c>
    </row>
    <row r="19" spans="1:24" x14ac:dyDescent="0.35">
      <c r="A19" s="1"/>
      <c r="B19" s="310" t="str">
        <f>IF(ISBLANK(' 1 Technology_check'!B18),"",' 1 Technology_check'!B18)</f>
        <v/>
      </c>
      <c r="C19" s="311" t="str">
        <f>IF(ISBLANK(' 1 Technology_check'!C18),"",' 1 Technology_check'!C18)</f>
        <v/>
      </c>
      <c r="D19" s="77" t="str">
        <f>IF(ISBLANK($B19),"",IF(ISERROR(VLOOKUP($B19,'2 Feedstock database'!$B$8:$N$27,2,FALSE)),"",VLOOKUP($B19,'2 Feedstock database'!$B$8:$N$27,2,FALSE)))</f>
        <v/>
      </c>
      <c r="E19" s="78" t="str">
        <f>IF(ISBLANK($B19),"",IF(ISERROR(VLOOKUP($B19,'2 Feedstock database'!$B$8:$N$27,3,FALSE)),"",VLOOKUP($B19,'2 Feedstock database'!$B$8:$N$27,3,FALSE)))</f>
        <v/>
      </c>
      <c r="F19" s="78" t="str">
        <f>IF(ISBLANK($B19),"",IF(ISERROR(VLOOKUP($B19,'2 Feedstock database'!$B$8:$N$27,4,FALSE)),"",VLOOKUP($B19,'2 Feedstock database'!$B$8:$N$27,4,FALSE)))</f>
        <v/>
      </c>
      <c r="G19" s="79" t="str">
        <f>IF(ISBLANK($B19),"",IF(ISERROR(VLOOKUP($B19,'2 Feedstock database'!$B$8:$N$27,13,FALSE)),"",VLOOKUP($B19,'2 Feedstock database'!$B$8:$N$27,13,FALSE)))</f>
        <v/>
      </c>
      <c r="H19" s="282"/>
      <c r="I19" s="282"/>
      <c r="J19" s="282"/>
      <c r="K19" s="77" t="str">
        <f>IF(ISBLANK($B19),"",IF(ISERROR(VLOOKUP($B19,'2 Feedstock database'!$B$8:$N$27,6,FALSE)),"",VLOOKUP($B19,'2 Feedstock database'!$B$8:$N$27,6,FALSE)))</f>
        <v/>
      </c>
      <c r="L19" s="279" t="str">
        <f>IF(ISBLANK($B19),"",IF(ISERROR(VLOOKUP($B19,'2 Feedstock database'!$B$8:$N$27,7,FALSE)),"",VLOOKUP($B19,'2 Feedstock database'!$B$8:$N$27,7,FALSE)))</f>
        <v/>
      </c>
      <c r="M19" s="279" t="str">
        <f>IF(ISBLANK($B19),"",IF(ISERROR(VLOOKUP($B19,'2 Feedstock database'!$B$8:$N$27,8,FALSE)),"",VLOOKUP($B19,'2 Feedstock database'!$B$8:$N$27,8,FALSE)))</f>
        <v/>
      </c>
      <c r="N19" s="279" t="str">
        <f>IF(ISBLANK($B19),"",IF(ISERROR(VLOOKUP($B19,'2 Feedstock database'!$B$8:$N$27,9,FALSE)),"",VLOOKUP($B19,'2 Feedstock database'!$B$8:$N$27,9,FALSE)))</f>
        <v/>
      </c>
      <c r="O19" s="283" t="str">
        <f t="shared" si="0"/>
        <v/>
      </c>
      <c r="P19" s="284" t="str">
        <f>IF(ISBLANK($B19),"",IF(ISERROR(VLOOKUP($B19,'2 Feedstock database'!$B$8:$N$27,10,FALSE)),"",VLOOKUP($B19,'2 Feedstock database'!$B$8:$N$27,10,FALSE)))</f>
        <v/>
      </c>
      <c r="Q19" s="283" t="str">
        <f t="shared" si="1"/>
        <v/>
      </c>
      <c r="R19" s="279" t="str">
        <f>IF(ISBLANK($B19),"",IF(ISERROR(VLOOKUP($B19,'2 Feedstock database'!$B$8:$N$27,11,FALSE)),"",VLOOKUP($B19,'2 Feedstock database'!$B$8:$N$27,11,FALSE)))</f>
        <v/>
      </c>
      <c r="S19" s="279" t="str">
        <f>IF(ISBLANK($B19),"",IF(ISERROR(VLOOKUP($B19,'2 Feedstock database'!$B$8:$N$27,12,FALSE)),"",VLOOKUP($B19,'2 Feedstock database'!$B$8:$N$27,12,FALSE)))</f>
        <v/>
      </c>
      <c r="T19" s="279" t="str">
        <f>IF(ISBLANK($B19),"",IF(ISERROR(VLOOKUP($B19,'2 Feedstock database'!$B$8:$N$27,13,FALSE)),"",VLOOKUP($B19,'2 Feedstock database'!$B$8:$N$27,13,FALSE)))</f>
        <v/>
      </c>
      <c r="U19" s="281" t="str">
        <f t="shared" si="2"/>
        <v/>
      </c>
      <c r="V19" s="281" t="str">
        <f t="shared" si="3"/>
        <v/>
      </c>
      <c r="W19" s="281" t="str">
        <f t="shared" si="4"/>
        <v/>
      </c>
      <c r="X19" s="81" t="str">
        <f t="shared" si="5"/>
        <v/>
      </c>
    </row>
    <row r="20" spans="1:24" x14ac:dyDescent="0.35">
      <c r="A20" s="1"/>
      <c r="B20" s="310" t="str">
        <f>IF(ISBLANK(' 1 Technology_check'!B19),"",' 1 Technology_check'!B19)</f>
        <v/>
      </c>
      <c r="C20" s="311" t="str">
        <f>IF(ISBLANK(' 1 Technology_check'!C19),"",' 1 Technology_check'!C19)</f>
        <v/>
      </c>
      <c r="D20" s="77" t="str">
        <f>IF(ISBLANK($B20),"",IF(ISERROR(VLOOKUP($B20,'2 Feedstock database'!$B$8:$N$27,2,FALSE)),"",VLOOKUP($B20,'2 Feedstock database'!$B$8:$N$27,2,FALSE)))</f>
        <v/>
      </c>
      <c r="E20" s="78" t="str">
        <f>IF(ISBLANK($B20),"",IF(ISERROR(VLOOKUP($B20,'2 Feedstock database'!$B$8:$N$27,3,FALSE)),"",VLOOKUP($B20,'2 Feedstock database'!$B$8:$N$27,3,FALSE)))</f>
        <v/>
      </c>
      <c r="F20" s="78" t="str">
        <f>IF(ISBLANK($B20),"",IF(ISERROR(VLOOKUP($B20,'2 Feedstock database'!$B$8:$N$27,4,FALSE)),"",VLOOKUP($B20,'2 Feedstock database'!$B$8:$N$27,4,FALSE)))</f>
        <v/>
      </c>
      <c r="G20" s="79" t="str">
        <f>IF(ISBLANK($B20),"",IF(ISERROR(VLOOKUP($B20,'2 Feedstock database'!$B$8:$N$27,13,FALSE)),"",VLOOKUP($B20,'2 Feedstock database'!$B$8:$N$27,13,FALSE)))</f>
        <v/>
      </c>
      <c r="H20" s="282"/>
      <c r="I20" s="282"/>
      <c r="J20" s="282"/>
      <c r="K20" s="77" t="str">
        <f>IF(ISBLANK($B20),"",IF(ISERROR(VLOOKUP($B20,'2 Feedstock database'!$B$8:$N$27,6,FALSE)),"",VLOOKUP($B20,'2 Feedstock database'!$B$8:$N$27,6,FALSE)))</f>
        <v/>
      </c>
      <c r="L20" s="279" t="str">
        <f>IF(ISBLANK($B20),"",IF(ISERROR(VLOOKUP($B20,'2 Feedstock database'!$B$8:$N$27,7,FALSE)),"",VLOOKUP($B20,'2 Feedstock database'!$B$8:$N$27,7,FALSE)))</f>
        <v/>
      </c>
      <c r="M20" s="279" t="str">
        <f>IF(ISBLANK($B20),"",IF(ISERROR(VLOOKUP($B20,'2 Feedstock database'!$B$8:$N$27,8,FALSE)),"",VLOOKUP($B20,'2 Feedstock database'!$B$8:$N$27,8,FALSE)))</f>
        <v/>
      </c>
      <c r="N20" s="279" t="str">
        <f>IF(ISBLANK($B20),"",IF(ISERROR(VLOOKUP($B20,'2 Feedstock database'!$B$8:$N$27,9,FALSE)),"",VLOOKUP($B20,'2 Feedstock database'!$B$8:$N$27,9,FALSE)))</f>
        <v/>
      </c>
      <c r="O20" s="283" t="str">
        <f t="shared" si="0"/>
        <v/>
      </c>
      <c r="P20" s="284" t="str">
        <f>IF(ISBLANK($B20),"",IF(ISERROR(VLOOKUP($B20,'2 Feedstock database'!$B$8:$N$27,10,FALSE)),"",VLOOKUP($B20,'2 Feedstock database'!$B$8:$N$27,10,FALSE)))</f>
        <v/>
      </c>
      <c r="Q20" s="283" t="str">
        <f t="shared" si="1"/>
        <v/>
      </c>
      <c r="R20" s="279" t="str">
        <f>IF(ISBLANK($B20),"",IF(ISERROR(VLOOKUP($B20,'2 Feedstock database'!$B$8:$N$27,11,FALSE)),"",VLOOKUP($B20,'2 Feedstock database'!$B$8:$N$27,11,FALSE)))</f>
        <v/>
      </c>
      <c r="S20" s="279" t="str">
        <f>IF(ISBLANK($B20),"",IF(ISERROR(VLOOKUP($B20,'2 Feedstock database'!$B$8:$N$27,12,FALSE)),"",VLOOKUP($B20,'2 Feedstock database'!$B$8:$N$27,12,FALSE)))</f>
        <v/>
      </c>
      <c r="T20" s="279" t="str">
        <f>IF(ISBLANK($B20),"",IF(ISERROR(VLOOKUP($B20,'2 Feedstock database'!$B$8:$N$27,13,FALSE)),"",VLOOKUP($B20,'2 Feedstock database'!$B$8:$N$27,13,FALSE)))</f>
        <v/>
      </c>
      <c r="U20" s="281" t="str">
        <f t="shared" si="2"/>
        <v/>
      </c>
      <c r="V20" s="281" t="str">
        <f t="shared" si="3"/>
        <v/>
      </c>
      <c r="W20" s="281" t="str">
        <f t="shared" si="4"/>
        <v/>
      </c>
      <c r="X20" s="81" t="str">
        <f t="shared" si="5"/>
        <v/>
      </c>
    </row>
    <row r="21" spans="1:24" x14ac:dyDescent="0.35">
      <c r="A21" s="1"/>
      <c r="B21" s="310" t="str">
        <f>IF(ISBLANK(' 1 Technology_check'!B20),"",' 1 Technology_check'!B20)</f>
        <v/>
      </c>
      <c r="C21" s="311" t="str">
        <f>IF(ISBLANK(' 1 Technology_check'!C20),"",' 1 Technology_check'!C20)</f>
        <v/>
      </c>
      <c r="D21" s="77" t="str">
        <f>IF(ISBLANK($B21),"",IF(ISERROR(VLOOKUP($B21,'2 Feedstock database'!$B$8:$N$27,2,FALSE)),"",VLOOKUP($B21,'2 Feedstock database'!$B$8:$N$27,2,FALSE)))</f>
        <v/>
      </c>
      <c r="E21" s="78" t="str">
        <f>IF(ISBLANK($B21),"",IF(ISERROR(VLOOKUP($B21,'2 Feedstock database'!$B$8:$N$27,3,FALSE)),"",VLOOKUP($B21,'2 Feedstock database'!$B$8:$N$27,3,FALSE)))</f>
        <v/>
      </c>
      <c r="F21" s="78" t="str">
        <f>IF(ISBLANK($B21),"",IF(ISERROR(VLOOKUP($B21,'2 Feedstock database'!$B$8:$N$27,4,FALSE)),"",VLOOKUP($B21,'2 Feedstock database'!$B$8:$N$27,4,FALSE)))</f>
        <v/>
      </c>
      <c r="G21" s="79" t="str">
        <f>IF(ISBLANK($B21),"",IF(ISERROR(VLOOKUP($B21,'2 Feedstock database'!$B$8:$N$27,13,FALSE)),"",VLOOKUP($B21,'2 Feedstock database'!$B$8:$N$27,13,FALSE)))</f>
        <v/>
      </c>
      <c r="H21" s="282"/>
      <c r="I21" s="282"/>
      <c r="J21" s="282"/>
      <c r="K21" s="77" t="str">
        <f>IF(ISBLANK($B21),"",IF(ISERROR(VLOOKUP($B21,'2 Feedstock database'!$B$8:$N$27,6,FALSE)),"",VLOOKUP($B21,'2 Feedstock database'!$B$8:$N$27,6,FALSE)))</f>
        <v/>
      </c>
      <c r="L21" s="279" t="str">
        <f>IF(ISBLANK($B21),"",IF(ISERROR(VLOOKUP($B21,'2 Feedstock database'!$B$8:$N$27,7,FALSE)),"",VLOOKUP($B21,'2 Feedstock database'!$B$8:$N$27,7,FALSE)))</f>
        <v/>
      </c>
      <c r="M21" s="279" t="str">
        <f>IF(ISBLANK($B21),"",IF(ISERROR(VLOOKUP($B21,'2 Feedstock database'!$B$8:$N$27,8,FALSE)),"",VLOOKUP($B21,'2 Feedstock database'!$B$8:$N$27,8,FALSE)))</f>
        <v/>
      </c>
      <c r="N21" s="279" t="str">
        <f>IF(ISBLANK($B21),"",IF(ISERROR(VLOOKUP($B21,'2 Feedstock database'!$B$8:$N$27,9,FALSE)),"",VLOOKUP($B21,'2 Feedstock database'!$B$8:$N$27,9,FALSE)))</f>
        <v/>
      </c>
      <c r="O21" s="283" t="str">
        <f t="shared" si="0"/>
        <v/>
      </c>
      <c r="P21" s="284" t="str">
        <f>IF(ISBLANK($B21),"",IF(ISERROR(VLOOKUP($B21,'2 Feedstock database'!$B$8:$N$27,10,FALSE)),"",VLOOKUP($B21,'2 Feedstock database'!$B$8:$N$27,10,FALSE)))</f>
        <v/>
      </c>
      <c r="Q21" s="283" t="str">
        <f t="shared" si="1"/>
        <v/>
      </c>
      <c r="R21" s="279" t="str">
        <f>IF(ISBLANK($B21),"",IF(ISERROR(VLOOKUP($B21,'2 Feedstock database'!$B$8:$N$27,11,FALSE)),"",VLOOKUP($B21,'2 Feedstock database'!$B$8:$N$27,11,FALSE)))</f>
        <v/>
      </c>
      <c r="S21" s="279" t="str">
        <f>IF(ISBLANK($B21),"",IF(ISERROR(VLOOKUP($B21,'2 Feedstock database'!$B$8:$N$27,12,FALSE)),"",VLOOKUP($B21,'2 Feedstock database'!$B$8:$N$27,12,FALSE)))</f>
        <v/>
      </c>
      <c r="T21" s="279" t="str">
        <f>IF(ISBLANK($B21),"",IF(ISERROR(VLOOKUP($B21,'2 Feedstock database'!$B$8:$N$27,13,FALSE)),"",VLOOKUP($B21,'2 Feedstock database'!$B$8:$N$27,13,FALSE)))</f>
        <v/>
      </c>
      <c r="U21" s="281" t="str">
        <f t="shared" si="2"/>
        <v/>
      </c>
      <c r="V21" s="281" t="str">
        <f t="shared" si="3"/>
        <v/>
      </c>
      <c r="W21" s="281" t="str">
        <f t="shared" si="4"/>
        <v/>
      </c>
      <c r="X21" s="81" t="str">
        <f t="shared" si="5"/>
        <v/>
      </c>
    </row>
    <row r="22" spans="1:24" x14ac:dyDescent="0.35">
      <c r="A22" s="1"/>
      <c r="B22" s="310" t="str">
        <f>IF(ISBLANK(' 1 Technology_check'!B21),"",' 1 Technology_check'!B21)</f>
        <v/>
      </c>
      <c r="C22" s="311" t="str">
        <f>IF(ISBLANK(' 1 Technology_check'!C21),"",' 1 Technology_check'!C21)</f>
        <v/>
      </c>
      <c r="D22" s="77" t="str">
        <f>IF(ISBLANK($B22),"",IF(ISERROR(VLOOKUP($B22,'2 Feedstock database'!$B$8:$N$27,2,FALSE)),"",VLOOKUP($B22,'2 Feedstock database'!$B$8:$N$27,2,FALSE)))</f>
        <v/>
      </c>
      <c r="E22" s="78" t="str">
        <f>IF(ISBLANK($B22),"",IF(ISERROR(VLOOKUP($B22,'2 Feedstock database'!$B$8:$N$27,3,FALSE)),"",VLOOKUP($B22,'2 Feedstock database'!$B$8:$N$27,3,FALSE)))</f>
        <v/>
      </c>
      <c r="F22" s="78" t="str">
        <f>IF(ISBLANK($B22),"",IF(ISERROR(VLOOKUP($B22,'2 Feedstock database'!$B$8:$N$27,4,FALSE)),"",VLOOKUP($B22,'2 Feedstock database'!$B$8:$N$27,4,FALSE)))</f>
        <v/>
      </c>
      <c r="G22" s="79" t="str">
        <f>IF(ISBLANK($B22),"",IF(ISERROR(VLOOKUP($B22,'2 Feedstock database'!$B$8:$N$27,13,FALSE)),"",VLOOKUP($B22,'2 Feedstock database'!$B$8:$N$27,13,FALSE)))</f>
        <v/>
      </c>
      <c r="H22" s="282"/>
      <c r="I22" s="282"/>
      <c r="J22" s="282"/>
      <c r="K22" s="77" t="str">
        <f>IF(ISBLANK($B22),"",IF(ISERROR(VLOOKUP($B22,'2 Feedstock database'!$B$8:$N$27,6,FALSE)),"",VLOOKUP($B22,'2 Feedstock database'!$B$8:$N$27,6,FALSE)))</f>
        <v/>
      </c>
      <c r="L22" s="279" t="str">
        <f>IF(ISBLANK($B22),"",IF(ISERROR(VLOOKUP($B22,'2 Feedstock database'!$B$8:$N$27,7,FALSE)),"",VLOOKUP($B22,'2 Feedstock database'!$B$8:$N$27,7,FALSE)))</f>
        <v/>
      </c>
      <c r="M22" s="279" t="str">
        <f>IF(ISBLANK($B22),"",IF(ISERROR(VLOOKUP($B22,'2 Feedstock database'!$B$8:$N$27,8,FALSE)),"",VLOOKUP($B22,'2 Feedstock database'!$B$8:$N$27,8,FALSE)))</f>
        <v/>
      </c>
      <c r="N22" s="279" t="str">
        <f>IF(ISBLANK($B22),"",IF(ISERROR(VLOOKUP($B22,'2 Feedstock database'!$B$8:$N$27,9,FALSE)),"",VLOOKUP($B22,'2 Feedstock database'!$B$8:$N$27,9,FALSE)))</f>
        <v/>
      </c>
      <c r="O22" s="283" t="str">
        <f t="shared" si="0"/>
        <v/>
      </c>
      <c r="P22" s="284" t="str">
        <f>IF(ISBLANK($B22),"",IF(ISERROR(VLOOKUP($B22,'2 Feedstock database'!$B$8:$N$27,10,FALSE)),"",VLOOKUP($B22,'2 Feedstock database'!$B$8:$N$27,10,FALSE)))</f>
        <v/>
      </c>
      <c r="Q22" s="283" t="str">
        <f t="shared" si="1"/>
        <v/>
      </c>
      <c r="R22" s="279" t="str">
        <f>IF(ISBLANK($B22),"",IF(ISERROR(VLOOKUP($B22,'2 Feedstock database'!$B$8:$N$27,11,FALSE)),"",VLOOKUP($B22,'2 Feedstock database'!$B$8:$N$27,11,FALSE)))</f>
        <v/>
      </c>
      <c r="S22" s="279" t="str">
        <f>IF(ISBLANK($B22),"",IF(ISERROR(VLOOKUP($B22,'2 Feedstock database'!$B$8:$N$27,12,FALSE)),"",VLOOKUP($B22,'2 Feedstock database'!$B$8:$N$27,12,FALSE)))</f>
        <v/>
      </c>
      <c r="T22" s="279" t="str">
        <f>IF(ISBLANK($B22),"",IF(ISERROR(VLOOKUP($B22,'2 Feedstock database'!$B$8:$N$27,13,FALSE)),"",VLOOKUP($B22,'2 Feedstock database'!$B$8:$N$27,13,FALSE)))</f>
        <v/>
      </c>
      <c r="U22" s="281" t="str">
        <f t="shared" si="2"/>
        <v/>
      </c>
      <c r="V22" s="281" t="str">
        <f t="shared" si="3"/>
        <v/>
      </c>
      <c r="W22" s="281" t="str">
        <f t="shared" si="4"/>
        <v/>
      </c>
      <c r="X22" s="81" t="str">
        <f t="shared" si="5"/>
        <v/>
      </c>
    </row>
    <row r="23" spans="1:24" x14ac:dyDescent="0.35">
      <c r="A23" s="1"/>
      <c r="B23" s="310" t="str">
        <f>IF(ISBLANK(' 1 Technology_check'!B22),"",' 1 Technology_check'!B22)</f>
        <v/>
      </c>
      <c r="C23" s="311" t="str">
        <f>IF(ISBLANK(' 1 Technology_check'!C22),"",' 1 Technology_check'!C22)</f>
        <v/>
      </c>
      <c r="D23" s="77" t="str">
        <f>IF(ISBLANK($B23),"",IF(ISERROR(VLOOKUP($B23,'2 Feedstock database'!$B$8:$N$27,2,FALSE)),"",VLOOKUP($B23,'2 Feedstock database'!$B$8:$N$27,2,FALSE)))</f>
        <v/>
      </c>
      <c r="E23" s="78" t="str">
        <f>IF(ISBLANK($B23),"",IF(ISERROR(VLOOKUP($B23,'2 Feedstock database'!$B$8:$N$27,3,FALSE)),"",VLOOKUP($B23,'2 Feedstock database'!$B$8:$N$27,3,FALSE)))</f>
        <v/>
      </c>
      <c r="F23" s="78" t="str">
        <f>IF(ISBLANK($B23),"",IF(ISERROR(VLOOKUP($B23,'2 Feedstock database'!$B$8:$N$27,4,FALSE)),"",VLOOKUP($B23,'2 Feedstock database'!$B$8:$N$27,4,FALSE)))</f>
        <v/>
      </c>
      <c r="G23" s="79" t="str">
        <f>IF(ISBLANK($B23),"",IF(ISERROR(VLOOKUP($B23,'2 Feedstock database'!$B$8:$N$27,13,FALSE)),"",VLOOKUP($B23,'2 Feedstock database'!$B$8:$N$27,13,FALSE)))</f>
        <v/>
      </c>
      <c r="H23" s="282"/>
      <c r="I23" s="282"/>
      <c r="J23" s="282"/>
      <c r="K23" s="77" t="str">
        <f>IF(ISBLANK($B23),"",IF(ISERROR(VLOOKUP($B23,'2 Feedstock database'!$B$8:$N$27,6,FALSE)),"",VLOOKUP($B23,'2 Feedstock database'!$B$8:$N$27,6,FALSE)))</f>
        <v/>
      </c>
      <c r="L23" s="279" t="str">
        <f>IF(ISBLANK($B23),"",IF(ISERROR(VLOOKUP($B23,'2 Feedstock database'!$B$8:$N$27,7,FALSE)),"",VLOOKUP($B23,'2 Feedstock database'!$B$8:$N$27,7,FALSE)))</f>
        <v/>
      </c>
      <c r="M23" s="279" t="str">
        <f>IF(ISBLANK($B23),"",IF(ISERROR(VLOOKUP($B23,'2 Feedstock database'!$B$8:$N$27,8,FALSE)),"",VLOOKUP($B23,'2 Feedstock database'!$B$8:$N$27,8,FALSE)))</f>
        <v/>
      </c>
      <c r="N23" s="279" t="str">
        <f>IF(ISBLANK($B23),"",IF(ISERROR(VLOOKUP($B23,'2 Feedstock database'!$B$8:$N$27,9,FALSE)),"",VLOOKUP($B23,'2 Feedstock database'!$B$8:$N$27,9,FALSE)))</f>
        <v/>
      </c>
      <c r="O23" s="283" t="str">
        <f t="shared" si="0"/>
        <v/>
      </c>
      <c r="P23" s="284" t="str">
        <f>IF(ISBLANK($B23),"",IF(ISERROR(VLOOKUP($B23,'2 Feedstock database'!$B$8:$N$27,10,FALSE)),"",VLOOKUP($B23,'2 Feedstock database'!$B$8:$N$27,10,FALSE)))</f>
        <v/>
      </c>
      <c r="Q23" s="283" t="str">
        <f t="shared" si="1"/>
        <v/>
      </c>
      <c r="R23" s="279" t="str">
        <f>IF(ISBLANK($B23),"",IF(ISERROR(VLOOKUP($B23,'2 Feedstock database'!$B$8:$N$27,11,FALSE)),"",VLOOKUP($B23,'2 Feedstock database'!$B$8:$N$27,11,FALSE)))</f>
        <v/>
      </c>
      <c r="S23" s="279" t="str">
        <f>IF(ISBLANK($B23),"",IF(ISERROR(VLOOKUP($B23,'2 Feedstock database'!$B$8:$N$27,12,FALSE)),"",VLOOKUP($B23,'2 Feedstock database'!$B$8:$N$27,12,FALSE)))</f>
        <v/>
      </c>
      <c r="T23" s="279" t="str">
        <f>IF(ISBLANK($B23),"",IF(ISERROR(VLOOKUP($B23,'2 Feedstock database'!$B$8:$N$27,13,FALSE)),"",VLOOKUP($B23,'2 Feedstock database'!$B$8:$N$27,13,FALSE)))</f>
        <v/>
      </c>
      <c r="U23" s="281" t="str">
        <f t="shared" si="2"/>
        <v/>
      </c>
      <c r="V23" s="281" t="str">
        <f t="shared" si="3"/>
        <v/>
      </c>
      <c r="W23" s="281" t="str">
        <f t="shared" si="4"/>
        <v/>
      </c>
      <c r="X23" s="81" t="str">
        <f t="shared" si="5"/>
        <v/>
      </c>
    </row>
    <row r="24" spans="1:24" x14ac:dyDescent="0.35">
      <c r="A24" s="1"/>
      <c r="B24" s="310" t="str">
        <f>IF(ISBLANK(' 1 Technology_check'!B23),"",' 1 Technology_check'!B23)</f>
        <v/>
      </c>
      <c r="C24" s="311" t="str">
        <f>IF(ISBLANK(' 1 Technology_check'!C23),"",' 1 Technology_check'!C23)</f>
        <v/>
      </c>
      <c r="D24" s="77" t="str">
        <f>IF(ISBLANK($B24),"",IF(ISERROR(VLOOKUP($B24,'2 Feedstock database'!$B$8:$N$27,2,FALSE)),"",VLOOKUP($B24,'2 Feedstock database'!$B$8:$N$27,2,FALSE)))</f>
        <v/>
      </c>
      <c r="E24" s="78" t="str">
        <f>IF(ISBLANK($B24),"",IF(ISERROR(VLOOKUP($B24,'2 Feedstock database'!$B$8:$N$27,3,FALSE)),"",VLOOKUP($B24,'2 Feedstock database'!$B$8:$N$27,3,FALSE)))</f>
        <v/>
      </c>
      <c r="F24" s="78" t="str">
        <f>IF(ISBLANK($B24),"",IF(ISERROR(VLOOKUP($B24,'2 Feedstock database'!$B$8:$N$27,4,FALSE)),"",VLOOKUP($B24,'2 Feedstock database'!$B$8:$N$27,4,FALSE)))</f>
        <v/>
      </c>
      <c r="G24" s="79" t="str">
        <f>IF(ISBLANK($B24),"",IF(ISERROR(VLOOKUP($B24,'2 Feedstock database'!$B$8:$N$27,13,FALSE)),"",VLOOKUP($B24,'2 Feedstock database'!$B$8:$N$27,13,FALSE)))</f>
        <v/>
      </c>
      <c r="H24" s="282"/>
      <c r="I24" s="282"/>
      <c r="J24" s="282"/>
      <c r="K24" s="77" t="str">
        <f>IF(ISBLANK($B24),"",IF(ISERROR(VLOOKUP($B24,'2 Feedstock database'!$B$8:$N$27,6,FALSE)),"",VLOOKUP($B24,'2 Feedstock database'!$B$8:$N$27,6,FALSE)))</f>
        <v/>
      </c>
      <c r="L24" s="279" t="str">
        <f>IF(ISBLANK($B24),"",IF(ISERROR(VLOOKUP($B24,'2 Feedstock database'!$B$8:$N$27,7,FALSE)),"",VLOOKUP($B24,'2 Feedstock database'!$B$8:$N$27,7,FALSE)))</f>
        <v/>
      </c>
      <c r="M24" s="279" t="str">
        <f>IF(ISBLANK($B24),"",IF(ISERROR(VLOOKUP($B24,'2 Feedstock database'!$B$8:$N$27,8,FALSE)),"",VLOOKUP($B24,'2 Feedstock database'!$B$8:$N$27,8,FALSE)))</f>
        <v/>
      </c>
      <c r="N24" s="279" t="str">
        <f>IF(ISBLANK($B24),"",IF(ISERROR(VLOOKUP($B24,'2 Feedstock database'!$B$8:$N$27,9,FALSE)),"",VLOOKUP($B24,'2 Feedstock database'!$B$8:$N$27,9,FALSE)))</f>
        <v/>
      </c>
      <c r="O24" s="283" t="str">
        <f t="shared" si="0"/>
        <v/>
      </c>
      <c r="P24" s="284" t="str">
        <f>IF(ISBLANK($B24),"",IF(ISERROR(VLOOKUP($B24,'2 Feedstock database'!$B$8:$N$27,10,FALSE)),"",VLOOKUP($B24,'2 Feedstock database'!$B$8:$N$27,10,FALSE)))</f>
        <v/>
      </c>
      <c r="Q24" s="283" t="str">
        <f t="shared" si="1"/>
        <v/>
      </c>
      <c r="R24" s="279" t="str">
        <f>IF(ISBLANK($B24),"",IF(ISERROR(VLOOKUP($B24,'2 Feedstock database'!$B$8:$N$27,11,FALSE)),"",VLOOKUP($B24,'2 Feedstock database'!$B$8:$N$27,11,FALSE)))</f>
        <v/>
      </c>
      <c r="S24" s="279" t="str">
        <f>IF(ISBLANK($B24),"",IF(ISERROR(VLOOKUP($B24,'2 Feedstock database'!$B$8:$N$27,12,FALSE)),"",VLOOKUP($B24,'2 Feedstock database'!$B$8:$N$27,12,FALSE)))</f>
        <v/>
      </c>
      <c r="T24" s="279" t="str">
        <f>IF(ISBLANK($B24),"",IF(ISERROR(VLOOKUP($B24,'2 Feedstock database'!$B$8:$N$27,13,FALSE)),"",VLOOKUP($B24,'2 Feedstock database'!$B$8:$N$27,13,FALSE)))</f>
        <v/>
      </c>
      <c r="U24" s="281" t="str">
        <f t="shared" si="2"/>
        <v/>
      </c>
      <c r="V24" s="281" t="str">
        <f t="shared" si="3"/>
        <v/>
      </c>
      <c r="W24" s="281" t="str">
        <f t="shared" si="4"/>
        <v/>
      </c>
      <c r="X24" s="81" t="str">
        <f t="shared" si="5"/>
        <v/>
      </c>
    </row>
    <row r="25" spans="1:24" ht="15" thickBot="1" x14ac:dyDescent="0.4">
      <c r="A25" s="1"/>
      <c r="B25" s="312" t="str">
        <f>IF(ISBLANK(' 1 Technology_check'!B24),"",' 1 Technology_check'!B24)</f>
        <v/>
      </c>
      <c r="C25" s="313" t="str">
        <f>IF(ISBLANK(' 1 Technology_check'!C24),"",' 1 Technology_check'!C24)</f>
        <v/>
      </c>
      <c r="D25" s="82" t="str">
        <f>IF(ISBLANK($B25),"",IF(ISERROR(VLOOKUP($B25,'2 Feedstock database'!$B$8:$N$27,2,FALSE)),"",VLOOKUP($B25,'2 Feedstock database'!$B$8:$N$27,2,FALSE)))</f>
        <v/>
      </c>
      <c r="E25" s="83" t="str">
        <f>IF(ISBLANK($B25),"",IF(ISERROR(VLOOKUP($B25,'2 Feedstock database'!$B$8:$N$27,3,FALSE)),"",VLOOKUP($B25,'2 Feedstock database'!$B$8:$N$27,3,FALSE)))</f>
        <v/>
      </c>
      <c r="F25" s="83" t="str">
        <f>IF(ISBLANK($B25),"",IF(ISERROR(VLOOKUP($B25,'2 Feedstock database'!$B$8:$N$27,4,FALSE)),"",VLOOKUP($B25,'2 Feedstock database'!$B$8:$N$27,4,FALSE)))</f>
        <v/>
      </c>
      <c r="G25" s="84" t="str">
        <f>IF(ISBLANK($B25),"",IF(ISERROR(VLOOKUP($B25,'2 Feedstock database'!$B$8:$N$27,13,FALSE)),"",VLOOKUP($B25,'2 Feedstock database'!$B$8:$N$27,13,FALSE)))</f>
        <v/>
      </c>
      <c r="H25" s="282"/>
      <c r="I25" s="282"/>
      <c r="J25" s="282"/>
      <c r="K25" s="82" t="str">
        <f>IF(ISBLANK($B25),"",IF(ISERROR(VLOOKUP($B25,'2 Feedstock database'!$B$8:$N$27,6,FALSE)),"",VLOOKUP($B25,'2 Feedstock database'!$B$8:$N$27,6,FALSE)))</f>
        <v/>
      </c>
      <c r="L25" s="83" t="str">
        <f>IF(ISBLANK($B25),"",IF(ISERROR(VLOOKUP($B25,'2 Feedstock database'!$B$8:$N$27,7,FALSE)),"",VLOOKUP($B25,'2 Feedstock database'!$B$8:$N$27,7,FALSE)))</f>
        <v/>
      </c>
      <c r="M25" s="83" t="str">
        <f>IF(ISBLANK($B25),"",IF(ISERROR(VLOOKUP($B25,'2 Feedstock database'!$B$8:$N$27,8,FALSE)),"",VLOOKUP($B25,'2 Feedstock database'!$B$8:$N$27,8,FALSE)))</f>
        <v/>
      </c>
      <c r="N25" s="83" t="str">
        <f>IF(ISBLANK($B25),"",IF(ISERROR(VLOOKUP($B25,'2 Feedstock database'!$B$8:$N$27,9,FALSE)),"",VLOOKUP($B25,'2 Feedstock database'!$B$8:$N$27,9,FALSE)))</f>
        <v/>
      </c>
      <c r="O25" s="85" t="str">
        <f t="shared" si="0"/>
        <v/>
      </c>
      <c r="P25" s="86" t="str">
        <f>IF(ISBLANK($B25),"",IF(ISERROR(VLOOKUP($B25,'2 Feedstock database'!$B$8:$N$27,10,FALSE)),"",VLOOKUP($B25,'2 Feedstock database'!$B$8:$N$27,10,FALSE)))</f>
        <v/>
      </c>
      <c r="Q25" s="85" t="str">
        <f t="shared" si="1"/>
        <v/>
      </c>
      <c r="R25" s="83" t="str">
        <f>IF(ISBLANK($B25),"",IF(ISERROR(VLOOKUP($B25,'2 Feedstock database'!$B$8:$N$27,11,FALSE)),"",VLOOKUP($B25,'2 Feedstock database'!$B$8:$N$27,11,FALSE)))</f>
        <v/>
      </c>
      <c r="S25" s="83" t="str">
        <f>IF(ISBLANK($B25),"",IF(ISERROR(VLOOKUP($B25,'2 Feedstock database'!$B$8:$N$27,12,FALSE)),"",VLOOKUP($B25,'2 Feedstock database'!$B$8:$N$27,12,FALSE)))</f>
        <v/>
      </c>
      <c r="T25" s="83" t="str">
        <f>IF(ISBLANK($B25),"",IF(ISERROR(VLOOKUP($B25,'2 Feedstock database'!$B$8:$N$27,13,FALSE)),"",VLOOKUP($B25,'2 Feedstock database'!$B$8:$N$27,13,FALSE)))</f>
        <v/>
      </c>
      <c r="U25" s="87" t="str">
        <f t="shared" si="2"/>
        <v/>
      </c>
      <c r="V25" s="87" t="str">
        <f t="shared" si="3"/>
        <v/>
      </c>
      <c r="W25" s="87" t="str">
        <f t="shared" si="4"/>
        <v/>
      </c>
      <c r="X25" s="88" t="str">
        <f t="shared" si="5"/>
        <v/>
      </c>
    </row>
    <row r="26" spans="1:24" x14ac:dyDescent="0.35">
      <c r="A26" s="1"/>
      <c r="B26" s="89"/>
      <c r="C26" s="89"/>
      <c r="D26" s="90"/>
      <c r="E26" s="90"/>
      <c r="F26" s="90"/>
      <c r="G26" s="90"/>
      <c r="H26" s="90"/>
      <c r="I26" s="90"/>
      <c r="J26" s="90"/>
      <c r="K26" s="90"/>
      <c r="L26" s="91"/>
      <c r="M26" s="92"/>
      <c r="N26" s="91"/>
      <c r="O26" s="90"/>
      <c r="P26" s="90"/>
      <c r="Q26" s="90"/>
      <c r="R26" s="89"/>
      <c r="S26" s="89"/>
      <c r="T26" s="89"/>
      <c r="U26" s="89"/>
    </row>
    <row r="27" spans="1:24" ht="23.5" x14ac:dyDescent="0.55000000000000004">
      <c r="A27" s="1"/>
      <c r="B27" s="379" t="s">
        <v>101</v>
      </c>
      <c r="C27" s="379"/>
      <c r="D27" s="90"/>
      <c r="E27" s="90"/>
      <c r="F27" s="90"/>
      <c r="G27" s="90"/>
      <c r="H27" s="90"/>
      <c r="I27" s="90"/>
      <c r="J27" s="90"/>
      <c r="K27" s="90"/>
      <c r="L27" s="91"/>
      <c r="M27" s="92"/>
      <c r="N27" s="91"/>
      <c r="O27" s="90"/>
      <c r="P27" s="90"/>
      <c r="Q27" s="90"/>
      <c r="R27" s="89"/>
      <c r="S27" s="89"/>
      <c r="T27" s="89"/>
      <c r="U27" s="89"/>
    </row>
    <row r="28" spans="1:24" ht="18.5" x14ac:dyDescent="0.35">
      <c r="A28" s="1"/>
      <c r="B28" s="303" t="s">
        <v>281</v>
      </c>
      <c r="C28" s="89"/>
      <c r="D28" s="90"/>
      <c r="E28" s="90"/>
      <c r="F28" s="90"/>
      <c r="G28" s="90"/>
      <c r="H28" s="90"/>
      <c r="I28" s="90"/>
      <c r="J28" s="90"/>
      <c r="K28" s="90"/>
      <c r="L28" s="91"/>
      <c r="M28" s="92"/>
      <c r="N28" s="91"/>
      <c r="O28" s="90"/>
      <c r="P28" s="90"/>
      <c r="Q28" s="90"/>
      <c r="R28" s="89"/>
      <c r="S28" s="89"/>
      <c r="T28" s="89"/>
      <c r="U28" s="89"/>
    </row>
    <row r="29" spans="1:24" ht="18.5" x14ac:dyDescent="0.35">
      <c r="A29" s="1"/>
      <c r="B29" s="93"/>
      <c r="C29" s="89"/>
      <c r="D29" s="90"/>
      <c r="E29" s="90"/>
      <c r="F29" s="90"/>
      <c r="G29" s="90"/>
      <c r="H29" s="90"/>
      <c r="I29" s="90"/>
      <c r="J29" s="90"/>
      <c r="K29" s="90"/>
      <c r="L29" s="91"/>
      <c r="M29" s="92"/>
      <c r="N29" s="91"/>
      <c r="O29" s="90"/>
      <c r="P29" s="90"/>
      <c r="Q29" s="90"/>
      <c r="R29" s="89"/>
      <c r="S29" s="89"/>
      <c r="T29" s="89"/>
      <c r="U29" s="89"/>
    </row>
    <row r="30" spans="1:24" x14ac:dyDescent="0.35">
      <c r="A30" s="1"/>
      <c r="B30" s="381" t="s">
        <v>19</v>
      </c>
      <c r="C30" s="384" t="str">
        <f>IF(D65&gt;'1.1 Composting'!D82,CONCATENATE("Your mixture is way too wet you need to reduce moisture to have less than ",'1.1 Composting'!D82," water content for composting to be an option. Current: ",ROUND(D65,3)), IF(D65&gt;'1.1 Composting'!E84,CONCATENATE("Your mixture is very wet, composting can work with a pretreatment step or add dry material"), IF(D65&gt;='1.1 Composting'!D84,"Optimal", IF(D65&lt;'1.1 Composting'!D84,CONCATENATE("Your mixture is too dry, you should add water or increase wet feedstock in the mixture to reach at least ",'1.1 Composting'!D84," water content. Current: ",ROUND(D65,3))))))</f>
        <v>Your mixture is very wet, composting can work with a pretreatment step or add dry material</v>
      </c>
      <c r="D30" s="384"/>
      <c r="E30" s="384"/>
      <c r="F30" s="384"/>
      <c r="G30" s="384"/>
      <c r="H30" s="384"/>
      <c r="I30" s="384"/>
      <c r="J30" s="385"/>
      <c r="K30" s="90"/>
      <c r="L30" s="91"/>
      <c r="M30" s="92"/>
      <c r="N30" s="91"/>
      <c r="O30" s="90"/>
      <c r="P30" s="90"/>
      <c r="Q30" s="90"/>
      <c r="R30" s="89"/>
      <c r="S30" s="89"/>
      <c r="T30" s="89"/>
      <c r="U30" s="89"/>
    </row>
    <row r="31" spans="1:24" x14ac:dyDescent="0.35">
      <c r="A31" s="1"/>
      <c r="B31" s="382"/>
      <c r="C31" s="386"/>
      <c r="D31" s="386"/>
      <c r="E31" s="386"/>
      <c r="F31" s="386"/>
      <c r="G31" s="386"/>
      <c r="H31" s="386"/>
      <c r="I31" s="386"/>
      <c r="J31" s="387"/>
      <c r="K31" s="90"/>
      <c r="L31" s="91"/>
      <c r="M31" s="92"/>
      <c r="N31" s="91"/>
      <c r="O31" s="90"/>
      <c r="P31" s="90"/>
      <c r="Q31" s="90"/>
      <c r="R31" s="89"/>
      <c r="S31" s="89"/>
      <c r="T31" s="89"/>
      <c r="U31" s="89"/>
    </row>
    <row r="32" spans="1:24" ht="15" customHeight="1" x14ac:dyDescent="0.35">
      <c r="A32" s="1"/>
      <c r="B32" s="382"/>
      <c r="C32" s="306" t="str">
        <f>IF(D77&lt;(D84),CONCATENATE("Add ",ROUNDUP(((D84)*SUM(C15:C25)-SUM(U15:U25))/(1-D84),0)," L of water to your feedstock"),IF(D77&gt;(E84),CONCATENATE("Reduce water by ",ROUNDUP(((E84)*SUM(C15:C25)-SUM(U15:U25))/(1-E84),0)," L"),""))</f>
        <v>Reduce water by -85 L</v>
      </c>
      <c r="D32" s="306"/>
      <c r="E32" s="306"/>
      <c r="F32" s="306"/>
      <c r="G32" s="306"/>
      <c r="H32" s="306"/>
      <c r="I32" s="306"/>
      <c r="J32" s="307"/>
      <c r="K32" s="90"/>
      <c r="L32" s="91"/>
      <c r="M32" s="92"/>
      <c r="N32" s="91"/>
      <c r="O32" s="90"/>
      <c r="P32" s="90"/>
      <c r="Q32" s="90"/>
      <c r="R32" s="89"/>
      <c r="S32" s="89"/>
      <c r="T32" s="89"/>
      <c r="U32" s="89"/>
    </row>
    <row r="33" spans="1:21" ht="15" customHeight="1" thickBot="1" x14ac:dyDescent="0.4">
      <c r="A33" s="1"/>
      <c r="B33" s="383"/>
      <c r="C33" s="308"/>
      <c r="D33" s="308"/>
      <c r="E33" s="308"/>
      <c r="F33" s="308"/>
      <c r="G33" s="308"/>
      <c r="H33" s="308"/>
      <c r="I33" s="308"/>
      <c r="J33" s="309"/>
      <c r="K33" s="90"/>
      <c r="L33" s="91"/>
      <c r="M33" s="92"/>
      <c r="N33" s="91"/>
      <c r="O33" s="90"/>
      <c r="P33" s="90"/>
      <c r="Q33" s="90"/>
      <c r="R33" s="89"/>
      <c r="S33" s="89"/>
      <c r="T33" s="89"/>
      <c r="U33" s="89"/>
    </row>
    <row r="34" spans="1:21" ht="16" thickBot="1" x14ac:dyDescent="0.4">
      <c r="A34" s="1"/>
      <c r="B34" s="94"/>
      <c r="C34" s="95"/>
      <c r="D34" s="95"/>
      <c r="E34" s="95"/>
      <c r="F34" s="95"/>
      <c r="G34" s="95"/>
      <c r="H34" s="95"/>
      <c r="I34" s="96"/>
      <c r="J34" s="96"/>
      <c r="K34" s="90"/>
      <c r="L34" s="91"/>
      <c r="M34" s="92"/>
      <c r="N34" s="91"/>
      <c r="O34" s="90"/>
      <c r="P34" s="90"/>
      <c r="Q34" s="90"/>
      <c r="R34" s="89"/>
      <c r="S34" s="89"/>
      <c r="T34" s="89"/>
      <c r="U34" s="89"/>
    </row>
    <row r="35" spans="1:21" ht="23.5" customHeight="1" x14ac:dyDescent="0.35">
      <c r="A35" s="1"/>
      <c r="B35" s="381" t="s">
        <v>30</v>
      </c>
      <c r="C35" s="384" t="str">
        <f>IF(F77&gt;E86,CONCATENATE("Too high, increase nitrogen rich feedstock or reduce carbon rich feedstock to have a C/N ratio of less than ",E86,". Current: ",ROUND(F77,3)),IF(F77&lt;D86,CONCATENATE("Too low, increase carbon rich feedstock or reduce nitrogen rich feedstock to have a C/N ratio of more than ",D86,". Current: ",ROUND(F77,3)),IF(F77&gt;E85,"Acceptable",IF(F77&lt;D85,"Acceptable","Optimal"))))</f>
        <v>Acceptable</v>
      </c>
      <c r="D35" s="384"/>
      <c r="E35" s="384"/>
      <c r="F35" s="384"/>
      <c r="G35" s="384"/>
      <c r="H35" s="384"/>
      <c r="I35" s="384"/>
      <c r="J35" s="385"/>
      <c r="K35" s="90"/>
      <c r="L35" s="91"/>
      <c r="M35" s="92"/>
      <c r="N35" s="91"/>
      <c r="O35" s="90"/>
      <c r="P35" s="90"/>
      <c r="Q35" s="90"/>
      <c r="R35" s="89"/>
      <c r="S35" s="89"/>
      <c r="T35" s="89"/>
      <c r="U35" s="89"/>
    </row>
    <row r="36" spans="1:21" x14ac:dyDescent="0.35">
      <c r="A36" s="1"/>
      <c r="B36" s="383"/>
      <c r="C36" s="388"/>
      <c r="D36" s="388"/>
      <c r="E36" s="388"/>
      <c r="F36" s="388"/>
      <c r="G36" s="388"/>
      <c r="H36" s="388"/>
      <c r="I36" s="388"/>
      <c r="J36" s="389"/>
      <c r="K36" s="90"/>
      <c r="L36" s="91"/>
      <c r="M36" s="92"/>
      <c r="N36" s="91"/>
      <c r="O36" s="90"/>
      <c r="P36" s="90"/>
      <c r="Q36" s="90"/>
      <c r="R36" s="89"/>
      <c r="S36" s="89"/>
      <c r="T36" s="89"/>
      <c r="U36" s="89"/>
    </row>
    <row r="37" spans="1:21" ht="15.5" x14ac:dyDescent="0.35">
      <c r="A37" s="1"/>
      <c r="B37" s="97"/>
      <c r="C37" s="98"/>
      <c r="D37" s="96"/>
      <c r="E37" s="96"/>
      <c r="F37" s="96"/>
      <c r="G37" s="96"/>
      <c r="H37" s="96"/>
      <c r="I37" s="96"/>
      <c r="J37" s="96"/>
      <c r="K37" s="90"/>
      <c r="L37" s="91"/>
      <c r="M37" s="92"/>
      <c r="N37" s="91"/>
      <c r="O37" s="90"/>
      <c r="P37" s="90"/>
      <c r="Q37" s="90"/>
      <c r="R37" s="89"/>
      <c r="S37" s="89"/>
      <c r="T37" s="89"/>
      <c r="U37" s="89"/>
    </row>
    <row r="38" spans="1:21" ht="14.5" customHeight="1" x14ac:dyDescent="0.35">
      <c r="A38" s="1"/>
      <c r="B38" s="370" t="s">
        <v>93</v>
      </c>
      <c r="C38" s="373" t="str">
        <f>IF(AND(C30="Optimal",C35="Optimal"),"Yes",IF(AND(C30="Your mixture is very wet, composting can work with a pretreatment step or add dry material",C35="Optimal"),"Yes, with pretreatment for dewatering",IF(AND(C30="Your mixture is very wet, composting can work with a pretreatment step or add dry material",C35="Acceptable"),"Yes, with pretreatment for dewatering &amp; C/N ratio is acceptable but not optimal",IF(AND(C30="Optimal",C35="Acceptable"),"Yes, C/N ratio acceptable but not optimal","No"))))</f>
        <v>Yes, with pretreatment for dewatering &amp; C/N ratio is acceptable but not optimal</v>
      </c>
      <c r="D38" s="374"/>
      <c r="E38" s="99"/>
      <c r="F38" s="99"/>
      <c r="G38" s="99"/>
      <c r="H38" s="99"/>
      <c r="I38" s="99"/>
      <c r="J38" s="99"/>
      <c r="K38" s="90"/>
      <c r="L38" s="91"/>
      <c r="M38" s="92"/>
      <c r="N38" s="91"/>
      <c r="O38" s="90"/>
      <c r="P38" s="90"/>
      <c r="Q38" s="90"/>
      <c r="R38" s="89"/>
      <c r="S38" s="89"/>
      <c r="T38" s="89"/>
      <c r="U38" s="89"/>
    </row>
    <row r="39" spans="1:21" ht="14.5" customHeight="1" x14ac:dyDescent="0.35">
      <c r="A39" s="1"/>
      <c r="B39" s="371"/>
      <c r="C39" s="375"/>
      <c r="D39" s="376"/>
      <c r="E39" s="99"/>
      <c r="F39" s="99"/>
      <c r="G39" s="99"/>
      <c r="H39" s="99"/>
      <c r="I39" s="99"/>
      <c r="J39" s="99"/>
      <c r="K39" s="90"/>
      <c r="L39" s="91"/>
      <c r="M39" s="92"/>
      <c r="N39" s="91"/>
      <c r="O39" s="90"/>
      <c r="P39" s="90"/>
      <c r="Q39" s="90"/>
      <c r="R39" s="89"/>
      <c r="S39" s="89"/>
      <c r="T39" s="89"/>
      <c r="U39" s="89"/>
    </row>
    <row r="40" spans="1:21" ht="14.5" customHeight="1" x14ac:dyDescent="0.35">
      <c r="A40" s="1"/>
      <c r="B40" s="371"/>
      <c r="C40" s="375"/>
      <c r="D40" s="376"/>
      <c r="E40" s="99"/>
      <c r="F40" s="99"/>
      <c r="G40" s="99"/>
      <c r="H40" s="99"/>
      <c r="I40" s="99"/>
      <c r="J40" s="99"/>
      <c r="K40" s="90"/>
      <c r="L40" s="91"/>
      <c r="M40" s="92"/>
      <c r="N40" s="91"/>
      <c r="O40" s="90"/>
      <c r="P40" s="90"/>
      <c r="Q40" s="90"/>
      <c r="R40" s="89"/>
      <c r="S40" s="89"/>
      <c r="T40" s="89"/>
      <c r="U40" s="89"/>
    </row>
    <row r="41" spans="1:21" ht="15" customHeight="1" x14ac:dyDescent="0.35">
      <c r="A41" s="1"/>
      <c r="B41" s="372"/>
      <c r="C41" s="377"/>
      <c r="D41" s="378"/>
      <c r="E41" s="99"/>
      <c r="F41" s="99"/>
      <c r="G41" s="99"/>
      <c r="H41" s="99"/>
      <c r="I41" s="99"/>
      <c r="J41" s="99"/>
      <c r="K41" s="90"/>
      <c r="L41" s="91"/>
      <c r="M41" s="92"/>
      <c r="N41" s="91"/>
      <c r="O41" s="90"/>
      <c r="P41" s="90"/>
      <c r="Q41" s="90"/>
      <c r="R41" s="89"/>
      <c r="S41" s="89"/>
      <c r="T41" s="89"/>
      <c r="U41" s="89"/>
    </row>
    <row r="42" spans="1:21" x14ac:dyDescent="0.35">
      <c r="A42" s="1"/>
      <c r="B42" s="65"/>
      <c r="C42" s="1"/>
      <c r="D42" s="1"/>
      <c r="E42" s="1"/>
      <c r="F42" s="1"/>
      <c r="G42" s="1"/>
      <c r="H42" s="1"/>
      <c r="I42" s="1"/>
      <c r="J42" s="1"/>
      <c r="K42" s="90"/>
      <c r="L42" s="91"/>
      <c r="M42" s="92"/>
      <c r="N42" s="91"/>
      <c r="O42" s="90"/>
      <c r="P42" s="90"/>
      <c r="Q42" s="90"/>
      <c r="R42" s="89"/>
      <c r="S42" s="89"/>
      <c r="T42" s="89"/>
      <c r="U42" s="89"/>
    </row>
    <row r="43" spans="1:21" ht="23.5" x14ac:dyDescent="0.55000000000000004">
      <c r="A43" s="1"/>
      <c r="B43" s="379" t="s">
        <v>102</v>
      </c>
      <c r="C43" s="379"/>
      <c r="D43" s="1"/>
      <c r="E43" s="1"/>
      <c r="F43" s="1"/>
      <c r="G43" s="1"/>
      <c r="H43" s="1"/>
      <c r="I43" s="1"/>
      <c r="J43" s="1"/>
      <c r="K43" s="90"/>
      <c r="L43" s="91"/>
      <c r="M43" s="92"/>
      <c r="N43" s="91"/>
      <c r="O43" s="90"/>
      <c r="P43" s="90"/>
      <c r="Q43" s="90"/>
      <c r="R43" s="89"/>
      <c r="S43" s="89"/>
      <c r="T43" s="89"/>
      <c r="U43" s="89"/>
    </row>
    <row r="44" spans="1:21" ht="15" customHeight="1" x14ac:dyDescent="0.55000000000000004">
      <c r="A44" s="1"/>
      <c r="B44" s="72" t="s">
        <v>103</v>
      </c>
      <c r="C44" s="70"/>
      <c r="D44" s="1"/>
      <c r="E44" s="1"/>
      <c r="F44" s="1"/>
      <c r="G44" s="1"/>
      <c r="H44" s="1"/>
      <c r="I44" s="1"/>
      <c r="J44" s="1"/>
      <c r="K44" s="90"/>
      <c r="L44" s="91"/>
      <c r="M44" s="92"/>
      <c r="N44" s="91"/>
      <c r="O44" s="90"/>
      <c r="P44" s="90"/>
      <c r="Q44" s="90"/>
      <c r="R44" s="89"/>
      <c r="S44" s="89"/>
      <c r="T44" s="89"/>
      <c r="U44" s="89"/>
    </row>
    <row r="45" spans="1:21" x14ac:dyDescent="0.35">
      <c r="A45" s="1"/>
      <c r="B45" s="89"/>
      <c r="C45" s="89"/>
      <c r="D45" s="90"/>
      <c r="E45" s="90"/>
      <c r="F45" s="90"/>
      <c r="G45" s="90"/>
      <c r="H45" s="90"/>
      <c r="I45" s="90"/>
      <c r="J45" s="90"/>
      <c r="K45" s="90"/>
      <c r="L45" s="91"/>
      <c r="M45" s="92"/>
      <c r="N45" s="91"/>
      <c r="O45" s="90"/>
      <c r="P45" s="90"/>
      <c r="Q45" s="90"/>
      <c r="R45" s="89"/>
      <c r="S45" s="89"/>
      <c r="T45" s="89"/>
      <c r="U45" s="89"/>
    </row>
    <row r="46" spans="1:21" ht="21" x14ac:dyDescent="0.5">
      <c r="A46" s="1"/>
      <c r="B46" s="356" t="s">
        <v>104</v>
      </c>
      <c r="C46" s="357"/>
      <c r="D46" s="357"/>
      <c r="E46" s="357"/>
      <c r="F46" s="357"/>
      <c r="G46" s="357"/>
      <c r="H46" s="357"/>
      <c r="I46" s="356" t="s">
        <v>105</v>
      </c>
      <c r="J46" s="357"/>
      <c r="K46" s="357"/>
      <c r="L46" s="380"/>
      <c r="M46" s="1"/>
      <c r="N46" s="1"/>
      <c r="O46" s="1"/>
      <c r="P46" s="1"/>
      <c r="Q46" s="1"/>
      <c r="S46" s="89"/>
      <c r="T46" s="89"/>
      <c r="U46" s="89"/>
    </row>
    <row r="47" spans="1:21" ht="15.5" x14ac:dyDescent="0.35">
      <c r="A47" s="1"/>
      <c r="B47" s="100"/>
      <c r="C47" s="101"/>
      <c r="D47" s="102" t="s">
        <v>106</v>
      </c>
      <c r="E47" s="102" t="s">
        <v>107</v>
      </c>
      <c r="F47" s="103"/>
      <c r="G47" s="103"/>
      <c r="H47" s="103"/>
      <c r="I47" s="104"/>
      <c r="J47" s="103"/>
      <c r="K47" s="103"/>
      <c r="L47" s="105"/>
      <c r="M47" s="1"/>
      <c r="N47" s="1"/>
      <c r="O47" s="1"/>
      <c r="P47" s="1"/>
      <c r="Q47" s="1"/>
      <c r="S47" s="89"/>
      <c r="T47" s="89"/>
      <c r="U47" s="89"/>
    </row>
    <row r="48" spans="1:21" x14ac:dyDescent="0.35">
      <c r="A48" s="1"/>
      <c r="B48" s="106"/>
      <c r="C48" s="107" t="s">
        <v>108</v>
      </c>
      <c r="D48" s="108">
        <f>(C77/1000)*D103</f>
        <v>6</v>
      </c>
      <c r="E48" s="108">
        <f>(C77/1000)*E103</f>
        <v>11</v>
      </c>
      <c r="F48" s="109" t="s">
        <v>109</v>
      </c>
      <c r="G48" s="109"/>
      <c r="H48" s="103"/>
      <c r="I48" s="106" t="s">
        <v>110</v>
      </c>
      <c r="J48" s="110">
        <f>C77*D92</f>
        <v>80</v>
      </c>
      <c r="K48" s="102"/>
      <c r="L48" s="111"/>
      <c r="M48" s="1"/>
      <c r="N48" s="1"/>
      <c r="O48" s="1"/>
      <c r="P48" s="1"/>
      <c r="Q48" s="1"/>
      <c r="S48" s="89"/>
      <c r="T48" s="89"/>
      <c r="U48" s="89"/>
    </row>
    <row r="49" spans="1:21" x14ac:dyDescent="0.35">
      <c r="A49" s="1"/>
      <c r="B49" s="361"/>
      <c r="C49" s="362" t="s">
        <v>111</v>
      </c>
      <c r="D49" s="363">
        <f>IF(C77=0,0,IF(ROUNDUP(C77/1000,0)=1,D100*ROUNDUP(C77/1000,0),D100+D101*(ROUNDUP(C77/1000,0)-1)))</f>
        <v>1</v>
      </c>
      <c r="E49" s="363">
        <f>IF(C77=0,0,IF(C77&lt;1000,E100*ROUNDUP(C77/1000,0),ROUNDUP(E100+E101*(C77-1000)/1000,0)))</f>
        <v>2</v>
      </c>
      <c r="F49" s="364" t="s">
        <v>112</v>
      </c>
      <c r="G49" s="364"/>
      <c r="H49" s="364"/>
      <c r="I49" s="114"/>
      <c r="J49" s="102" t="s">
        <v>106</v>
      </c>
      <c r="K49" s="102" t="s">
        <v>107</v>
      </c>
      <c r="L49" s="105"/>
      <c r="M49" s="1"/>
      <c r="N49" s="1"/>
      <c r="O49" s="1"/>
      <c r="P49" s="1"/>
      <c r="Q49" s="1"/>
      <c r="S49" s="89"/>
      <c r="T49" s="89"/>
      <c r="U49" s="89"/>
    </row>
    <row r="50" spans="1:21" ht="30" customHeight="1" x14ac:dyDescent="0.35">
      <c r="A50" s="1"/>
      <c r="B50" s="361"/>
      <c r="C50" s="362"/>
      <c r="D50" s="363"/>
      <c r="E50" s="363"/>
      <c r="F50" s="364"/>
      <c r="G50" s="364"/>
      <c r="H50" s="364"/>
      <c r="I50" s="115" t="s">
        <v>113</v>
      </c>
      <c r="J50" s="116">
        <f>D104*C77/1000</f>
        <v>1</v>
      </c>
      <c r="K50" s="116">
        <f>E104*C77/1000</f>
        <v>20</v>
      </c>
      <c r="L50" s="105"/>
      <c r="M50" s="1"/>
      <c r="N50" s="1"/>
      <c r="O50" s="1"/>
      <c r="P50" s="1"/>
      <c r="Q50" s="1"/>
      <c r="S50" s="89"/>
      <c r="T50" s="89"/>
      <c r="U50" s="89"/>
    </row>
    <row r="51" spans="1:21" ht="43.5" customHeight="1" x14ac:dyDescent="0.35">
      <c r="A51" s="1"/>
      <c r="B51" s="106"/>
      <c r="C51" s="256" t="s">
        <v>114</v>
      </c>
      <c r="D51" s="254">
        <f>IFERROR(VLOOKUP("Water",B15:C25,2,FALSE),0)</f>
        <v>0</v>
      </c>
      <c r="E51" s="103"/>
      <c r="F51" s="368" t="s">
        <v>287</v>
      </c>
      <c r="G51" s="368"/>
      <c r="H51" s="369"/>
      <c r="I51" s="114"/>
      <c r="J51" s="103"/>
      <c r="K51" s="103"/>
      <c r="L51" s="105"/>
      <c r="M51" s="1"/>
      <c r="N51" s="1"/>
      <c r="O51" s="1"/>
      <c r="P51" s="1"/>
      <c r="Q51" s="1"/>
      <c r="S51" s="89"/>
      <c r="T51" s="89"/>
      <c r="U51" s="89"/>
    </row>
    <row r="52" spans="1:21" ht="15" thickBot="1" x14ac:dyDescent="0.4">
      <c r="A52" s="1"/>
      <c r="B52" s="106"/>
      <c r="C52" s="107"/>
      <c r="D52" s="117"/>
      <c r="E52" s="103"/>
      <c r="F52" s="314"/>
      <c r="G52" s="314"/>
      <c r="H52" s="315"/>
      <c r="I52" s="114"/>
      <c r="J52" s="103"/>
      <c r="K52" s="103"/>
      <c r="L52" s="105"/>
      <c r="M52" s="1"/>
      <c r="N52" s="1"/>
      <c r="O52" s="90"/>
      <c r="P52" s="90"/>
      <c r="Q52" s="90"/>
      <c r="R52" s="89"/>
      <c r="S52" s="89"/>
      <c r="T52" s="89"/>
      <c r="U52" s="89"/>
    </row>
    <row r="53" spans="1:21" ht="21" x14ac:dyDescent="0.5">
      <c r="A53" s="1"/>
      <c r="B53" s="356" t="s">
        <v>115</v>
      </c>
      <c r="C53" s="357"/>
      <c r="D53" s="357"/>
      <c r="E53" s="357"/>
      <c r="F53" s="357"/>
      <c r="G53" s="357"/>
      <c r="H53" s="357"/>
      <c r="I53" s="106"/>
      <c r="J53" s="103"/>
      <c r="K53" s="103"/>
      <c r="L53" s="105"/>
      <c r="M53" s="1"/>
      <c r="N53" s="1"/>
      <c r="O53" s="90"/>
      <c r="P53" s="90"/>
      <c r="Q53" s="90"/>
      <c r="R53" s="89"/>
      <c r="S53" s="89"/>
      <c r="T53" s="89"/>
      <c r="U53" s="89"/>
    </row>
    <row r="54" spans="1:21" x14ac:dyDescent="0.35">
      <c r="A54" s="1"/>
      <c r="B54" s="106"/>
      <c r="C54" s="107"/>
      <c r="D54" s="102" t="s">
        <v>106</v>
      </c>
      <c r="E54" s="102" t="s">
        <v>107</v>
      </c>
      <c r="F54" s="103"/>
      <c r="G54" s="103"/>
      <c r="H54" s="103"/>
      <c r="I54" s="114"/>
      <c r="J54" s="103"/>
      <c r="K54" s="103"/>
      <c r="L54" s="105"/>
      <c r="M54" s="1"/>
      <c r="N54" s="1"/>
      <c r="O54" s="90"/>
      <c r="P54" s="90"/>
      <c r="Q54" s="90"/>
      <c r="R54" s="89"/>
      <c r="S54" s="89"/>
      <c r="T54" s="89"/>
      <c r="U54" s="89"/>
    </row>
    <row r="55" spans="1:21" ht="29" x14ac:dyDescent="0.35">
      <c r="A55" s="1"/>
      <c r="B55" s="118"/>
      <c r="C55" s="119" t="s">
        <v>116</v>
      </c>
      <c r="D55" s="116">
        <f>(C77/1000)*D102</f>
        <v>36</v>
      </c>
      <c r="E55" s="116">
        <f>(C77/1000)*E102</f>
        <v>60</v>
      </c>
      <c r="F55" s="103"/>
      <c r="G55" s="103"/>
      <c r="H55" s="103"/>
      <c r="I55" s="114"/>
      <c r="J55" s="103"/>
      <c r="K55" s="103"/>
      <c r="L55" s="105"/>
      <c r="M55" s="1"/>
      <c r="N55" s="1"/>
      <c r="O55" s="90"/>
      <c r="P55" s="90"/>
      <c r="Q55" s="90"/>
      <c r="R55" s="89"/>
      <c r="S55" s="89"/>
      <c r="T55" s="89"/>
      <c r="U55" s="89"/>
    </row>
    <row r="56" spans="1:21" x14ac:dyDescent="0.35">
      <c r="A56" s="1"/>
      <c r="B56" s="120"/>
      <c r="C56" s="121"/>
      <c r="D56" s="122"/>
      <c r="E56" s="122"/>
      <c r="F56" s="123"/>
      <c r="G56" s="123"/>
      <c r="H56" s="123"/>
      <c r="I56" s="124"/>
      <c r="J56" s="123"/>
      <c r="K56" s="123"/>
      <c r="L56" s="125"/>
      <c r="M56" s="1"/>
      <c r="N56" s="1"/>
      <c r="O56" s="90"/>
      <c r="P56" s="90"/>
      <c r="Q56" s="90"/>
      <c r="R56" s="89"/>
      <c r="S56" s="89"/>
      <c r="T56" s="89"/>
      <c r="U56" s="89"/>
    </row>
    <row r="57" spans="1:21" s="126" customFormat="1" x14ac:dyDescent="0.35">
      <c r="O57" s="127"/>
      <c r="P57" s="127"/>
      <c r="Q57" s="127"/>
      <c r="R57" s="128"/>
      <c r="S57" s="128"/>
      <c r="T57" s="128"/>
      <c r="U57" s="128"/>
    </row>
    <row r="58" spans="1:21" ht="21.5" thickBot="1" x14ac:dyDescent="0.55000000000000004">
      <c r="A58" s="1"/>
      <c r="B58" s="358"/>
      <c r="C58" s="358"/>
      <c r="D58" s="358"/>
      <c r="E58" s="358"/>
      <c r="F58" s="358"/>
      <c r="G58" s="129"/>
      <c r="H58" s="129"/>
      <c r="I58" s="1"/>
      <c r="J58" s="1"/>
      <c r="K58" s="1"/>
      <c r="L58" s="1"/>
      <c r="M58" s="1"/>
      <c r="N58" s="1"/>
      <c r="O58" s="90"/>
      <c r="P58" s="90"/>
      <c r="Q58" s="90"/>
      <c r="R58" s="89"/>
      <c r="S58" s="89"/>
      <c r="T58" s="89"/>
      <c r="U58" s="89"/>
    </row>
    <row r="59" spans="1:21" ht="21.5" thickBot="1" x14ac:dyDescent="0.55000000000000004">
      <c r="A59" s="1"/>
      <c r="B59" s="365" t="s">
        <v>263</v>
      </c>
      <c r="C59" s="366"/>
      <c r="D59" s="366"/>
      <c r="E59" s="366"/>
      <c r="F59" s="366"/>
      <c r="G59" s="275"/>
      <c r="H59" s="276" t="s">
        <v>264</v>
      </c>
      <c r="I59" s="274"/>
      <c r="J59" s="1"/>
      <c r="K59" s="1"/>
      <c r="L59" s="1"/>
      <c r="M59" s="1"/>
      <c r="N59" s="1"/>
      <c r="O59" s="90"/>
      <c r="P59" s="90"/>
      <c r="Q59" s="90"/>
      <c r="R59" s="89"/>
      <c r="S59" s="89"/>
      <c r="T59" s="89"/>
      <c r="U59" s="89"/>
    </row>
    <row r="60" spans="1:21" x14ac:dyDescent="0.35">
      <c r="A60" s="1"/>
      <c r="B60" s="65"/>
      <c r="C60" s="1"/>
      <c r="D60" s="1"/>
      <c r="E60" s="1"/>
      <c r="F60" s="1"/>
      <c r="G60" s="1"/>
      <c r="H60" s="1"/>
      <c r="I60" s="1"/>
      <c r="J60" s="1"/>
      <c r="K60" s="1"/>
      <c r="L60" s="130"/>
      <c r="M60" s="130"/>
      <c r="N60" s="130"/>
      <c r="O60" s="1"/>
      <c r="P60" s="1"/>
      <c r="Q60" s="1"/>
      <c r="R60" s="131"/>
      <c r="S60" s="131"/>
      <c r="T60" s="131"/>
      <c r="U60" s="131"/>
    </row>
    <row r="61" spans="1:21" ht="21" x14ac:dyDescent="0.5">
      <c r="A61" s="1"/>
      <c r="B61" s="367" t="s">
        <v>283</v>
      </c>
      <c r="C61" s="367"/>
      <c r="D61" s="367"/>
      <c r="E61" s="367"/>
      <c r="F61" s="367"/>
      <c r="G61" s="367"/>
      <c r="H61" s="367"/>
      <c r="I61" s="1"/>
      <c r="J61" s="1"/>
      <c r="K61" s="1"/>
      <c r="L61" s="130"/>
      <c r="M61" s="130"/>
      <c r="N61" s="130"/>
      <c r="O61" s="1"/>
      <c r="P61" s="1"/>
      <c r="Q61" s="1"/>
      <c r="R61" s="131"/>
      <c r="S61" s="131"/>
      <c r="T61" s="131"/>
      <c r="U61" s="131"/>
    </row>
    <row r="62" spans="1:21" ht="15" thickBot="1" x14ac:dyDescent="0.4">
      <c r="A62" s="1"/>
      <c r="B62" s="65"/>
      <c r="C62" s="1"/>
      <c r="D62" s="1"/>
      <c r="E62" s="1"/>
      <c r="F62" s="1"/>
      <c r="G62" s="1"/>
      <c r="H62" s="1"/>
      <c r="I62" s="1"/>
      <c r="J62" s="1"/>
      <c r="K62" s="1"/>
      <c r="L62" s="130"/>
      <c r="M62" s="130"/>
      <c r="N62" s="130"/>
      <c r="O62" s="1"/>
      <c r="P62" s="1"/>
      <c r="Q62" s="1"/>
      <c r="R62" s="131"/>
      <c r="S62" s="131"/>
      <c r="T62" s="131"/>
      <c r="U62" s="131"/>
    </row>
    <row r="63" spans="1:21" x14ac:dyDescent="0.35">
      <c r="A63" s="1"/>
      <c r="B63" s="51"/>
      <c r="C63" s="132"/>
      <c r="D63" s="132" t="s">
        <v>87</v>
      </c>
      <c r="E63" s="132" t="s">
        <v>88</v>
      </c>
      <c r="F63" s="133"/>
      <c r="G63" s="1"/>
      <c r="H63" s="1"/>
      <c r="I63" s="1"/>
      <c r="J63" s="1"/>
      <c r="K63" s="1"/>
      <c r="L63" s="130"/>
      <c r="M63" s="130"/>
      <c r="N63" s="130"/>
      <c r="O63" s="1"/>
      <c r="P63" s="1"/>
      <c r="Q63" s="1"/>
      <c r="R63" s="131"/>
      <c r="S63" s="131"/>
      <c r="T63" s="131"/>
      <c r="U63" s="131"/>
    </row>
    <row r="64" spans="1:21" x14ac:dyDescent="0.35">
      <c r="A64" s="1"/>
      <c r="B64" s="134"/>
      <c r="C64" s="42" t="s">
        <v>68</v>
      </c>
      <c r="D64" s="42" t="s">
        <v>90</v>
      </c>
      <c r="E64" s="42" t="s">
        <v>91</v>
      </c>
      <c r="F64" s="135" t="s">
        <v>30</v>
      </c>
      <c r="G64" s="1"/>
      <c r="H64" s="1"/>
      <c r="I64" s="1"/>
      <c r="J64" s="1"/>
      <c r="K64" s="1"/>
      <c r="L64" s="130"/>
      <c r="M64" s="130"/>
      <c r="N64" s="130"/>
      <c r="O64" s="1"/>
      <c r="P64" s="1"/>
      <c r="Q64" s="1"/>
      <c r="R64" s="131"/>
      <c r="S64" s="131"/>
      <c r="T64" s="131"/>
      <c r="U64" s="131"/>
    </row>
    <row r="65" spans="1:21" x14ac:dyDescent="0.35">
      <c r="A65" s="1"/>
      <c r="B65" s="136" t="str">
        <f>IF(D69="Yes","Untreated feedstock mix", "Feedstock mix")</f>
        <v>Feedstock mix</v>
      </c>
      <c r="C65" s="137">
        <f>SUM(C15:C25)</f>
        <v>200</v>
      </c>
      <c r="D65" s="138">
        <f>SUM(U15:U25)/C65</f>
        <v>0.77</v>
      </c>
      <c r="E65" s="138">
        <f>SUM(V15:V25)/C65</f>
        <v>0.23</v>
      </c>
      <c r="F65" s="139">
        <f>SUM(W15:W25)/SUM(X15:X25)</f>
        <v>24.389199999999992</v>
      </c>
      <c r="G65" s="1"/>
      <c r="H65" s="1"/>
      <c r="I65" s="1"/>
      <c r="J65" s="1"/>
      <c r="K65" s="1"/>
      <c r="L65" s="130"/>
      <c r="M65" s="130"/>
      <c r="N65" s="130"/>
      <c r="O65" s="1"/>
      <c r="P65" s="1"/>
      <c r="Q65" s="1"/>
      <c r="R65" s="131"/>
      <c r="S65" s="131"/>
      <c r="T65" s="131"/>
      <c r="U65" s="131"/>
    </row>
    <row r="66" spans="1:21" x14ac:dyDescent="0.35">
      <c r="A66" s="1"/>
      <c r="B66" s="1"/>
      <c r="C66" s="1"/>
      <c r="D66" s="1"/>
      <c r="E66" s="1"/>
      <c r="F66" s="1"/>
      <c r="G66" s="1"/>
      <c r="H66" s="1"/>
      <c r="I66" s="1"/>
      <c r="J66" s="1"/>
      <c r="K66" s="11"/>
      <c r="M66" s="1"/>
      <c r="N66" s="1"/>
      <c r="O66" s="1"/>
      <c r="P66" s="1"/>
      <c r="Q66" s="1"/>
    </row>
    <row r="67" spans="1:21" ht="15.5" x14ac:dyDescent="0.35">
      <c r="A67" s="1"/>
      <c r="B67" s="140" t="s">
        <v>117</v>
      </c>
      <c r="C67" s="52"/>
      <c r="D67" s="52"/>
      <c r="E67" s="52"/>
      <c r="F67" s="52"/>
      <c r="G67" s="52"/>
      <c r="H67" s="52"/>
      <c r="I67" s="52"/>
      <c r="J67" s="53"/>
      <c r="K67" s="1"/>
      <c r="L67" s="1"/>
      <c r="M67" s="1"/>
      <c r="N67" s="1"/>
      <c r="O67" s="1"/>
      <c r="P67" s="1"/>
      <c r="Q67" s="1"/>
    </row>
    <row r="68" spans="1:21" x14ac:dyDescent="0.35">
      <c r="A68" s="1"/>
      <c r="B68" s="54"/>
      <c r="C68" s="55"/>
      <c r="D68" s="55"/>
      <c r="E68" s="55"/>
      <c r="F68" s="55"/>
      <c r="G68" s="55"/>
      <c r="H68" s="55"/>
      <c r="I68" s="55"/>
      <c r="J68" s="56"/>
      <c r="K68" s="1"/>
      <c r="L68" s="1"/>
      <c r="M68" s="1"/>
      <c r="N68" s="1"/>
      <c r="O68" s="1"/>
      <c r="P68" s="1"/>
      <c r="Q68" s="1"/>
    </row>
    <row r="69" spans="1:21" x14ac:dyDescent="0.35">
      <c r="A69" s="1"/>
      <c r="B69" s="134"/>
      <c r="C69" s="141" t="s">
        <v>118</v>
      </c>
      <c r="D69" s="141" t="str">
        <f>IF(C38="With pretreatment", "Yes", "No")</f>
        <v>No</v>
      </c>
      <c r="E69" s="141"/>
      <c r="F69" s="141"/>
      <c r="G69" s="141"/>
      <c r="H69" s="141"/>
      <c r="I69" s="141"/>
      <c r="J69" s="142"/>
      <c r="K69" s="1"/>
      <c r="L69" s="1"/>
      <c r="M69" s="1"/>
      <c r="N69" s="1"/>
      <c r="O69" s="1"/>
      <c r="P69" s="1"/>
      <c r="Q69" s="1"/>
    </row>
    <row r="70" spans="1:21" x14ac:dyDescent="0.35">
      <c r="A70" s="1"/>
      <c r="B70" s="134"/>
      <c r="C70" s="141" t="s">
        <v>119</v>
      </c>
      <c r="D70" s="143">
        <v>0.6</v>
      </c>
      <c r="E70" s="141"/>
      <c r="F70" s="141"/>
      <c r="G70" s="141"/>
      <c r="H70" s="359" t="s">
        <v>120</v>
      </c>
      <c r="I70" s="359"/>
      <c r="J70" s="360"/>
      <c r="K70" s="1"/>
      <c r="L70" s="1"/>
      <c r="M70" s="1"/>
      <c r="N70" s="1"/>
      <c r="O70" s="1"/>
      <c r="P70" s="1"/>
      <c r="Q70" s="1"/>
    </row>
    <row r="71" spans="1:21" x14ac:dyDescent="0.35">
      <c r="A71" s="1"/>
      <c r="B71" s="134"/>
      <c r="C71" s="141" t="s">
        <v>87</v>
      </c>
      <c r="D71" s="144">
        <f>IF(D69="Yes",D70,D65)</f>
        <v>0.77</v>
      </c>
      <c r="E71" s="141"/>
      <c r="F71" s="141"/>
      <c r="G71" s="141"/>
      <c r="H71" s="359"/>
      <c r="I71" s="359"/>
      <c r="J71" s="360"/>
      <c r="K71" s="1"/>
      <c r="L71" s="1"/>
      <c r="M71" s="1"/>
      <c r="N71" s="1"/>
      <c r="O71" s="1"/>
      <c r="P71" s="1"/>
      <c r="Q71" s="1"/>
    </row>
    <row r="72" spans="1:21" x14ac:dyDescent="0.35">
      <c r="A72" s="1"/>
      <c r="B72" s="134"/>
      <c r="C72" s="141" t="s">
        <v>121</v>
      </c>
      <c r="D72" s="145">
        <f>C65-C77</f>
        <v>0</v>
      </c>
      <c r="E72" s="141"/>
      <c r="F72" s="141"/>
      <c r="G72" s="141"/>
      <c r="H72" s="359"/>
      <c r="I72" s="359"/>
      <c r="J72" s="360"/>
      <c r="K72" s="1"/>
      <c r="L72" s="1"/>
      <c r="M72" s="1"/>
      <c r="N72" s="1"/>
      <c r="O72" s="1"/>
      <c r="P72" s="1"/>
      <c r="Q72" s="1"/>
    </row>
    <row r="73" spans="1:21" x14ac:dyDescent="0.35">
      <c r="A73" s="1"/>
      <c r="B73" s="146"/>
      <c r="C73" s="58"/>
      <c r="D73" s="58"/>
      <c r="E73" s="58"/>
      <c r="F73" s="58"/>
      <c r="G73" s="58"/>
      <c r="H73" s="58"/>
      <c r="I73" s="58"/>
      <c r="J73" s="147"/>
      <c r="K73" s="1"/>
      <c r="L73" s="1"/>
      <c r="M73" s="1"/>
      <c r="N73" s="1"/>
      <c r="O73" s="1"/>
      <c r="P73" s="1"/>
      <c r="Q73" s="1"/>
    </row>
    <row r="74" spans="1:21" x14ac:dyDescent="0.35">
      <c r="A74" s="1"/>
      <c r="B74" s="1"/>
      <c r="C74" s="1"/>
      <c r="D74" s="1"/>
      <c r="E74" s="1"/>
      <c r="F74" s="1"/>
      <c r="G74" s="1"/>
      <c r="H74" s="1"/>
      <c r="I74" s="1"/>
      <c r="J74" s="1"/>
      <c r="K74" s="1"/>
      <c r="L74" s="1"/>
      <c r="M74" s="1"/>
      <c r="N74" s="1"/>
      <c r="O74" s="1"/>
      <c r="P74" s="1"/>
      <c r="Q74" s="1"/>
    </row>
    <row r="75" spans="1:21" x14ac:dyDescent="0.35">
      <c r="A75" s="1"/>
      <c r="B75" s="51"/>
      <c r="C75" s="52"/>
      <c r="D75" s="52" t="s">
        <v>87</v>
      </c>
      <c r="E75" s="52" t="s">
        <v>88</v>
      </c>
      <c r="F75" s="53"/>
      <c r="G75" s="1"/>
      <c r="H75" s="1"/>
      <c r="I75" s="1"/>
      <c r="J75" s="1"/>
      <c r="K75" s="1"/>
      <c r="L75" s="1"/>
      <c r="M75" s="1"/>
      <c r="N75" s="1"/>
      <c r="O75" s="1"/>
      <c r="P75" s="1"/>
      <c r="Q75" s="1"/>
    </row>
    <row r="76" spans="1:21" x14ac:dyDescent="0.35">
      <c r="A76" s="1"/>
      <c r="B76" s="134"/>
      <c r="C76" s="148" t="s">
        <v>68</v>
      </c>
      <c r="D76" s="141" t="s">
        <v>90</v>
      </c>
      <c r="E76" s="141" t="s">
        <v>91</v>
      </c>
      <c r="F76" s="142" t="s">
        <v>30</v>
      </c>
      <c r="G76" s="1"/>
      <c r="H76" s="1"/>
      <c r="I76" s="1"/>
      <c r="J76" s="1"/>
      <c r="K76" s="1"/>
      <c r="L76" s="1"/>
      <c r="M76" s="1"/>
      <c r="N76" s="1"/>
      <c r="O76" s="1"/>
      <c r="P76" s="1"/>
      <c r="Q76" s="1"/>
    </row>
    <row r="77" spans="1:21" x14ac:dyDescent="0.35">
      <c r="A77" s="1"/>
      <c r="B77" s="136" t="str">
        <f>IF(D69="Yes","Dewatered feedstock mix", "Feedstock mix")</f>
        <v>Feedstock mix</v>
      </c>
      <c r="C77" s="149">
        <f>D71*C65/D65</f>
        <v>200</v>
      </c>
      <c r="D77" s="59">
        <f>D71</f>
        <v>0.77</v>
      </c>
      <c r="E77" s="59">
        <f>1-D77</f>
        <v>0.22999999999999998</v>
      </c>
      <c r="F77" s="60">
        <f>SUM(W15:W25)/SUM(X15:X25)</f>
        <v>24.389199999999992</v>
      </c>
      <c r="G77" s="1"/>
      <c r="H77" s="1"/>
      <c r="I77" s="1"/>
      <c r="J77" s="1"/>
      <c r="K77" s="1"/>
      <c r="L77" s="1"/>
      <c r="M77" s="1"/>
      <c r="N77" s="1"/>
      <c r="O77" s="1"/>
      <c r="P77" s="1"/>
      <c r="Q77" s="1"/>
    </row>
    <row r="78" spans="1:21" x14ac:dyDescent="0.35">
      <c r="A78" s="1"/>
      <c r="B78" s="1"/>
      <c r="C78" s="1"/>
      <c r="D78" s="1"/>
      <c r="E78" s="1"/>
      <c r="F78" s="1"/>
      <c r="G78" s="1"/>
      <c r="H78" s="1"/>
      <c r="I78" s="1"/>
      <c r="J78" s="1"/>
      <c r="K78" s="1"/>
      <c r="L78" s="1"/>
      <c r="M78" s="1"/>
      <c r="N78" s="1"/>
      <c r="O78" s="1"/>
      <c r="P78" s="1"/>
      <c r="Q78" s="1"/>
    </row>
    <row r="79" spans="1:21" ht="15.5" x14ac:dyDescent="0.35">
      <c r="A79" s="1"/>
      <c r="B79" s="150"/>
      <c r="C79" s="151" t="s">
        <v>122</v>
      </c>
      <c r="D79" s="152"/>
      <c r="E79" s="153"/>
      <c r="F79" s="152"/>
      <c r="G79" s="152"/>
      <c r="H79" s="152"/>
      <c r="I79" s="152"/>
      <c r="J79" s="152"/>
      <c r="K79" s="152"/>
      <c r="L79" s="152"/>
      <c r="M79" s="154"/>
      <c r="N79" s="1"/>
      <c r="O79" s="1"/>
      <c r="P79" s="1"/>
      <c r="Q79" s="1"/>
    </row>
    <row r="80" spans="1:21" ht="15.5" x14ac:dyDescent="0.35">
      <c r="A80" s="1"/>
      <c r="B80" s="134"/>
      <c r="C80" s="155"/>
      <c r="D80" s="141"/>
      <c r="E80" s="156"/>
      <c r="F80" s="141"/>
      <c r="G80" s="141"/>
      <c r="H80" s="141" t="s">
        <v>123</v>
      </c>
      <c r="I80" s="141"/>
      <c r="J80" s="141"/>
      <c r="K80" s="141"/>
      <c r="L80" s="141"/>
      <c r="M80" s="142"/>
      <c r="N80" s="1"/>
      <c r="O80" s="1"/>
      <c r="P80" s="1"/>
      <c r="Q80" s="1"/>
    </row>
    <row r="81" spans="1:17" x14ac:dyDescent="0.35">
      <c r="A81" s="1"/>
      <c r="B81" s="134"/>
      <c r="C81" s="141" t="s">
        <v>124</v>
      </c>
      <c r="D81" s="141"/>
      <c r="E81" s="141"/>
      <c r="F81" s="141"/>
      <c r="G81" s="141"/>
      <c r="H81" s="141"/>
      <c r="I81" s="141"/>
      <c r="J81" s="141"/>
      <c r="K81" s="141"/>
      <c r="L81" s="141"/>
      <c r="M81" s="142"/>
      <c r="N81" s="1"/>
      <c r="O81" s="1"/>
      <c r="P81" s="1"/>
      <c r="Q81" s="1"/>
    </row>
    <row r="82" spans="1:17" x14ac:dyDescent="0.35">
      <c r="A82" s="1"/>
      <c r="B82" s="134"/>
      <c r="C82" s="157" t="s">
        <v>125</v>
      </c>
      <c r="D82" s="158">
        <v>0.9</v>
      </c>
      <c r="E82" s="42"/>
      <c r="F82" s="141"/>
      <c r="G82" s="141"/>
      <c r="H82" s="159" t="s">
        <v>126</v>
      </c>
      <c r="I82" s="141"/>
      <c r="J82" s="141"/>
      <c r="K82" s="141"/>
      <c r="L82" s="141"/>
      <c r="M82" s="142"/>
      <c r="N82" s="1"/>
      <c r="O82" s="1"/>
      <c r="P82" s="1"/>
      <c r="Q82" s="1"/>
    </row>
    <row r="83" spans="1:17" x14ac:dyDescent="0.35">
      <c r="A83" s="1"/>
      <c r="B83" s="134"/>
      <c r="C83" s="141"/>
      <c r="D83" s="42" t="s">
        <v>127</v>
      </c>
      <c r="E83" s="42" t="s">
        <v>128</v>
      </c>
      <c r="F83" s="141"/>
      <c r="G83" s="141"/>
      <c r="H83" s="141"/>
      <c r="I83" s="141"/>
      <c r="J83" s="141"/>
      <c r="K83" s="141"/>
      <c r="L83" s="141"/>
      <c r="M83" s="142"/>
      <c r="N83" s="1"/>
      <c r="O83" s="1"/>
      <c r="P83" s="1"/>
      <c r="Q83" s="1"/>
    </row>
    <row r="84" spans="1:17" x14ac:dyDescent="0.35">
      <c r="A84" s="1"/>
      <c r="B84" s="134"/>
      <c r="C84" s="141" t="s">
        <v>129</v>
      </c>
      <c r="D84" s="158">
        <v>0.4</v>
      </c>
      <c r="E84" s="158">
        <v>0.6</v>
      </c>
      <c r="F84" s="141"/>
      <c r="G84" s="141"/>
      <c r="H84" s="141" t="s">
        <v>130</v>
      </c>
      <c r="I84" s="141"/>
      <c r="J84" s="141"/>
      <c r="K84" s="141"/>
      <c r="L84" s="141"/>
      <c r="M84" s="142"/>
      <c r="N84" s="1"/>
      <c r="O84" s="1"/>
      <c r="P84" s="1"/>
      <c r="Q84" s="1"/>
    </row>
    <row r="85" spans="1:17" x14ac:dyDescent="0.35">
      <c r="A85" s="1"/>
      <c r="B85" s="134"/>
      <c r="C85" s="141" t="s">
        <v>131</v>
      </c>
      <c r="D85" s="158">
        <v>25</v>
      </c>
      <c r="E85" s="158">
        <v>35</v>
      </c>
      <c r="F85" s="141"/>
      <c r="G85" s="141"/>
      <c r="H85" s="141" t="s">
        <v>130</v>
      </c>
      <c r="I85" s="157"/>
      <c r="J85" s="157"/>
      <c r="K85" s="157"/>
      <c r="L85" s="157"/>
      <c r="M85" s="160"/>
      <c r="N85" s="1"/>
      <c r="O85" s="1"/>
      <c r="P85" s="1"/>
      <c r="Q85" s="1"/>
    </row>
    <row r="86" spans="1:17" x14ac:dyDescent="0.35">
      <c r="A86" s="1"/>
      <c r="B86" s="134"/>
      <c r="C86" s="141" t="s">
        <v>132</v>
      </c>
      <c r="D86" s="158">
        <v>20</v>
      </c>
      <c r="E86" s="158">
        <v>40</v>
      </c>
      <c r="F86" s="141"/>
      <c r="G86" s="141"/>
      <c r="H86" s="161" t="s">
        <v>133</v>
      </c>
      <c r="I86" s="157"/>
      <c r="J86" s="157"/>
      <c r="K86" s="157"/>
      <c r="L86" s="157"/>
      <c r="M86" s="160"/>
      <c r="N86" s="1"/>
      <c r="O86" s="1"/>
      <c r="P86" s="1"/>
      <c r="Q86" s="1"/>
    </row>
    <row r="87" spans="1:17" x14ac:dyDescent="0.35">
      <c r="A87" s="1"/>
      <c r="B87" s="134"/>
      <c r="C87" s="141" t="s">
        <v>134</v>
      </c>
      <c r="D87" s="42">
        <v>5.5</v>
      </c>
      <c r="E87" s="42">
        <v>7.5</v>
      </c>
      <c r="F87" s="141"/>
      <c r="G87" s="141"/>
      <c r="H87" s="157" t="s">
        <v>130</v>
      </c>
      <c r="I87" s="157"/>
      <c r="J87" s="157"/>
      <c r="K87" s="157"/>
      <c r="L87" s="157"/>
      <c r="M87" s="160"/>
      <c r="N87" s="1"/>
      <c r="O87" s="1"/>
      <c r="P87" s="1"/>
      <c r="Q87" s="1"/>
    </row>
    <row r="88" spans="1:17" ht="29" x14ac:dyDescent="0.35">
      <c r="A88" s="1"/>
      <c r="B88" s="134"/>
      <c r="C88" s="162" t="s">
        <v>135</v>
      </c>
      <c r="D88" s="163" t="s">
        <v>136</v>
      </c>
      <c r="E88" s="141"/>
      <c r="F88" s="141"/>
      <c r="G88" s="141"/>
      <c r="H88" s="141" t="s">
        <v>130</v>
      </c>
      <c r="I88" s="141"/>
      <c r="J88" s="141"/>
      <c r="K88" s="141"/>
      <c r="L88" s="141"/>
      <c r="M88" s="142"/>
      <c r="N88" s="1"/>
      <c r="O88" s="1"/>
      <c r="P88" s="1"/>
      <c r="Q88" s="1"/>
    </row>
    <row r="89" spans="1:17" x14ac:dyDescent="0.35">
      <c r="A89" s="1"/>
      <c r="B89" s="134"/>
      <c r="C89" s="141"/>
      <c r="D89" s="141"/>
      <c r="E89" s="141"/>
      <c r="F89" s="141"/>
      <c r="G89" s="141"/>
      <c r="H89" s="141"/>
      <c r="I89" s="141"/>
      <c r="J89" s="141"/>
      <c r="K89" s="141"/>
      <c r="L89" s="141"/>
      <c r="M89" s="142"/>
      <c r="N89" s="1"/>
      <c r="O89" s="1"/>
      <c r="P89" s="1"/>
      <c r="Q89" s="1"/>
    </row>
    <row r="90" spans="1:17" x14ac:dyDescent="0.35">
      <c r="A90" s="1"/>
      <c r="B90" s="134"/>
      <c r="C90" s="141" t="s">
        <v>137</v>
      </c>
      <c r="D90" s="157"/>
      <c r="E90" s="141"/>
      <c r="F90" s="141"/>
      <c r="G90" s="141"/>
      <c r="H90" s="141"/>
      <c r="I90" s="141"/>
      <c r="J90" s="141"/>
      <c r="K90" s="141"/>
      <c r="L90" s="141"/>
      <c r="M90" s="142"/>
      <c r="N90" s="1"/>
      <c r="O90" s="1"/>
      <c r="P90" s="1"/>
      <c r="Q90" s="1"/>
    </row>
    <row r="91" spans="1:17" x14ac:dyDescent="0.35">
      <c r="A91" s="1"/>
      <c r="B91" s="134"/>
      <c r="C91" s="157"/>
      <c r="D91" s="157"/>
      <c r="E91" s="141"/>
      <c r="F91" s="141"/>
      <c r="G91" s="141"/>
      <c r="H91" s="141"/>
      <c r="I91" s="141"/>
      <c r="J91" s="141"/>
      <c r="K91" s="141"/>
      <c r="L91" s="141"/>
      <c r="M91" s="142"/>
      <c r="N91" s="1"/>
      <c r="O91" s="1"/>
      <c r="P91" s="1"/>
      <c r="Q91" s="1"/>
    </row>
    <row r="92" spans="1:17" x14ac:dyDescent="0.35">
      <c r="A92" s="1"/>
      <c r="B92" s="134"/>
      <c r="C92" s="141" t="s">
        <v>138</v>
      </c>
      <c r="D92" s="277">
        <v>0.4</v>
      </c>
      <c r="E92" s="141"/>
      <c r="F92" s="141"/>
      <c r="G92" s="141"/>
      <c r="H92" s="141" t="s">
        <v>130</v>
      </c>
      <c r="I92" s="141"/>
      <c r="J92" s="141"/>
      <c r="K92" s="141"/>
      <c r="L92" s="141"/>
      <c r="M92" s="142"/>
      <c r="N92" s="1"/>
      <c r="O92" s="1"/>
      <c r="P92" s="1"/>
      <c r="Q92" s="1"/>
    </row>
    <row r="93" spans="1:17" x14ac:dyDescent="0.35">
      <c r="A93" s="1"/>
      <c r="B93" s="134"/>
      <c r="C93" s="141" t="s">
        <v>139</v>
      </c>
      <c r="D93" s="158">
        <v>90</v>
      </c>
      <c r="E93" s="141"/>
      <c r="F93" s="141"/>
      <c r="G93" s="141"/>
      <c r="H93" s="141" t="s">
        <v>130</v>
      </c>
      <c r="I93" s="141"/>
      <c r="J93" s="141"/>
      <c r="K93" s="141"/>
      <c r="L93" s="141"/>
      <c r="M93" s="142"/>
      <c r="N93" s="1"/>
      <c r="O93" s="1"/>
      <c r="P93" s="1"/>
      <c r="Q93" s="1"/>
    </row>
    <row r="94" spans="1:17" x14ac:dyDescent="0.35">
      <c r="A94" s="1"/>
      <c r="B94" s="134"/>
      <c r="C94" s="141" t="s">
        <v>140</v>
      </c>
      <c r="D94" s="158">
        <v>40</v>
      </c>
      <c r="E94" s="141"/>
      <c r="F94" s="141"/>
      <c r="G94" s="141"/>
      <c r="H94" s="161" t="s">
        <v>141</v>
      </c>
      <c r="I94" s="141"/>
      <c r="J94" s="141"/>
      <c r="K94" s="141"/>
      <c r="L94" s="141"/>
      <c r="M94" s="142"/>
      <c r="N94" s="1"/>
      <c r="O94" s="1"/>
      <c r="P94" s="1"/>
      <c r="Q94" s="1"/>
    </row>
    <row r="95" spans="1:17" x14ac:dyDescent="0.35">
      <c r="A95" s="1"/>
      <c r="B95" s="134"/>
      <c r="C95" s="141" t="s">
        <v>142</v>
      </c>
      <c r="D95" s="158">
        <v>4</v>
      </c>
      <c r="E95" s="141"/>
      <c r="F95" s="141"/>
      <c r="G95" s="141"/>
      <c r="H95" s="161" t="s">
        <v>141</v>
      </c>
      <c r="I95" s="141"/>
      <c r="J95" s="141"/>
      <c r="K95" s="141"/>
      <c r="L95" s="141"/>
      <c r="M95" s="142"/>
      <c r="N95" s="1"/>
      <c r="O95" s="1"/>
      <c r="P95" s="1"/>
      <c r="Q95" s="1"/>
    </row>
    <row r="96" spans="1:17" ht="29" x14ac:dyDescent="0.35">
      <c r="A96" s="1"/>
      <c r="B96" s="134"/>
      <c r="C96" s="157" t="s">
        <v>143</v>
      </c>
      <c r="D96" s="42">
        <f>'1.1 Composting'!D93*C77-((('1.1 Composting'!D93+1)*'1.1 Composting'!D93/2)-'1.1 Composting'!D93)*('1.1 Composting'!$D$92*C77/('1.1 Composting'!D93-1))</f>
        <v>14400</v>
      </c>
      <c r="E96" s="141"/>
      <c r="F96" s="141"/>
      <c r="G96" s="141"/>
      <c r="H96" s="161" t="s">
        <v>144</v>
      </c>
      <c r="I96" s="141"/>
      <c r="J96" s="141"/>
      <c r="K96" s="141"/>
      <c r="L96" s="141"/>
      <c r="M96" s="142"/>
      <c r="N96" s="1"/>
      <c r="O96" s="1"/>
      <c r="P96" s="1"/>
      <c r="Q96" s="1"/>
    </row>
    <row r="97" spans="1:17" ht="29" x14ac:dyDescent="0.35">
      <c r="A97" s="1"/>
      <c r="B97" s="134"/>
      <c r="C97" s="157" t="s">
        <v>145</v>
      </c>
      <c r="D97" s="42">
        <f>'1.1 Composting'!D94*C77-((('1.1 Composting'!D94+1)*'1.1 Composting'!D94/2)-'1.1 Composting'!D94)*('1.1 Composting'!$D$92*C77/('1.1 Composting'!D94-1))</f>
        <v>6400</v>
      </c>
      <c r="E97" s="141"/>
      <c r="F97" s="141"/>
      <c r="G97" s="141"/>
      <c r="H97" s="161" t="s">
        <v>144</v>
      </c>
      <c r="I97" s="141"/>
      <c r="J97" s="141"/>
      <c r="K97" s="141"/>
      <c r="L97" s="141"/>
      <c r="M97" s="142"/>
      <c r="N97" s="1"/>
      <c r="O97" s="1"/>
      <c r="P97" s="1"/>
      <c r="Q97" s="1"/>
    </row>
    <row r="98" spans="1:17" x14ac:dyDescent="0.35">
      <c r="A98" s="1"/>
      <c r="B98" s="134"/>
      <c r="C98" s="141"/>
      <c r="D98" s="141"/>
      <c r="E98" s="141"/>
      <c r="F98" s="141"/>
      <c r="G98" s="141"/>
      <c r="H98" s="141"/>
      <c r="I98" s="141"/>
      <c r="J98" s="141"/>
      <c r="K98" s="141"/>
      <c r="L98" s="141"/>
      <c r="M98" s="142"/>
      <c r="N98" s="1"/>
      <c r="O98" s="1"/>
      <c r="P98" s="1"/>
      <c r="Q98" s="1"/>
    </row>
    <row r="99" spans="1:17" x14ac:dyDescent="0.35">
      <c r="A99" s="1"/>
      <c r="B99" s="134"/>
      <c r="C99" s="141"/>
      <c r="D99" s="42" t="s">
        <v>106</v>
      </c>
      <c r="E99" s="42" t="s">
        <v>107</v>
      </c>
      <c r="F99" s="141"/>
      <c r="G99" s="141"/>
      <c r="H99" s="141"/>
      <c r="I99" s="141"/>
      <c r="J99" s="141"/>
      <c r="K99" s="141"/>
      <c r="L99" s="141"/>
      <c r="M99" s="142"/>
      <c r="N99" s="1"/>
      <c r="O99" s="1"/>
      <c r="P99" s="1"/>
      <c r="Q99" s="1"/>
    </row>
    <row r="100" spans="1:17" ht="29" x14ac:dyDescent="0.35">
      <c r="A100" s="1"/>
      <c r="B100" s="134"/>
      <c r="C100" s="157" t="s">
        <v>146</v>
      </c>
      <c r="D100" s="158">
        <v>1</v>
      </c>
      <c r="E100" s="158">
        <v>2</v>
      </c>
      <c r="F100" s="141"/>
      <c r="G100" s="141"/>
      <c r="H100" s="141" t="s">
        <v>130</v>
      </c>
      <c r="I100" s="141"/>
      <c r="J100" s="141"/>
      <c r="K100" s="141"/>
      <c r="L100" s="141"/>
      <c r="M100" s="142"/>
      <c r="N100" s="1"/>
      <c r="O100" s="1"/>
      <c r="P100" s="1"/>
      <c r="Q100" s="1"/>
    </row>
    <row r="101" spans="1:17" ht="29" x14ac:dyDescent="0.35">
      <c r="A101" s="1"/>
      <c r="B101" s="134"/>
      <c r="C101" s="157" t="s">
        <v>147</v>
      </c>
      <c r="D101" s="158">
        <v>1</v>
      </c>
      <c r="E101" s="158">
        <v>2.5</v>
      </c>
      <c r="F101" s="141"/>
      <c r="G101" s="141"/>
      <c r="H101" s="141" t="s">
        <v>130</v>
      </c>
      <c r="I101" s="141"/>
      <c r="J101" s="141"/>
      <c r="K101" s="141"/>
      <c r="L101" s="141"/>
      <c r="M101" s="142"/>
      <c r="N101" s="1"/>
      <c r="O101" s="1"/>
      <c r="P101" s="1"/>
      <c r="Q101" s="1"/>
    </row>
    <row r="102" spans="1:17" ht="29" x14ac:dyDescent="0.35">
      <c r="A102" s="1"/>
      <c r="B102" s="134"/>
      <c r="C102" s="157" t="s">
        <v>148</v>
      </c>
      <c r="D102" s="164">
        <v>180</v>
      </c>
      <c r="E102" s="158">
        <v>300</v>
      </c>
      <c r="F102" s="141"/>
      <c r="G102" s="141"/>
      <c r="H102" s="141" t="s">
        <v>130</v>
      </c>
      <c r="I102" s="141"/>
      <c r="J102" s="141"/>
      <c r="K102" s="141"/>
      <c r="L102" s="141"/>
      <c r="M102" s="142"/>
      <c r="N102" s="1"/>
      <c r="O102" s="1"/>
      <c r="P102" s="1"/>
      <c r="Q102" s="1"/>
    </row>
    <row r="103" spans="1:17" x14ac:dyDescent="0.35">
      <c r="A103" s="1"/>
      <c r="B103" s="134"/>
      <c r="C103" s="157" t="s">
        <v>149</v>
      </c>
      <c r="D103" s="158">
        <v>30</v>
      </c>
      <c r="E103" s="158">
        <v>55</v>
      </c>
      <c r="F103" s="141"/>
      <c r="G103" s="141"/>
      <c r="H103" s="141" t="s">
        <v>130</v>
      </c>
      <c r="I103" s="141"/>
      <c r="J103" s="141"/>
      <c r="K103" s="141"/>
      <c r="L103" s="141"/>
      <c r="M103" s="142"/>
      <c r="N103" s="1"/>
      <c r="O103" s="1"/>
      <c r="P103" s="1"/>
      <c r="Q103" s="1"/>
    </row>
    <row r="104" spans="1:17" ht="29" x14ac:dyDescent="0.35">
      <c r="A104" s="1"/>
      <c r="B104" s="134"/>
      <c r="C104" s="157" t="s">
        <v>150</v>
      </c>
      <c r="D104" s="158">
        <v>5</v>
      </c>
      <c r="E104" s="158">
        <v>100</v>
      </c>
      <c r="F104" s="165"/>
      <c r="G104" s="165"/>
      <c r="H104" s="141" t="s">
        <v>151</v>
      </c>
      <c r="I104" s="141"/>
      <c r="J104" s="141"/>
      <c r="K104" s="141"/>
      <c r="L104" s="141"/>
      <c r="M104" s="142"/>
      <c r="N104" s="1"/>
      <c r="O104" s="1"/>
      <c r="P104" s="1"/>
      <c r="Q104" s="1"/>
    </row>
    <row r="105" spans="1:17" x14ac:dyDescent="0.35">
      <c r="A105" s="1"/>
      <c r="B105" s="146"/>
      <c r="C105" s="58"/>
      <c r="D105" s="58"/>
      <c r="E105" s="58"/>
      <c r="F105" s="58"/>
      <c r="G105" s="58"/>
      <c r="H105" s="58"/>
      <c r="I105" s="58"/>
      <c r="J105" s="58"/>
      <c r="K105" s="58"/>
      <c r="L105" s="58"/>
      <c r="M105" s="147"/>
      <c r="N105" s="1"/>
      <c r="O105" s="1"/>
      <c r="P105" s="1"/>
      <c r="Q105" s="1"/>
    </row>
    <row r="106" spans="1:17" s="1" customFormat="1" x14ac:dyDescent="0.35"/>
    <row r="107" spans="1:17" s="1" customFormat="1" x14ac:dyDescent="0.35"/>
    <row r="108" spans="1:17" s="1" customFormat="1" ht="21" hidden="1" x14ac:dyDescent="0.5">
      <c r="B108" s="166" t="s">
        <v>152</v>
      </c>
      <c r="C108" s="167"/>
      <c r="D108" s="167"/>
      <c r="E108" s="168"/>
    </row>
    <row r="109" spans="1:17" s="1" customFormat="1" hidden="1" x14ac:dyDescent="0.35">
      <c r="B109" s="169"/>
      <c r="C109" s="170"/>
      <c r="D109" s="170"/>
      <c r="E109" s="171"/>
    </row>
    <row r="110" spans="1:17" s="1" customFormat="1" ht="29" hidden="1" x14ac:dyDescent="0.35">
      <c r="B110" s="172" t="s">
        <v>153</v>
      </c>
      <c r="C110" s="173">
        <f>D97/D95</f>
        <v>1600</v>
      </c>
      <c r="D110" s="170"/>
      <c r="E110" s="171"/>
    </row>
    <row r="111" spans="1:17" s="1" customFormat="1" ht="43.5" hidden="1" x14ac:dyDescent="0.35">
      <c r="B111" s="174" t="s">
        <v>154</v>
      </c>
      <c r="C111" s="175">
        <f>C110*7/5</f>
        <v>2240</v>
      </c>
      <c r="D111" s="176"/>
      <c r="E111" s="177"/>
    </row>
    <row r="112" spans="1:17"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pans="2:5" s="1" customFormat="1" hidden="1" x14ac:dyDescent="0.35"/>
    <row r="130" spans="2:5" s="1" customFormat="1" hidden="1" x14ac:dyDescent="0.35">
      <c r="B130" s="35"/>
      <c r="C130" s="35"/>
      <c r="D130" s="35"/>
      <c r="E130" s="35"/>
    </row>
    <row r="131" spans="2:5" s="1" customFormat="1" hidden="1" x14ac:dyDescent="0.35">
      <c r="B131" s="35"/>
      <c r="C131" s="35"/>
      <c r="D131" s="35"/>
      <c r="E131" s="35"/>
    </row>
    <row r="132" spans="2:5" s="1" customFormat="1" hidden="1" x14ac:dyDescent="0.35">
      <c r="B132" s="35"/>
      <c r="C132" s="35"/>
      <c r="D132" s="35"/>
      <c r="E132" s="35"/>
    </row>
    <row r="133" spans="2:5" s="1" customFormat="1" hidden="1" x14ac:dyDescent="0.35">
      <c r="B133" s="35"/>
      <c r="C133" s="35"/>
      <c r="D133" s="35"/>
      <c r="E133" s="35"/>
    </row>
    <row r="134" spans="2:5" s="1" customFormat="1" hidden="1" x14ac:dyDescent="0.35">
      <c r="B134" s="35"/>
      <c r="C134" s="35"/>
      <c r="D134" s="35"/>
      <c r="E134" s="35"/>
    </row>
    <row r="135" spans="2:5" s="1" customFormat="1" hidden="1" x14ac:dyDescent="0.35">
      <c r="B135" s="35"/>
      <c r="C135" s="178"/>
      <c r="D135" s="35"/>
      <c r="E135" s="35"/>
    </row>
    <row r="136" spans="2:5" s="1" customFormat="1" hidden="1" x14ac:dyDescent="0.35">
      <c r="B136" s="35"/>
      <c r="C136" s="35"/>
      <c r="D136" s="35"/>
      <c r="E136" s="35"/>
    </row>
    <row r="137" spans="2:5" s="1" customFormat="1" hidden="1" x14ac:dyDescent="0.35">
      <c r="B137" s="35"/>
      <c r="C137" s="35"/>
      <c r="D137" s="35"/>
      <c r="E137" s="35"/>
    </row>
    <row r="138" spans="2:5" s="1" customFormat="1" hidden="1" x14ac:dyDescent="0.35">
      <c r="B138" s="35"/>
      <c r="C138" s="35"/>
      <c r="D138" s="35"/>
      <c r="E138" s="35"/>
    </row>
    <row r="139" spans="2:5" s="1" customFormat="1" hidden="1" x14ac:dyDescent="0.35">
      <c r="B139" s="35"/>
      <c r="C139" s="35"/>
      <c r="D139" s="35"/>
      <c r="E139" s="35"/>
    </row>
    <row r="140" spans="2:5" s="1" customFormat="1" hidden="1" x14ac:dyDescent="0.35">
      <c r="B140" s="35"/>
      <c r="C140" s="35"/>
      <c r="D140" s="35"/>
      <c r="E140" s="35"/>
    </row>
    <row r="141" spans="2:5" s="1" customFormat="1" hidden="1" x14ac:dyDescent="0.35">
      <c r="B141" s="35"/>
      <c r="C141" s="35"/>
      <c r="D141" s="35"/>
      <c r="E141" s="35"/>
    </row>
    <row r="142" spans="2:5" s="1" customFormat="1" hidden="1" x14ac:dyDescent="0.35">
      <c r="B142" s="35"/>
      <c r="C142" s="35"/>
      <c r="D142" s="35"/>
      <c r="E142" s="35"/>
    </row>
    <row r="143" spans="2:5" s="1" customFormat="1" hidden="1" x14ac:dyDescent="0.35">
      <c r="B143" s="35"/>
      <c r="C143" s="179"/>
      <c r="D143" s="35"/>
      <c r="E143" s="35"/>
    </row>
    <row r="144" spans="2:5" s="1" customFormat="1" hidden="1" x14ac:dyDescent="0.35">
      <c r="B144" s="35"/>
      <c r="C144" s="35"/>
      <c r="D144" s="35"/>
      <c r="E144" s="35"/>
    </row>
    <row r="145" spans="2:5" s="1" customFormat="1" hidden="1" x14ac:dyDescent="0.35">
      <c r="B145" s="35"/>
      <c r="C145" s="35"/>
      <c r="D145" s="35"/>
      <c r="E145" s="35"/>
    </row>
    <row r="146" spans="2:5" s="1" customFormat="1" hidden="1" x14ac:dyDescent="0.35">
      <c r="B146" s="35"/>
      <c r="C146" s="35"/>
      <c r="D146" s="35"/>
      <c r="E146" s="35"/>
    </row>
    <row r="147" spans="2:5" s="1" customFormat="1" hidden="1" x14ac:dyDescent="0.35">
      <c r="B147" s="35"/>
      <c r="C147" s="35"/>
      <c r="D147" s="35"/>
      <c r="E147" s="35"/>
    </row>
    <row r="148" spans="2:5" s="1" customFormat="1" hidden="1" x14ac:dyDescent="0.35">
      <c r="B148" s="35"/>
      <c r="C148" s="35"/>
      <c r="D148" s="35"/>
      <c r="E148" s="35"/>
    </row>
    <row r="149" spans="2:5" s="1" customFormat="1" hidden="1" x14ac:dyDescent="0.35">
      <c r="B149" s="35"/>
      <c r="C149" s="35"/>
      <c r="D149" s="35"/>
      <c r="E149" s="35"/>
    </row>
    <row r="150" spans="2:5" s="1" customFormat="1" hidden="1" x14ac:dyDescent="0.35">
      <c r="B150" s="35"/>
      <c r="C150" s="35"/>
      <c r="D150" s="35"/>
      <c r="E150" s="35"/>
    </row>
    <row r="151" spans="2:5" s="1" customFormat="1" hidden="1" x14ac:dyDescent="0.35">
      <c r="B151" s="35"/>
      <c r="C151" s="35"/>
      <c r="D151" s="35"/>
      <c r="E151" s="35"/>
    </row>
    <row r="152" spans="2:5" s="1" customFormat="1" hidden="1" x14ac:dyDescent="0.35">
      <c r="B152" s="35"/>
      <c r="C152" s="35"/>
      <c r="D152" s="35"/>
      <c r="E152" s="35"/>
    </row>
    <row r="153" spans="2:5" s="1" customFormat="1" hidden="1" x14ac:dyDescent="0.35">
      <c r="B153" s="35"/>
      <c r="C153" s="35"/>
      <c r="D153" s="35"/>
      <c r="E153" s="35"/>
    </row>
    <row r="154" spans="2:5" s="1" customFormat="1" hidden="1" x14ac:dyDescent="0.35">
      <c r="B154" s="35"/>
      <c r="C154" s="35"/>
      <c r="D154" s="35"/>
      <c r="E154" s="35"/>
    </row>
    <row r="155" spans="2:5" s="1" customFormat="1" hidden="1" x14ac:dyDescent="0.35">
      <c r="B155" s="35"/>
      <c r="C155" s="35"/>
      <c r="D155" s="35"/>
      <c r="E155" s="35"/>
    </row>
    <row r="156" spans="2:5" s="1" customFormat="1" hidden="1" x14ac:dyDescent="0.35">
      <c r="B156" s="35"/>
      <c r="C156" s="35"/>
      <c r="D156" s="35"/>
      <c r="E156" s="35"/>
    </row>
    <row r="157" spans="2:5" s="1" customFormat="1" hidden="1" x14ac:dyDescent="0.35"/>
    <row r="158" spans="2:5" s="1" customFormat="1" hidden="1" x14ac:dyDescent="0.35"/>
    <row r="159" spans="2:5" s="1" customFormat="1" hidden="1" x14ac:dyDescent="0.35"/>
    <row r="160" spans="2:5" s="1" customFormat="1" hidden="1" x14ac:dyDescent="0.35"/>
  </sheetData>
  <mergeCells count="28">
    <mergeCell ref="B4:F5"/>
    <mergeCell ref="B9:H9"/>
    <mergeCell ref="B10:C10"/>
    <mergeCell ref="B11:E11"/>
    <mergeCell ref="B13:B14"/>
    <mergeCell ref="C13:C14"/>
    <mergeCell ref="D13:F13"/>
    <mergeCell ref="B27:C27"/>
    <mergeCell ref="B30:B33"/>
    <mergeCell ref="C30:J31"/>
    <mergeCell ref="B35:B36"/>
    <mergeCell ref="C35:J36"/>
    <mergeCell ref="B38:B41"/>
    <mergeCell ref="C38:D41"/>
    <mergeCell ref="B43:C43"/>
    <mergeCell ref="B46:H46"/>
    <mergeCell ref="I46:L46"/>
    <mergeCell ref="B53:H53"/>
    <mergeCell ref="B58:F58"/>
    <mergeCell ref="H70:J72"/>
    <mergeCell ref="B49:B50"/>
    <mergeCell ref="C49:C50"/>
    <mergeCell ref="D49:D50"/>
    <mergeCell ref="E49:E50"/>
    <mergeCell ref="F49:H50"/>
    <mergeCell ref="B59:F59"/>
    <mergeCell ref="B61:H61"/>
    <mergeCell ref="F51:H51"/>
  </mergeCells>
  <conditionalFormatting sqref="B61:H61">
    <cfRule type="expression" dxfId="23" priority="2">
      <formula>$H$70="No"</formula>
    </cfRule>
  </conditionalFormatting>
  <conditionalFormatting sqref="B46:L56">
    <cfRule type="expression" dxfId="22" priority="1">
      <formula>$C$38="No"</formula>
    </cfRule>
  </conditionalFormatting>
  <conditionalFormatting sqref="B61:M105">
    <cfRule type="expression" dxfId="21" priority="4">
      <formula>$H$59="No"</formula>
    </cfRule>
  </conditionalFormatting>
  <conditionalFormatting sqref="C38">
    <cfRule type="cellIs" dxfId="20" priority="8" operator="equal">
      <formula>"No"</formula>
    </cfRule>
  </conditionalFormatting>
  <conditionalFormatting sqref="C30:J31">
    <cfRule type="containsText" dxfId="19" priority="5" operator="containsText" text="Optimal">
      <formula>NOT(ISERROR(SEARCH("Optimal",C30)))</formula>
    </cfRule>
  </conditionalFormatting>
  <conditionalFormatting sqref="C35:J36">
    <cfRule type="containsText" dxfId="18" priority="6" operator="containsText" text="Optimal">
      <formula>NOT(ISERROR(SEARCH("Optimal",C35)))</formula>
    </cfRule>
    <cfRule type="containsText" priority="7" operator="containsText" text="Acceptable">
      <formula>NOT(ISERROR(SEARCH("Acceptable",C35)))</formula>
    </cfRule>
  </conditionalFormatting>
  <conditionalFormatting sqref="K13:X25">
    <cfRule type="expression" dxfId="17" priority="3">
      <formula>$H$59="No"</formula>
    </cfRule>
  </conditionalFormatting>
  <dataValidations disablePrompts="1" count="1">
    <dataValidation type="list" allowBlank="1" showInputMessage="1" showErrorMessage="1" sqref="H59" xr:uid="{DCC89F4A-BB5B-4F33-8099-9F5683CB9197}">
      <formula1>"Yes,No"</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'2 Feedstock database'!$B$8:$B$27</xm:f>
          </x14:formula1>
          <xm:sqref>B15:B25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Z159"/>
  <sheetViews>
    <sheetView zoomScale="85" zoomScaleNormal="85" workbookViewId="0">
      <selection activeCell="B5" sqref="B5"/>
    </sheetView>
  </sheetViews>
  <sheetFormatPr defaultColWidth="0" defaultRowHeight="14.5" zeroHeight="1" x14ac:dyDescent="0.35"/>
  <cols>
    <col min="1" max="1" width="8.7265625" customWidth="1"/>
    <col min="2" max="2" width="32.7265625" customWidth="1"/>
    <col min="3" max="3" width="35.26953125" customWidth="1"/>
    <col min="4" max="4" width="17.7265625" customWidth="1"/>
    <col min="5" max="5" width="15.54296875" customWidth="1"/>
    <col min="6" max="6" width="18.1796875" customWidth="1"/>
    <col min="7" max="7" width="8.453125" bestFit="1" customWidth="1"/>
    <col min="8" max="8" width="16.453125" customWidth="1"/>
    <col min="9" max="9" width="60.7265625" customWidth="1"/>
    <col min="10" max="10" width="25" customWidth="1"/>
    <col min="11" max="11" width="13.1796875" bestFit="1" customWidth="1"/>
    <col min="12" max="12" width="17.7265625" customWidth="1"/>
    <col min="13" max="13" width="21" customWidth="1"/>
    <col min="14" max="14" width="19.453125" customWidth="1"/>
    <col min="15" max="16" width="8.7265625" customWidth="1"/>
    <col min="17" max="17" width="11" customWidth="1"/>
    <col min="18" max="18" width="23.1796875" style="1" customWidth="1"/>
    <col min="19" max="19" width="15.7265625" style="1" bestFit="1" customWidth="1"/>
    <col min="20" max="20" width="15.7265625" style="1" customWidth="1"/>
    <col min="21" max="21" width="14.453125" style="1" bestFit="1" customWidth="1"/>
    <col min="22" max="22" width="12.54296875" style="1" bestFit="1" customWidth="1"/>
    <col min="23" max="26" width="9.1796875" style="1" customWidth="1"/>
    <col min="27" max="16384" width="9.1796875" style="1" hidden="1"/>
  </cols>
  <sheetData>
    <row r="1" spans="1:25" x14ac:dyDescent="0.35">
      <c r="A1" s="1"/>
      <c r="B1" s="1"/>
      <c r="C1" s="1"/>
      <c r="D1" s="1"/>
      <c r="E1" s="1"/>
      <c r="F1" s="1"/>
      <c r="G1" s="1"/>
      <c r="H1" s="1"/>
      <c r="I1" s="1"/>
      <c r="J1" s="1"/>
      <c r="K1" s="1"/>
      <c r="L1" s="1"/>
      <c r="M1" s="1"/>
      <c r="N1" s="1"/>
      <c r="O1" s="1"/>
      <c r="P1" s="1"/>
      <c r="Q1" s="1"/>
    </row>
    <row r="2" spans="1:25" ht="26" x14ac:dyDescent="0.35">
      <c r="A2" s="1"/>
      <c r="B2" s="180" t="s">
        <v>155</v>
      </c>
      <c r="C2" s="181"/>
      <c r="D2" s="4"/>
      <c r="E2" s="1"/>
      <c r="F2" s="1"/>
      <c r="G2" s="1"/>
      <c r="H2" s="1"/>
      <c r="I2" s="1"/>
      <c r="J2" s="1"/>
      <c r="K2" s="1"/>
      <c r="L2" s="1"/>
      <c r="M2" s="1"/>
      <c r="N2" s="1"/>
      <c r="O2" s="1"/>
      <c r="P2" s="1"/>
      <c r="Q2" s="1"/>
    </row>
    <row r="3" spans="1:25" ht="14.5" customHeight="1" x14ac:dyDescent="0.35">
      <c r="A3" s="1"/>
      <c r="B3" s="390" t="s">
        <v>291</v>
      </c>
      <c r="C3" s="390"/>
      <c r="D3" s="390"/>
      <c r="E3" s="390"/>
      <c r="F3" s="390"/>
      <c r="G3" s="1"/>
      <c r="H3" s="1"/>
      <c r="I3" s="1"/>
      <c r="J3" s="1"/>
      <c r="K3" s="1"/>
      <c r="L3" s="1"/>
      <c r="M3" s="1"/>
      <c r="N3" s="1"/>
      <c r="O3" s="1"/>
      <c r="P3" s="1"/>
      <c r="Q3" s="1"/>
    </row>
    <row r="4" spans="1:25" ht="14.5" customHeight="1" x14ac:dyDescent="0.35">
      <c r="A4" s="1"/>
      <c r="B4" s="390"/>
      <c r="C4" s="390"/>
      <c r="D4" s="390"/>
      <c r="E4" s="390"/>
      <c r="F4" s="390"/>
      <c r="G4" s="1"/>
      <c r="H4" s="1"/>
      <c r="I4" s="1"/>
      <c r="J4" s="1"/>
      <c r="K4" s="1"/>
      <c r="L4" s="1"/>
      <c r="M4" s="1"/>
      <c r="N4" s="1"/>
      <c r="O4" s="1"/>
      <c r="P4" s="1"/>
      <c r="Q4" s="1"/>
    </row>
    <row r="5" spans="1:25" ht="26" x14ac:dyDescent="0.6">
      <c r="A5" s="1"/>
      <c r="B5" s="61"/>
      <c r="C5" s="67"/>
      <c r="D5" s="4"/>
      <c r="E5" s="1"/>
      <c r="F5" s="1"/>
      <c r="G5" s="1"/>
      <c r="H5" s="1"/>
      <c r="I5" s="1"/>
      <c r="J5" s="1"/>
      <c r="K5" s="1"/>
      <c r="L5" s="1"/>
      <c r="M5" s="1"/>
      <c r="N5" s="1"/>
      <c r="O5" s="1"/>
      <c r="P5" s="1"/>
      <c r="Q5" s="1"/>
    </row>
    <row r="6" spans="1:25" ht="21" customHeight="1" x14ac:dyDescent="0.35">
      <c r="A6" s="1"/>
      <c r="B6" s="411" t="s">
        <v>276</v>
      </c>
      <c r="C6" s="411"/>
      <c r="D6" s="411"/>
      <c r="E6" s="411"/>
      <c r="F6" s="1"/>
      <c r="G6" s="1"/>
      <c r="H6" s="1"/>
      <c r="I6" s="1"/>
      <c r="J6" s="1"/>
      <c r="K6" s="1"/>
      <c r="L6" s="1"/>
      <c r="M6" s="1"/>
      <c r="N6" s="1"/>
      <c r="O6" s="1"/>
      <c r="P6" s="1"/>
      <c r="Q6" s="1"/>
    </row>
    <row r="7" spans="1:25" ht="21" customHeight="1" x14ac:dyDescent="0.35">
      <c r="A7" s="1"/>
      <c r="B7" s="411"/>
      <c r="C7" s="411"/>
      <c r="D7" s="411"/>
      <c r="E7" s="411"/>
      <c r="F7" s="1"/>
      <c r="G7" s="1"/>
      <c r="H7" s="1"/>
      <c r="I7" s="1"/>
      <c r="J7" s="1"/>
      <c r="K7" s="1"/>
      <c r="L7" s="1"/>
      <c r="M7" s="1"/>
      <c r="N7" s="1"/>
      <c r="O7" s="1"/>
      <c r="P7" s="1"/>
      <c r="Q7" s="1"/>
    </row>
    <row r="8" spans="1:25" ht="21" customHeight="1" x14ac:dyDescent="0.35">
      <c r="A8" s="1"/>
      <c r="B8" s="289"/>
      <c r="C8" s="289"/>
      <c r="D8" s="289"/>
      <c r="E8" s="289"/>
      <c r="F8" s="1"/>
      <c r="G8" s="1"/>
      <c r="H8" s="1"/>
      <c r="I8" s="1"/>
      <c r="J8" s="1"/>
      <c r="K8" s="1"/>
      <c r="L8" s="1"/>
      <c r="M8" s="1"/>
      <c r="N8" s="1"/>
      <c r="O8" s="1"/>
      <c r="P8" s="1"/>
      <c r="Q8" s="1"/>
    </row>
    <row r="9" spans="1:25" ht="21" x14ac:dyDescent="0.5">
      <c r="A9" s="1"/>
      <c r="B9" s="411" t="s">
        <v>277</v>
      </c>
      <c r="C9" s="411"/>
      <c r="D9" s="411"/>
      <c r="E9" s="411"/>
      <c r="F9" s="411"/>
      <c r="G9" s="411"/>
      <c r="H9" s="411"/>
      <c r="I9" s="1"/>
      <c r="J9" s="1"/>
      <c r="K9" s="1"/>
      <c r="L9" s="1"/>
      <c r="M9" s="1"/>
      <c r="N9" s="1"/>
      <c r="O9" s="1"/>
      <c r="P9" s="1"/>
      <c r="Q9" s="1"/>
    </row>
    <row r="10" spans="1:25" ht="21" x14ac:dyDescent="0.5">
      <c r="A10" s="1"/>
      <c r="B10" s="182"/>
      <c r="C10" s="67"/>
      <c r="D10" s="1"/>
      <c r="E10" s="1"/>
      <c r="F10" s="1"/>
      <c r="G10" s="1"/>
      <c r="H10" s="1"/>
      <c r="I10" s="1"/>
      <c r="J10" s="1"/>
      <c r="K10" s="1"/>
      <c r="L10" s="1"/>
      <c r="M10" s="1"/>
      <c r="N10" s="1"/>
      <c r="O10" s="1"/>
      <c r="P10" s="1"/>
      <c r="Q10" s="1"/>
    </row>
    <row r="11" spans="1:25" ht="20.149999999999999" customHeight="1" x14ac:dyDescent="0.55000000000000004">
      <c r="A11" s="1"/>
      <c r="B11" s="379" t="s">
        <v>100</v>
      </c>
      <c r="C11" s="379"/>
      <c r="D11" s="183"/>
      <c r="E11" s="183"/>
      <c r="F11" s="1"/>
      <c r="G11" s="1"/>
      <c r="H11" s="1"/>
      <c r="I11" s="1"/>
      <c r="J11" s="1"/>
      <c r="K11" s="1"/>
      <c r="L11" s="1"/>
      <c r="M11" s="1"/>
      <c r="N11" s="1"/>
      <c r="O11" s="1"/>
      <c r="P11" s="1"/>
      <c r="Q11" s="1"/>
    </row>
    <row r="12" spans="1:25" ht="60.65" customHeight="1" x14ac:dyDescent="0.5">
      <c r="A12" s="1"/>
      <c r="B12" s="393" t="s">
        <v>282</v>
      </c>
      <c r="C12" s="394"/>
      <c r="D12" s="394"/>
      <c r="E12" s="394"/>
      <c r="F12" s="1"/>
      <c r="G12" s="1"/>
      <c r="H12" s="1"/>
      <c r="I12" s="1"/>
      <c r="J12" s="1"/>
      <c r="K12" s="1"/>
      <c r="L12" s="1"/>
      <c r="M12" s="1"/>
      <c r="N12" s="1"/>
      <c r="O12" s="1"/>
      <c r="P12" s="1"/>
      <c r="Q12" s="1"/>
    </row>
    <row r="13" spans="1:25" ht="21.5" thickBot="1" x14ac:dyDescent="0.55000000000000004">
      <c r="A13" s="1"/>
      <c r="B13" s="1"/>
      <c r="C13" s="67"/>
      <c r="D13" s="1"/>
      <c r="E13" s="1"/>
      <c r="F13" s="1"/>
      <c r="G13" s="1"/>
      <c r="H13" s="278"/>
      <c r="I13" s="1"/>
      <c r="J13" s="1"/>
      <c r="K13" s="1"/>
      <c r="L13" s="1"/>
      <c r="M13" s="1"/>
      <c r="N13" s="1"/>
      <c r="O13" s="1"/>
      <c r="P13" s="1"/>
      <c r="Q13" s="1"/>
    </row>
    <row r="14" spans="1:25" ht="62.5" thickBot="1" x14ac:dyDescent="0.4">
      <c r="A14" s="1"/>
      <c r="B14" s="395" t="s">
        <v>18</v>
      </c>
      <c r="C14" s="348" t="s">
        <v>68</v>
      </c>
      <c r="D14" s="350" t="s">
        <v>69</v>
      </c>
      <c r="E14" s="351"/>
      <c r="F14" s="351"/>
      <c r="G14" s="32"/>
      <c r="H14" s="282"/>
      <c r="I14" s="282"/>
      <c r="J14" s="282"/>
      <c r="K14" s="282"/>
      <c r="L14" s="225" t="s">
        <v>10</v>
      </c>
      <c r="M14" s="75" t="s">
        <v>11</v>
      </c>
      <c r="N14" s="74" t="s">
        <v>12</v>
      </c>
      <c r="O14" s="74" t="s">
        <v>13</v>
      </c>
      <c r="P14" s="74" t="s">
        <v>70</v>
      </c>
      <c r="Q14" s="74" t="s">
        <v>14</v>
      </c>
      <c r="R14" s="74" t="s">
        <v>71</v>
      </c>
      <c r="S14" s="74" t="s">
        <v>15</v>
      </c>
      <c r="T14" s="74" t="s">
        <v>16</v>
      </c>
      <c r="U14" s="74" t="s">
        <v>17</v>
      </c>
      <c r="V14" s="75"/>
      <c r="W14" s="75" t="s">
        <v>72</v>
      </c>
      <c r="X14" s="74" t="s">
        <v>20</v>
      </c>
      <c r="Y14" s="76" t="s">
        <v>21</v>
      </c>
    </row>
    <row r="15" spans="1:25" ht="46.5" x14ac:dyDescent="0.35">
      <c r="A15" s="1"/>
      <c r="B15" s="347"/>
      <c r="C15" s="349"/>
      <c r="D15" s="36" t="s">
        <v>75</v>
      </c>
      <c r="E15" s="37" t="s">
        <v>20</v>
      </c>
      <c r="F15" s="37" t="s">
        <v>21</v>
      </c>
      <c r="G15" s="38" t="s">
        <v>30</v>
      </c>
      <c r="H15" s="282"/>
      <c r="I15" s="282"/>
      <c r="J15" s="282"/>
      <c r="K15" s="282"/>
      <c r="L15" s="257" t="s">
        <v>76</v>
      </c>
      <c r="M15" s="259" t="s">
        <v>77</v>
      </c>
      <c r="N15" s="259" t="s">
        <v>78</v>
      </c>
      <c r="O15" s="259" t="s">
        <v>79</v>
      </c>
      <c r="P15" s="259" t="s">
        <v>80</v>
      </c>
      <c r="Q15" s="259" t="s">
        <v>27</v>
      </c>
      <c r="R15" s="259" t="s">
        <v>81</v>
      </c>
      <c r="S15" s="259" t="s">
        <v>28</v>
      </c>
      <c r="T15" s="259" t="s">
        <v>29</v>
      </c>
      <c r="U15" s="259" t="s">
        <v>30</v>
      </c>
      <c r="V15" s="259" t="s">
        <v>82</v>
      </c>
      <c r="W15" s="259" t="s">
        <v>83</v>
      </c>
      <c r="X15" s="259" t="s">
        <v>84</v>
      </c>
      <c r="Y15" s="258" t="s">
        <v>85</v>
      </c>
    </row>
    <row r="16" spans="1:25" x14ac:dyDescent="0.35">
      <c r="A16" s="1"/>
      <c r="B16" s="310" t="str">
        <f>IF(ISBLANK(' 1 Technology_check'!B14),"",' 1 Technology_check'!B14)</f>
        <v>Organic waste</v>
      </c>
      <c r="C16" s="311">
        <f>IF(ISBLANK(' 1 Technology_check'!C14),"",' 1 Technology_check'!C14)</f>
        <v>200</v>
      </c>
      <c r="D16" s="77" t="str">
        <f>IF(ISBLANK($B16),"",IF(ISERROR(VLOOKUP($B16,'2 Feedstock database'!$B$8:$N$27,2,FALSE)),"",VLOOKUP($B16,'2 Feedstock database'!$B$8:$N$27,2,FALSE)))</f>
        <v>High</v>
      </c>
      <c r="E16" s="78" t="str">
        <f>IF(ISBLANK($B16),"",IF(ISERROR(VLOOKUP($B16,'2 Feedstock database'!$B$8:$N$27,3,FALSE)),"",VLOOKUP($B16,'2 Feedstock database'!$B$8:$N$27,3,FALSE)))</f>
        <v>Very high</v>
      </c>
      <c r="F16" s="78" t="str">
        <f>IF(ISBLANK($B16),"",IF(ISERROR(VLOOKUP($B16,'2 Feedstock database'!$B$8:$N$27,4,FALSE)),"",VLOOKUP($B16,'2 Feedstock database'!$B$8:$N$27,4,FALSE)))</f>
        <v>Medium</v>
      </c>
      <c r="G16" s="79">
        <f>IF(ISBLANK($B16),"",IF(ISERROR(VLOOKUP($B16,'2 Feedstock database'!$B$8:$N$27,13,FALSE)),"",VLOOKUP($B16,'2 Feedstock database'!$B$8:$N$27,13,FALSE)))</f>
        <v>24.389199999999995</v>
      </c>
      <c r="H16" s="282"/>
      <c r="I16" s="282"/>
      <c r="J16" s="282"/>
      <c r="K16" s="282"/>
      <c r="L16" s="77">
        <f>IF(ISBLANK($B16),"",IF(ISERROR(VLOOKUP($B16,'2 Feedstock database'!$B$8:$N$27,6,FALSE)),"",VLOOKUP($B16,'2 Feedstock database'!$B$8:$N$27,6,FALSE)))</f>
        <v>0.77</v>
      </c>
      <c r="M16" s="279">
        <f>IF(ISBLANK($B16),"",IF(ISERROR(VLOOKUP($B16,'2 Feedstock database'!$B$8:$N$27,7,FALSE)),"",VLOOKUP($B16,'2 Feedstock database'!$B$8:$N$27,7,FALSE)))</f>
        <v>0.22999999999999998</v>
      </c>
      <c r="N16" s="279">
        <f>IF(ISBLANK($B16),"",IF(ISERROR(VLOOKUP($B16,'2 Feedstock database'!$B$8:$N$27,8,FALSE)),"",VLOOKUP($B16,'2 Feedstock database'!$B$8:$N$27,8,FALSE)))</f>
        <v>0.96399999999999997</v>
      </c>
      <c r="O16" s="279">
        <f>IF(ISBLANK($B16),"",IF(ISERROR(VLOOKUP($B16,'2 Feedstock database'!$B$8:$N$27,9,FALSE)),"",VLOOKUP($B16,'2 Feedstock database'!$B$8:$N$27,9,FALSE)))</f>
        <v>3.5999999999999997E-2</v>
      </c>
      <c r="P16" s="280">
        <f t="shared" ref="P16:P26" si="0">IF(ISERROR(C16*M16*N16),"",C16*M16*N16)</f>
        <v>44.344000000000001</v>
      </c>
      <c r="Q16" s="279">
        <f>IF(ISBLANK($B16),"",IF(ISERROR(VLOOKUP($B16,'2 Feedstock database'!$B$8:$N$27,10,FALSE)),"",VLOOKUP($B16,'2 Feedstock database'!$B$8:$N$27,10,FALSE)))</f>
        <v>0.36099999999999999</v>
      </c>
      <c r="R16" s="280">
        <f t="shared" ref="R16:R26" si="1">IF(ISERROR(P16*Q16),"",P16*Q16)</f>
        <v>16.008184</v>
      </c>
      <c r="S16" s="279">
        <f>IF(ISBLANK($B16),"",IF(ISERROR(VLOOKUP($B16,'2 Feedstock database'!$B$8:$N$27,11,FALSE)),"",VLOOKUP($B16,'2 Feedstock database'!$B$8:$N$27,11,FALSE)))</f>
        <v>0.5302</v>
      </c>
      <c r="T16" s="279">
        <f>IF(ISBLANK($B16),"",IF(ISERROR(VLOOKUP($B16,'2 Feedstock database'!$B$8:$N$27,12,FALSE)),"",VLOOKUP($B16,'2 Feedstock database'!$B$8:$N$27,12,FALSE)))</f>
        <v>2.1739130434782612E-2</v>
      </c>
      <c r="U16" s="279">
        <f>IF(ISBLANK($B16),"",IF(ISERROR(VLOOKUP($B16,'2 Feedstock database'!$B$8:$N$27,13,FALSE)),"",VLOOKUP($B16,'2 Feedstock database'!$B$8:$N$27,13,FALSE)))</f>
        <v>24.389199999999995</v>
      </c>
      <c r="V16" s="281">
        <f t="shared" ref="V16:V26" si="2">IF(ISERROR(C16*L16),"",C16*L16)</f>
        <v>154</v>
      </c>
      <c r="W16" s="281">
        <f t="shared" ref="W16:W26" si="3">IF(ISERROR(C16*M16),"",C16*M16)</f>
        <v>46</v>
      </c>
      <c r="X16" s="281">
        <f t="shared" ref="X16:X26" si="4">IF(ISERROR(W16*S16),"",W16*S16)</f>
        <v>24.389199999999999</v>
      </c>
      <c r="Y16" s="81">
        <f t="shared" ref="Y16:Y26" si="5">IF(ISERROR(W16*T16),"",W16*T16)</f>
        <v>1.0000000000000002</v>
      </c>
    </row>
    <row r="17" spans="1:25" x14ac:dyDescent="0.35">
      <c r="A17" s="1"/>
      <c r="B17" s="310" t="str">
        <f>IF(ISBLANK(' 1 Technology_check'!B15),"",' 1 Technology_check'!B15)</f>
        <v/>
      </c>
      <c r="C17" s="311" t="str">
        <f>IF(ISBLANK(' 1 Technology_check'!C15),"",' 1 Technology_check'!C15)</f>
        <v/>
      </c>
      <c r="D17" s="77" t="str">
        <f>IF(ISBLANK($B17),"",IF(ISERROR(VLOOKUP($B17,'2 Feedstock database'!$B$8:$N$27,2,FALSE)),"",VLOOKUP($B17,'2 Feedstock database'!$B$8:$N$27,2,FALSE)))</f>
        <v/>
      </c>
      <c r="E17" s="78" t="str">
        <f>IF(ISBLANK($B17),"",IF(ISERROR(VLOOKUP($B17,'2 Feedstock database'!$B$8:$N$27,3,FALSE)),"",VLOOKUP($B17,'2 Feedstock database'!$B$8:$N$27,3,FALSE)))</f>
        <v/>
      </c>
      <c r="F17" s="78" t="str">
        <f>IF(ISBLANK($B17),"",IF(ISERROR(VLOOKUP($B17,'2 Feedstock database'!$B$8:$N$27,4,FALSE)),"",VLOOKUP($B17,'2 Feedstock database'!$B$8:$N$27,4,FALSE)))</f>
        <v/>
      </c>
      <c r="G17" s="79" t="str">
        <f>IF(ISBLANK($B17),"",IF(ISERROR(VLOOKUP($B17,'2 Feedstock database'!$B$8:$N$27,13,FALSE)),"",VLOOKUP($B17,'2 Feedstock database'!$B$8:$N$27,13,FALSE)))</f>
        <v/>
      </c>
      <c r="H17" s="282"/>
      <c r="I17" s="282"/>
      <c r="J17" s="282"/>
      <c r="K17" s="282"/>
      <c r="L17" s="77" t="str">
        <f>IF(ISBLANK($B17),"",IF(ISERROR(VLOOKUP($B17,'2 Feedstock database'!$B$8:$N$27,6,FALSE)),"",VLOOKUP($B17,'2 Feedstock database'!$B$8:$N$27,6,FALSE)))</f>
        <v/>
      </c>
      <c r="M17" s="279" t="str">
        <f>IF(ISBLANK($B17),"",IF(ISERROR(VLOOKUP($B17,'2 Feedstock database'!$B$8:$N$27,7,FALSE)),"",VLOOKUP($B17,'2 Feedstock database'!$B$8:$N$27,7,FALSE)))</f>
        <v/>
      </c>
      <c r="N17" s="279" t="str">
        <f>IF(ISBLANK($B17),"",IF(ISERROR(VLOOKUP($B17,'2 Feedstock database'!$B$8:$N$27,8,FALSE)),"",VLOOKUP($B17,'2 Feedstock database'!$B$8:$N$27,8,FALSE)))</f>
        <v/>
      </c>
      <c r="O17" s="279" t="str">
        <f>IF(ISBLANK($B17),"",IF(ISERROR(VLOOKUP($B17,'2 Feedstock database'!$B$8:$N$27,9,FALSE)),"",VLOOKUP($B17,'2 Feedstock database'!$B$8:$N$27,9,FALSE)))</f>
        <v/>
      </c>
      <c r="P17" s="280" t="str">
        <f t="shared" si="0"/>
        <v/>
      </c>
      <c r="Q17" s="279" t="str">
        <f>IF(ISBLANK($B17),"",IF(ISERROR(VLOOKUP($B17,'2 Feedstock database'!$B$8:$N$27,10,FALSE)),"",VLOOKUP($B17,'2 Feedstock database'!$B$8:$N$27,10,FALSE)))</f>
        <v/>
      </c>
      <c r="R17" s="280" t="str">
        <f t="shared" si="1"/>
        <v/>
      </c>
      <c r="S17" s="279" t="str">
        <f>IF(ISBLANK($B17),"",IF(ISERROR(VLOOKUP($B17,'2 Feedstock database'!$B$8:$N$27,11,FALSE)),"",VLOOKUP($B17,'2 Feedstock database'!$B$8:$N$27,11,FALSE)))</f>
        <v/>
      </c>
      <c r="T17" s="279" t="str">
        <f>IF(ISBLANK($B17),"",IF(ISERROR(VLOOKUP($B17,'2 Feedstock database'!$B$8:$N$27,12,FALSE)),"",VLOOKUP($B17,'2 Feedstock database'!$B$8:$N$27,12,FALSE)))</f>
        <v/>
      </c>
      <c r="U17" s="279" t="str">
        <f>IF(ISBLANK($B17),"",IF(ISERROR(VLOOKUP($B17,'2 Feedstock database'!$B$8:$N$27,13,FALSE)),"",VLOOKUP($B17,'2 Feedstock database'!$B$8:$N$27,13,FALSE)))</f>
        <v/>
      </c>
      <c r="V17" s="281" t="str">
        <f t="shared" si="2"/>
        <v/>
      </c>
      <c r="W17" s="281" t="str">
        <f t="shared" si="3"/>
        <v/>
      </c>
      <c r="X17" s="281" t="str">
        <f t="shared" si="4"/>
        <v/>
      </c>
      <c r="Y17" s="81" t="str">
        <f t="shared" si="5"/>
        <v/>
      </c>
    </row>
    <row r="18" spans="1:25" x14ac:dyDescent="0.35">
      <c r="A18" s="1"/>
      <c r="B18" s="310" t="str">
        <f>IF(ISBLANK(' 1 Technology_check'!B16),"",' 1 Technology_check'!B16)</f>
        <v/>
      </c>
      <c r="C18" s="311" t="str">
        <f>IF(ISBLANK(' 1 Technology_check'!C16),"",' 1 Technology_check'!C16)</f>
        <v/>
      </c>
      <c r="D18" s="77" t="str">
        <f>IF(ISBLANK($B18),"",IF(ISERROR(VLOOKUP($B18,'2 Feedstock database'!$B$8:$N$27,2,FALSE)),"",VLOOKUP($B18,'2 Feedstock database'!$B$8:$N$27,2,FALSE)))</f>
        <v/>
      </c>
      <c r="E18" s="78" t="str">
        <f>IF(ISBLANK($B18),"",IF(ISERROR(VLOOKUP($B18,'2 Feedstock database'!$B$8:$N$27,3,FALSE)),"",VLOOKUP($B18,'2 Feedstock database'!$B$8:$N$27,3,FALSE)))</f>
        <v/>
      </c>
      <c r="F18" s="78" t="str">
        <f>IF(ISBLANK($B18),"",IF(ISERROR(VLOOKUP($B18,'2 Feedstock database'!$B$8:$N$27,4,FALSE)),"",VLOOKUP($B18,'2 Feedstock database'!$B$8:$N$27,4,FALSE)))</f>
        <v/>
      </c>
      <c r="G18" s="79" t="str">
        <f>IF(ISBLANK($B18),"",IF(ISERROR(VLOOKUP($B18,'2 Feedstock database'!$B$8:$N$27,13,FALSE)),"",VLOOKUP($B18,'2 Feedstock database'!$B$8:$N$27,13,FALSE)))</f>
        <v/>
      </c>
      <c r="H18" s="282"/>
      <c r="I18" s="282"/>
      <c r="J18" s="282"/>
      <c r="K18" s="282"/>
      <c r="L18" s="77" t="str">
        <f>IF(ISBLANK($B18),"",IF(ISERROR(VLOOKUP($B18,'2 Feedstock database'!$B$8:$N$27,6,FALSE)),"",VLOOKUP($B18,'2 Feedstock database'!$B$8:$N$27,6,FALSE)))</f>
        <v/>
      </c>
      <c r="M18" s="279" t="str">
        <f>IF(ISBLANK($B18),"",IF(ISERROR(VLOOKUP($B18,'2 Feedstock database'!$B$8:$N$27,7,FALSE)),"",VLOOKUP($B18,'2 Feedstock database'!$B$8:$N$27,7,FALSE)))</f>
        <v/>
      </c>
      <c r="N18" s="279" t="str">
        <f>IF(ISBLANK($B18),"",IF(ISERROR(VLOOKUP($B18,'2 Feedstock database'!$B$8:$N$27,8,FALSE)),"",VLOOKUP($B18,'2 Feedstock database'!$B$8:$N$27,8,FALSE)))</f>
        <v/>
      </c>
      <c r="O18" s="279" t="str">
        <f>IF(ISBLANK($B18),"",IF(ISERROR(VLOOKUP($B18,'2 Feedstock database'!$B$8:$N$27,9,FALSE)),"",VLOOKUP($B18,'2 Feedstock database'!$B$8:$N$27,9,FALSE)))</f>
        <v/>
      </c>
      <c r="P18" s="280" t="str">
        <f t="shared" si="0"/>
        <v/>
      </c>
      <c r="Q18" s="279" t="str">
        <f>IF(ISBLANK($B18),"",IF(ISERROR(VLOOKUP($B18,'2 Feedstock database'!$B$8:$N$27,10,FALSE)),"",VLOOKUP($B18,'2 Feedstock database'!$B$8:$N$27,10,FALSE)))</f>
        <v/>
      </c>
      <c r="R18" s="280" t="str">
        <f t="shared" si="1"/>
        <v/>
      </c>
      <c r="S18" s="279" t="str">
        <f>IF(ISBLANK($B18),"",IF(ISERROR(VLOOKUP($B18,'2 Feedstock database'!$B$8:$N$27,11,FALSE)),"",VLOOKUP($B18,'2 Feedstock database'!$B$8:$N$27,11,FALSE)))</f>
        <v/>
      </c>
      <c r="T18" s="279" t="str">
        <f>IF(ISBLANK($B18),"",IF(ISERROR(VLOOKUP($B18,'2 Feedstock database'!$B$8:$N$27,12,FALSE)),"",VLOOKUP($B18,'2 Feedstock database'!$B$8:$N$27,12,FALSE)))</f>
        <v/>
      </c>
      <c r="U18" s="279" t="str">
        <f>IF(ISBLANK($B18),"",IF(ISERROR(VLOOKUP($B18,'2 Feedstock database'!$B$8:$N$27,13,FALSE)),"",VLOOKUP($B18,'2 Feedstock database'!$B$8:$N$27,13,FALSE)))</f>
        <v/>
      </c>
      <c r="V18" s="281" t="str">
        <f t="shared" si="2"/>
        <v/>
      </c>
      <c r="W18" s="281" t="str">
        <f t="shared" si="3"/>
        <v/>
      </c>
      <c r="X18" s="281" t="str">
        <f t="shared" si="4"/>
        <v/>
      </c>
      <c r="Y18" s="81" t="str">
        <f t="shared" si="5"/>
        <v/>
      </c>
    </row>
    <row r="19" spans="1:25" x14ac:dyDescent="0.35">
      <c r="A19" s="1"/>
      <c r="B19" s="310" t="str">
        <f>IF(ISBLANK(' 1 Technology_check'!B17),"",' 1 Technology_check'!B17)</f>
        <v/>
      </c>
      <c r="C19" s="311" t="str">
        <f>IF(ISBLANK(' 1 Technology_check'!C17),"",' 1 Technology_check'!C17)</f>
        <v/>
      </c>
      <c r="D19" s="77" t="str">
        <f>IF(ISBLANK($B19),"",IF(ISERROR(VLOOKUP($B19,'2 Feedstock database'!$B$8:$N$27,2,FALSE)),"",VLOOKUP($B19,'2 Feedstock database'!$B$8:$N$27,2,FALSE)))</f>
        <v/>
      </c>
      <c r="E19" s="78" t="str">
        <f>IF(ISBLANK($B19),"",IF(ISERROR(VLOOKUP($B19,'2 Feedstock database'!$B$8:$N$27,3,FALSE)),"",VLOOKUP($B19,'2 Feedstock database'!$B$8:$N$27,3,FALSE)))</f>
        <v/>
      </c>
      <c r="F19" s="78" t="str">
        <f>IF(ISBLANK($B19),"",IF(ISERROR(VLOOKUP($B19,'2 Feedstock database'!$B$8:$N$27,4,FALSE)),"",VLOOKUP($B19,'2 Feedstock database'!$B$8:$N$27,4,FALSE)))</f>
        <v/>
      </c>
      <c r="G19" s="79" t="str">
        <f>IF(ISBLANK($B19),"",IF(ISERROR(VLOOKUP($B19,'2 Feedstock database'!$B$8:$N$27,13,FALSE)),"",VLOOKUP($B19,'2 Feedstock database'!$B$8:$N$27,13,FALSE)))</f>
        <v/>
      </c>
      <c r="H19" s="282"/>
      <c r="I19" s="282"/>
      <c r="J19" s="282"/>
      <c r="K19" s="282"/>
      <c r="L19" s="77" t="str">
        <f>IF(ISBLANK($B19),"",IF(ISERROR(VLOOKUP($B19,'2 Feedstock database'!$B$8:$N$27,6,FALSE)),"",VLOOKUP($B19,'2 Feedstock database'!$B$8:$N$27,6,FALSE)))</f>
        <v/>
      </c>
      <c r="M19" s="279" t="str">
        <f>IF(ISBLANK($B19),"",IF(ISERROR(VLOOKUP($B19,'2 Feedstock database'!$B$8:$N$27,7,FALSE)),"",VLOOKUP($B19,'2 Feedstock database'!$B$8:$N$27,7,FALSE)))</f>
        <v/>
      </c>
      <c r="N19" s="279" t="str">
        <f>IF(ISBLANK($B19),"",IF(ISERROR(VLOOKUP($B19,'2 Feedstock database'!$B$8:$N$27,8,FALSE)),"",VLOOKUP($B19,'2 Feedstock database'!$B$8:$N$27,8,FALSE)))</f>
        <v/>
      </c>
      <c r="O19" s="279" t="str">
        <f>IF(ISBLANK($B19),"",IF(ISERROR(VLOOKUP($B19,'2 Feedstock database'!$B$8:$N$27,9,FALSE)),"",VLOOKUP($B19,'2 Feedstock database'!$B$8:$N$27,9,FALSE)))</f>
        <v/>
      </c>
      <c r="P19" s="280" t="str">
        <f t="shared" si="0"/>
        <v/>
      </c>
      <c r="Q19" s="279" t="str">
        <f>IF(ISBLANK($B19),"",IF(ISERROR(VLOOKUP($B19,'2 Feedstock database'!$B$8:$N$27,10,FALSE)),"",VLOOKUP($B19,'2 Feedstock database'!$B$8:$N$27,10,FALSE)))</f>
        <v/>
      </c>
      <c r="R19" s="280" t="str">
        <f t="shared" si="1"/>
        <v/>
      </c>
      <c r="S19" s="279" t="str">
        <f>IF(ISBLANK($B19),"",IF(ISERROR(VLOOKUP($B19,'2 Feedstock database'!$B$8:$N$27,11,FALSE)),"",VLOOKUP($B19,'2 Feedstock database'!$B$8:$N$27,11,FALSE)))</f>
        <v/>
      </c>
      <c r="T19" s="279" t="str">
        <f>IF(ISBLANK($B19),"",IF(ISERROR(VLOOKUP($B19,'2 Feedstock database'!$B$8:$N$27,12,FALSE)),"",VLOOKUP($B19,'2 Feedstock database'!$B$8:$N$27,12,FALSE)))</f>
        <v/>
      </c>
      <c r="U19" s="279" t="str">
        <f>IF(ISBLANK($B19),"",IF(ISERROR(VLOOKUP($B19,'2 Feedstock database'!$B$8:$N$27,13,FALSE)),"",VLOOKUP($B19,'2 Feedstock database'!$B$8:$N$27,13,FALSE)))</f>
        <v/>
      </c>
      <c r="V19" s="281" t="str">
        <f t="shared" si="2"/>
        <v/>
      </c>
      <c r="W19" s="281" t="str">
        <f t="shared" si="3"/>
        <v/>
      </c>
      <c r="X19" s="281" t="str">
        <f t="shared" si="4"/>
        <v/>
      </c>
      <c r="Y19" s="81" t="str">
        <f t="shared" si="5"/>
        <v/>
      </c>
    </row>
    <row r="20" spans="1:25" x14ac:dyDescent="0.35">
      <c r="A20" s="1"/>
      <c r="B20" s="310" t="str">
        <f>IF(ISBLANK(' 1 Technology_check'!B18),"",' 1 Technology_check'!B18)</f>
        <v/>
      </c>
      <c r="C20" s="311" t="str">
        <f>IF(ISBLANK(' 1 Technology_check'!C18),"",' 1 Technology_check'!C18)</f>
        <v/>
      </c>
      <c r="D20" s="77" t="str">
        <f>IF(ISBLANK($B20),"",IF(ISERROR(VLOOKUP($B20,'2 Feedstock database'!$B$8:$N$27,2,FALSE)),"",VLOOKUP($B20,'2 Feedstock database'!$B$8:$N$27,2,FALSE)))</f>
        <v/>
      </c>
      <c r="E20" s="78" t="str">
        <f>IF(ISBLANK($B20),"",IF(ISERROR(VLOOKUP($B20,'2 Feedstock database'!$B$8:$N$27,3,FALSE)),"",VLOOKUP($B20,'2 Feedstock database'!$B$8:$N$27,3,FALSE)))</f>
        <v/>
      </c>
      <c r="F20" s="78" t="str">
        <f>IF(ISBLANK($B20),"",IF(ISERROR(VLOOKUP($B20,'2 Feedstock database'!$B$8:$N$27,4,FALSE)),"",VLOOKUP($B20,'2 Feedstock database'!$B$8:$N$27,4,FALSE)))</f>
        <v/>
      </c>
      <c r="G20" s="79" t="str">
        <f>IF(ISBLANK($B20),"",IF(ISERROR(VLOOKUP($B20,'2 Feedstock database'!$B$8:$N$27,13,FALSE)),"",VLOOKUP($B20,'2 Feedstock database'!$B$8:$N$27,13,FALSE)))</f>
        <v/>
      </c>
      <c r="H20" s="282"/>
      <c r="I20" s="282"/>
      <c r="J20" s="282"/>
      <c r="K20" s="282"/>
      <c r="L20" s="77" t="str">
        <f>IF(ISBLANK($B20),"",IF(ISERROR(VLOOKUP($B20,'2 Feedstock database'!$B$8:$N$27,6,FALSE)),"",VLOOKUP($B20,'2 Feedstock database'!$B$8:$N$27,6,FALSE)))</f>
        <v/>
      </c>
      <c r="M20" s="279" t="str">
        <f>IF(ISBLANK($B20),"",IF(ISERROR(VLOOKUP($B20,'2 Feedstock database'!$B$8:$N$27,7,FALSE)),"",VLOOKUP($B20,'2 Feedstock database'!$B$8:$N$27,7,FALSE)))</f>
        <v/>
      </c>
      <c r="N20" s="279" t="str">
        <f>IF(ISBLANK($B20),"",IF(ISERROR(VLOOKUP($B20,'2 Feedstock database'!$B$8:$N$27,8,FALSE)),"",VLOOKUP($B20,'2 Feedstock database'!$B$8:$N$27,8,FALSE)))</f>
        <v/>
      </c>
      <c r="O20" s="279" t="str">
        <f>IF(ISBLANK($B20),"",IF(ISERROR(VLOOKUP($B20,'2 Feedstock database'!$B$8:$N$27,9,FALSE)),"",VLOOKUP($B20,'2 Feedstock database'!$B$8:$N$27,9,FALSE)))</f>
        <v/>
      </c>
      <c r="P20" s="280" t="str">
        <f t="shared" si="0"/>
        <v/>
      </c>
      <c r="Q20" s="279" t="str">
        <f>IF(ISBLANK($B20),"",IF(ISERROR(VLOOKUP($B20,'2 Feedstock database'!$B$8:$N$27,10,FALSE)),"",VLOOKUP($B20,'2 Feedstock database'!$B$8:$N$27,10,FALSE)))</f>
        <v/>
      </c>
      <c r="R20" s="280" t="str">
        <f t="shared" si="1"/>
        <v/>
      </c>
      <c r="S20" s="279" t="str">
        <f>IF(ISBLANK($B20),"",IF(ISERROR(VLOOKUP($B20,'2 Feedstock database'!$B$8:$N$27,11,FALSE)),"",VLOOKUP($B20,'2 Feedstock database'!$B$8:$N$27,11,FALSE)))</f>
        <v/>
      </c>
      <c r="T20" s="279" t="str">
        <f>IF(ISBLANK($B20),"",IF(ISERROR(VLOOKUP($B20,'2 Feedstock database'!$B$8:$N$27,12,FALSE)),"",VLOOKUP($B20,'2 Feedstock database'!$B$8:$N$27,12,FALSE)))</f>
        <v/>
      </c>
      <c r="U20" s="279" t="str">
        <f>IF(ISBLANK($B20),"",IF(ISERROR(VLOOKUP($B20,'2 Feedstock database'!$B$8:$N$27,13,FALSE)),"",VLOOKUP($B20,'2 Feedstock database'!$B$8:$N$27,13,FALSE)))</f>
        <v/>
      </c>
      <c r="V20" s="281" t="str">
        <f t="shared" si="2"/>
        <v/>
      </c>
      <c r="W20" s="281" t="str">
        <f t="shared" si="3"/>
        <v/>
      </c>
      <c r="X20" s="281" t="str">
        <f t="shared" si="4"/>
        <v/>
      </c>
      <c r="Y20" s="81" t="str">
        <f t="shared" si="5"/>
        <v/>
      </c>
    </row>
    <row r="21" spans="1:25" x14ac:dyDescent="0.35">
      <c r="A21" s="1"/>
      <c r="B21" s="310" t="str">
        <f>IF(ISBLANK(' 1 Technology_check'!B19),"",' 1 Technology_check'!B19)</f>
        <v/>
      </c>
      <c r="C21" s="311" t="str">
        <f>IF(ISBLANK(' 1 Technology_check'!C19),"",' 1 Technology_check'!C19)</f>
        <v/>
      </c>
      <c r="D21" s="77" t="str">
        <f>IF(ISBLANK($B21),"",IF(ISERROR(VLOOKUP($B21,'2 Feedstock database'!$B$8:$N$27,2,FALSE)),"",VLOOKUP($B21,'2 Feedstock database'!$B$8:$N$27,2,FALSE)))</f>
        <v/>
      </c>
      <c r="E21" s="78" t="str">
        <f>IF(ISBLANK($B21),"",IF(ISERROR(VLOOKUP($B21,'2 Feedstock database'!$B$8:$N$27,3,FALSE)),"",VLOOKUP($B21,'2 Feedstock database'!$B$8:$N$27,3,FALSE)))</f>
        <v/>
      </c>
      <c r="F21" s="78" t="str">
        <f>IF(ISBLANK($B21),"",IF(ISERROR(VLOOKUP($B21,'2 Feedstock database'!$B$8:$N$27,4,FALSE)),"",VLOOKUP($B21,'2 Feedstock database'!$B$8:$N$27,4,FALSE)))</f>
        <v/>
      </c>
      <c r="G21" s="79" t="str">
        <f>IF(ISBLANK($B21),"",IF(ISERROR(VLOOKUP($B21,'2 Feedstock database'!$B$8:$N$27,13,FALSE)),"",VLOOKUP($B21,'2 Feedstock database'!$B$8:$N$27,13,FALSE)))</f>
        <v/>
      </c>
      <c r="H21" s="282"/>
      <c r="I21" s="282"/>
      <c r="J21" s="282"/>
      <c r="K21" s="282"/>
      <c r="L21" s="77" t="str">
        <f>IF(ISBLANK($B21),"",IF(ISERROR(VLOOKUP($B21,'2 Feedstock database'!$B$8:$N$27,6,FALSE)),"",VLOOKUP($B21,'2 Feedstock database'!$B$8:$N$27,6,FALSE)))</f>
        <v/>
      </c>
      <c r="M21" s="279" t="str">
        <f>IF(ISBLANK($B21),"",IF(ISERROR(VLOOKUP($B21,'2 Feedstock database'!$B$8:$N$27,7,FALSE)),"",VLOOKUP($B21,'2 Feedstock database'!$B$8:$N$27,7,FALSE)))</f>
        <v/>
      </c>
      <c r="N21" s="279" t="str">
        <f>IF(ISBLANK($B21),"",IF(ISERROR(VLOOKUP($B21,'2 Feedstock database'!$B$8:$N$27,8,FALSE)),"",VLOOKUP($B21,'2 Feedstock database'!$B$8:$N$27,8,FALSE)))</f>
        <v/>
      </c>
      <c r="O21" s="279" t="str">
        <f>IF(ISBLANK($B21),"",IF(ISERROR(VLOOKUP($B21,'2 Feedstock database'!$B$8:$N$27,9,FALSE)),"",VLOOKUP($B21,'2 Feedstock database'!$B$8:$N$27,9,FALSE)))</f>
        <v/>
      </c>
      <c r="P21" s="280" t="str">
        <f t="shared" si="0"/>
        <v/>
      </c>
      <c r="Q21" s="279" t="str">
        <f>IF(ISBLANK($B21),"",IF(ISERROR(VLOOKUP($B21,'2 Feedstock database'!$B$8:$N$27,10,FALSE)),"",VLOOKUP($B21,'2 Feedstock database'!$B$8:$N$27,10,FALSE)))</f>
        <v/>
      </c>
      <c r="R21" s="280" t="str">
        <f t="shared" si="1"/>
        <v/>
      </c>
      <c r="S21" s="279" t="str">
        <f>IF(ISBLANK($B21),"",IF(ISERROR(VLOOKUP($B21,'2 Feedstock database'!$B$8:$N$27,11,FALSE)),"",VLOOKUP($B21,'2 Feedstock database'!$B$8:$N$27,11,FALSE)))</f>
        <v/>
      </c>
      <c r="T21" s="279" t="str">
        <f>IF(ISBLANK($B21),"",IF(ISERROR(VLOOKUP($B21,'2 Feedstock database'!$B$8:$N$27,12,FALSE)),"",VLOOKUP($B21,'2 Feedstock database'!$B$8:$N$27,12,FALSE)))</f>
        <v/>
      </c>
      <c r="U21" s="279" t="str">
        <f>IF(ISBLANK($B21),"",IF(ISERROR(VLOOKUP($B21,'2 Feedstock database'!$B$8:$N$27,13,FALSE)),"",VLOOKUP($B21,'2 Feedstock database'!$B$8:$N$27,13,FALSE)))</f>
        <v/>
      </c>
      <c r="V21" s="281" t="str">
        <f t="shared" si="2"/>
        <v/>
      </c>
      <c r="W21" s="281" t="str">
        <f t="shared" si="3"/>
        <v/>
      </c>
      <c r="X21" s="281" t="str">
        <f t="shared" si="4"/>
        <v/>
      </c>
      <c r="Y21" s="81" t="str">
        <f t="shared" si="5"/>
        <v/>
      </c>
    </row>
    <row r="22" spans="1:25" x14ac:dyDescent="0.35">
      <c r="A22" s="1"/>
      <c r="B22" s="310"/>
      <c r="C22" s="311" t="str">
        <f>IF(ISBLANK(' 1 Technology_check'!C20),"",' 1 Technology_check'!C20)</f>
        <v/>
      </c>
      <c r="D22" s="77" t="str">
        <f>IF(ISBLANK($B22),"",IF(ISERROR(VLOOKUP($B22,'2 Feedstock database'!$B$8:$N$27,2,FALSE)),"",VLOOKUP($B22,'2 Feedstock database'!$B$8:$N$27,2,FALSE)))</f>
        <v/>
      </c>
      <c r="E22" s="78" t="str">
        <f>IF(ISBLANK($B22),"",IF(ISERROR(VLOOKUP($B22,'2 Feedstock database'!$B$8:$N$27,3,FALSE)),"",VLOOKUP($B22,'2 Feedstock database'!$B$8:$N$27,3,FALSE)))</f>
        <v/>
      </c>
      <c r="F22" s="78" t="str">
        <f>IF(ISBLANK($B22),"",IF(ISERROR(VLOOKUP($B22,'2 Feedstock database'!$B$8:$N$27,4,FALSE)),"",VLOOKUP($B22,'2 Feedstock database'!$B$8:$N$27,4,FALSE)))</f>
        <v/>
      </c>
      <c r="G22" s="79" t="str">
        <f>IF(ISBLANK($B22),"",IF(ISERROR(VLOOKUP($B22,'2 Feedstock database'!$B$8:$N$27,13,FALSE)),"",VLOOKUP($B22,'2 Feedstock database'!$B$8:$N$27,13,FALSE)))</f>
        <v/>
      </c>
      <c r="H22" s="282"/>
      <c r="I22" s="282"/>
      <c r="J22" s="282"/>
      <c r="K22" s="282"/>
      <c r="L22" s="77" t="str">
        <f>IF(ISBLANK($B22),"",IF(ISERROR(VLOOKUP($B22,'2 Feedstock database'!$B$8:$N$27,6,FALSE)),"",VLOOKUP($B22,'2 Feedstock database'!$B$8:$N$27,6,FALSE)))</f>
        <v/>
      </c>
      <c r="M22" s="279" t="str">
        <f>IF(ISBLANK($B22),"",IF(ISERROR(VLOOKUP($B22,'2 Feedstock database'!$B$8:$N$27,7,FALSE)),"",VLOOKUP($B22,'2 Feedstock database'!$B$8:$N$27,7,FALSE)))</f>
        <v/>
      </c>
      <c r="N22" s="279" t="str">
        <f>IF(ISBLANK($B22),"",IF(ISERROR(VLOOKUP($B22,'2 Feedstock database'!$B$8:$N$27,8,FALSE)),"",VLOOKUP($B22,'2 Feedstock database'!$B$8:$N$27,8,FALSE)))</f>
        <v/>
      </c>
      <c r="O22" s="279" t="str">
        <f>IF(ISBLANK($B22),"",IF(ISERROR(VLOOKUP($B22,'2 Feedstock database'!$B$8:$N$27,9,FALSE)),"",VLOOKUP($B22,'2 Feedstock database'!$B$8:$N$27,9,FALSE)))</f>
        <v/>
      </c>
      <c r="P22" s="280" t="str">
        <f t="shared" si="0"/>
        <v/>
      </c>
      <c r="Q22" s="279" t="str">
        <f>IF(ISBLANK($B22),"",IF(ISERROR(VLOOKUP($B22,'2 Feedstock database'!$B$8:$N$27,10,FALSE)),"",VLOOKUP($B22,'2 Feedstock database'!$B$8:$N$27,10,FALSE)))</f>
        <v/>
      </c>
      <c r="R22" s="280" t="str">
        <f t="shared" si="1"/>
        <v/>
      </c>
      <c r="S22" s="279" t="str">
        <f>IF(ISBLANK($B22),"",IF(ISERROR(VLOOKUP($B22,'2 Feedstock database'!$B$8:$N$27,11,FALSE)),"",VLOOKUP($B22,'2 Feedstock database'!$B$8:$N$27,11,FALSE)))</f>
        <v/>
      </c>
      <c r="T22" s="279" t="str">
        <f>IF(ISBLANK($B22),"",IF(ISERROR(VLOOKUP($B22,'2 Feedstock database'!$B$8:$N$27,12,FALSE)),"",VLOOKUP($B22,'2 Feedstock database'!$B$8:$N$27,12,FALSE)))</f>
        <v/>
      </c>
      <c r="U22" s="279" t="str">
        <f>IF(ISBLANK($B22),"",IF(ISERROR(VLOOKUP($B22,'2 Feedstock database'!$B$8:$N$27,13,FALSE)),"",VLOOKUP($B22,'2 Feedstock database'!$B$8:$N$27,13,FALSE)))</f>
        <v/>
      </c>
      <c r="V22" s="281" t="str">
        <f t="shared" si="2"/>
        <v/>
      </c>
      <c r="W22" s="281" t="str">
        <f t="shared" si="3"/>
        <v/>
      </c>
      <c r="X22" s="281" t="str">
        <f t="shared" si="4"/>
        <v/>
      </c>
      <c r="Y22" s="81" t="str">
        <f t="shared" si="5"/>
        <v/>
      </c>
    </row>
    <row r="23" spans="1:25" x14ac:dyDescent="0.35">
      <c r="A23" s="1"/>
      <c r="B23" s="310" t="str">
        <f>IF(ISBLANK(' 1 Technology_check'!B21),"",' 1 Technology_check'!B21)</f>
        <v/>
      </c>
      <c r="C23" s="311" t="str">
        <f>IF(ISBLANK(' 1 Technology_check'!C21),"",' 1 Technology_check'!C21)</f>
        <v/>
      </c>
      <c r="D23" s="77" t="str">
        <f>IF(ISBLANK($B23),"",IF(ISERROR(VLOOKUP($B23,'2 Feedstock database'!$B$8:$N$27,2,FALSE)),"",VLOOKUP($B23,'2 Feedstock database'!$B$8:$N$27,2,FALSE)))</f>
        <v/>
      </c>
      <c r="E23" s="78" t="str">
        <f>IF(ISBLANK($B23),"",IF(ISERROR(VLOOKUP($B23,'2 Feedstock database'!$B$8:$N$27,3,FALSE)),"",VLOOKUP($B23,'2 Feedstock database'!$B$8:$N$27,3,FALSE)))</f>
        <v/>
      </c>
      <c r="F23" s="78" t="str">
        <f>IF(ISBLANK($B23),"",IF(ISERROR(VLOOKUP($B23,'2 Feedstock database'!$B$8:$N$27,4,FALSE)),"",VLOOKUP($B23,'2 Feedstock database'!$B$8:$N$27,4,FALSE)))</f>
        <v/>
      </c>
      <c r="G23" s="79" t="str">
        <f>IF(ISBLANK($B23),"",IF(ISERROR(VLOOKUP($B23,'2 Feedstock database'!$B$8:$N$27,13,FALSE)),"",VLOOKUP($B23,'2 Feedstock database'!$B$8:$N$27,13,FALSE)))</f>
        <v/>
      </c>
      <c r="H23" s="282"/>
      <c r="I23" s="282"/>
      <c r="J23" s="282"/>
      <c r="K23" s="282"/>
      <c r="L23" s="77" t="str">
        <f>IF(ISBLANK($B23),"",IF(ISERROR(VLOOKUP($B23,'2 Feedstock database'!$B$8:$N$27,6,FALSE)),"",VLOOKUP($B23,'2 Feedstock database'!$B$8:$N$27,6,FALSE)))</f>
        <v/>
      </c>
      <c r="M23" s="279" t="str">
        <f>IF(ISBLANK($B23),"",IF(ISERROR(VLOOKUP($B23,'2 Feedstock database'!$B$8:$N$27,7,FALSE)),"",VLOOKUP($B23,'2 Feedstock database'!$B$8:$N$27,7,FALSE)))</f>
        <v/>
      </c>
      <c r="N23" s="279" t="str">
        <f>IF(ISBLANK($B23),"",IF(ISERROR(VLOOKUP($B23,'2 Feedstock database'!$B$8:$N$27,8,FALSE)),"",VLOOKUP($B23,'2 Feedstock database'!$B$8:$N$27,8,FALSE)))</f>
        <v/>
      </c>
      <c r="O23" s="279" t="str">
        <f>IF(ISBLANK($B23),"",IF(ISERROR(VLOOKUP($B23,'2 Feedstock database'!$B$8:$N$27,9,FALSE)),"",VLOOKUP($B23,'2 Feedstock database'!$B$8:$N$27,9,FALSE)))</f>
        <v/>
      </c>
      <c r="P23" s="280" t="str">
        <f t="shared" si="0"/>
        <v/>
      </c>
      <c r="Q23" s="279" t="str">
        <f>IF(ISBLANK($B23),"",IF(ISERROR(VLOOKUP($B23,'2 Feedstock database'!$B$8:$N$27,10,FALSE)),"",VLOOKUP($B23,'2 Feedstock database'!$B$8:$N$27,10,FALSE)))</f>
        <v/>
      </c>
      <c r="R23" s="280" t="str">
        <f t="shared" si="1"/>
        <v/>
      </c>
      <c r="S23" s="279" t="str">
        <f>IF(ISBLANK($B23),"",IF(ISERROR(VLOOKUP($B23,'2 Feedstock database'!$B$8:$N$27,11,FALSE)),"",VLOOKUP($B23,'2 Feedstock database'!$B$8:$N$27,11,FALSE)))</f>
        <v/>
      </c>
      <c r="T23" s="279" t="str">
        <f>IF(ISBLANK($B23),"",IF(ISERROR(VLOOKUP($B23,'2 Feedstock database'!$B$8:$N$27,12,FALSE)),"",VLOOKUP($B23,'2 Feedstock database'!$B$8:$N$27,12,FALSE)))</f>
        <v/>
      </c>
      <c r="U23" s="279" t="str">
        <f>IF(ISBLANK($B23),"",IF(ISERROR(VLOOKUP($B23,'2 Feedstock database'!$B$8:$N$27,13,FALSE)),"",VLOOKUP($B23,'2 Feedstock database'!$B$8:$N$27,13,FALSE)))</f>
        <v/>
      </c>
      <c r="V23" s="281" t="str">
        <f t="shared" si="2"/>
        <v/>
      </c>
      <c r="W23" s="281" t="str">
        <f t="shared" si="3"/>
        <v/>
      </c>
      <c r="X23" s="281" t="str">
        <f t="shared" si="4"/>
        <v/>
      </c>
      <c r="Y23" s="81" t="str">
        <f t="shared" si="5"/>
        <v/>
      </c>
    </row>
    <row r="24" spans="1:25" x14ac:dyDescent="0.35">
      <c r="A24" s="1"/>
      <c r="B24" s="310" t="str">
        <f>IF(ISBLANK(' 1 Technology_check'!B22),"",' 1 Technology_check'!B22)</f>
        <v/>
      </c>
      <c r="C24" s="311" t="str">
        <f>IF(ISBLANK(' 1 Technology_check'!C22),"",' 1 Technology_check'!C22)</f>
        <v/>
      </c>
      <c r="D24" s="77" t="str">
        <f>IF(ISBLANK($B24),"",IF(ISERROR(VLOOKUP($B24,'2 Feedstock database'!$B$8:$N$27,2,FALSE)),"",VLOOKUP($B24,'2 Feedstock database'!$B$8:$N$27,2,FALSE)))</f>
        <v/>
      </c>
      <c r="E24" s="78" t="str">
        <f>IF(ISBLANK($B24),"",IF(ISERROR(VLOOKUP($B24,'2 Feedstock database'!$B$8:$N$27,3,FALSE)),"",VLOOKUP($B24,'2 Feedstock database'!$B$8:$N$27,3,FALSE)))</f>
        <v/>
      </c>
      <c r="F24" s="78" t="str">
        <f>IF(ISBLANK($B24),"",IF(ISERROR(VLOOKUP($B24,'2 Feedstock database'!$B$8:$N$27,4,FALSE)),"",VLOOKUP($B24,'2 Feedstock database'!$B$8:$N$27,4,FALSE)))</f>
        <v/>
      </c>
      <c r="G24" s="79" t="str">
        <f>IF(ISBLANK($B24),"",IF(ISERROR(VLOOKUP($B24,'2 Feedstock database'!$B$8:$N$27,13,FALSE)),"",VLOOKUP($B24,'2 Feedstock database'!$B$8:$N$27,13,FALSE)))</f>
        <v/>
      </c>
      <c r="H24" s="282"/>
      <c r="I24" s="282"/>
      <c r="J24" s="282"/>
      <c r="K24" s="282"/>
      <c r="L24" s="77" t="str">
        <f>IF(ISBLANK($B24),"",IF(ISERROR(VLOOKUP($B24,'2 Feedstock database'!$B$8:$N$27,6,FALSE)),"",VLOOKUP($B24,'2 Feedstock database'!$B$8:$N$27,6,FALSE)))</f>
        <v/>
      </c>
      <c r="M24" s="279" t="str">
        <f>IF(ISBLANK($B24),"",IF(ISERROR(VLOOKUP($B24,'2 Feedstock database'!$B$8:$N$27,7,FALSE)),"",VLOOKUP($B24,'2 Feedstock database'!$B$8:$N$27,7,FALSE)))</f>
        <v/>
      </c>
      <c r="N24" s="279" t="str">
        <f>IF(ISBLANK($B24),"",IF(ISERROR(VLOOKUP($B24,'2 Feedstock database'!$B$8:$N$27,8,FALSE)),"",VLOOKUP($B24,'2 Feedstock database'!$B$8:$N$27,8,FALSE)))</f>
        <v/>
      </c>
      <c r="O24" s="279" t="str">
        <f>IF(ISBLANK($B24),"",IF(ISERROR(VLOOKUP($B24,'2 Feedstock database'!$B$8:$N$27,9,FALSE)),"",VLOOKUP($B24,'2 Feedstock database'!$B$8:$N$27,9,FALSE)))</f>
        <v/>
      </c>
      <c r="P24" s="280" t="str">
        <f t="shared" si="0"/>
        <v/>
      </c>
      <c r="Q24" s="279" t="str">
        <f>IF(ISBLANK($B24),"",IF(ISERROR(VLOOKUP($B24,'2 Feedstock database'!$B$8:$N$27,10,FALSE)),"",VLOOKUP($B24,'2 Feedstock database'!$B$8:$N$27,10,FALSE)))</f>
        <v/>
      </c>
      <c r="R24" s="280" t="str">
        <f t="shared" si="1"/>
        <v/>
      </c>
      <c r="S24" s="279" t="str">
        <f>IF(ISBLANK($B24),"",IF(ISERROR(VLOOKUP($B24,'2 Feedstock database'!$B$8:$N$27,11,FALSE)),"",VLOOKUP($B24,'2 Feedstock database'!$B$8:$N$27,11,FALSE)))</f>
        <v/>
      </c>
      <c r="T24" s="279" t="str">
        <f>IF(ISBLANK($B24),"",IF(ISERROR(VLOOKUP($B24,'2 Feedstock database'!$B$8:$N$27,12,FALSE)),"",VLOOKUP($B24,'2 Feedstock database'!$B$8:$N$27,12,FALSE)))</f>
        <v/>
      </c>
      <c r="U24" s="279" t="str">
        <f>IF(ISBLANK($B24),"",IF(ISERROR(VLOOKUP($B24,'2 Feedstock database'!$B$8:$N$27,13,FALSE)),"",VLOOKUP($B24,'2 Feedstock database'!$B$8:$N$27,13,FALSE)))</f>
        <v/>
      </c>
      <c r="V24" s="281" t="str">
        <f t="shared" si="2"/>
        <v/>
      </c>
      <c r="W24" s="281" t="str">
        <f t="shared" si="3"/>
        <v/>
      </c>
      <c r="X24" s="281" t="str">
        <f t="shared" si="4"/>
        <v/>
      </c>
      <c r="Y24" s="81" t="str">
        <f t="shared" si="5"/>
        <v/>
      </c>
    </row>
    <row r="25" spans="1:25" x14ac:dyDescent="0.35">
      <c r="A25" s="1"/>
      <c r="B25" s="310" t="str">
        <f>IF(ISBLANK(' 1 Technology_check'!B23),"",' 1 Technology_check'!B23)</f>
        <v/>
      </c>
      <c r="C25" s="311" t="str">
        <f>IF(ISBLANK(' 1 Technology_check'!C23),"",' 1 Technology_check'!C23)</f>
        <v/>
      </c>
      <c r="D25" s="77" t="str">
        <f>IF(ISBLANK($B25),"",IF(ISERROR(VLOOKUP($B25,'2 Feedstock database'!$B$8:$N$27,2,FALSE)),"",VLOOKUP($B25,'2 Feedstock database'!$B$8:$N$27,2,FALSE)))</f>
        <v/>
      </c>
      <c r="E25" s="78" t="str">
        <f>IF(ISBLANK($B25),"",IF(ISERROR(VLOOKUP($B25,'2 Feedstock database'!$B$8:$N$27,3,FALSE)),"",VLOOKUP($B25,'2 Feedstock database'!$B$8:$N$27,3,FALSE)))</f>
        <v/>
      </c>
      <c r="F25" s="78" t="str">
        <f>IF(ISBLANK($B25),"",IF(ISERROR(VLOOKUP($B25,'2 Feedstock database'!$B$8:$N$27,4,FALSE)),"",VLOOKUP($B25,'2 Feedstock database'!$B$8:$N$27,4,FALSE)))</f>
        <v/>
      </c>
      <c r="G25" s="79" t="str">
        <f>IF(ISBLANK($B25),"",IF(ISERROR(VLOOKUP($B25,'2 Feedstock database'!$B$8:$N$27,13,FALSE)),"",VLOOKUP($B25,'2 Feedstock database'!$B$8:$N$27,13,FALSE)))</f>
        <v/>
      </c>
      <c r="H25" s="282"/>
      <c r="I25" s="282"/>
      <c r="J25" s="282"/>
      <c r="K25" s="282"/>
      <c r="L25" s="77" t="str">
        <f>IF(ISBLANK($B25),"",IF(ISERROR(VLOOKUP($B25,'2 Feedstock database'!$B$8:$N$27,6,FALSE)),"",VLOOKUP($B25,'2 Feedstock database'!$B$8:$N$27,6,FALSE)))</f>
        <v/>
      </c>
      <c r="M25" s="279" t="str">
        <f>IF(ISBLANK($B25),"",IF(ISERROR(VLOOKUP($B25,'2 Feedstock database'!$B$8:$N$27,7,FALSE)),"",VLOOKUP($B25,'2 Feedstock database'!$B$8:$N$27,7,FALSE)))</f>
        <v/>
      </c>
      <c r="N25" s="279" t="str">
        <f>IF(ISBLANK($B25),"",IF(ISERROR(VLOOKUP($B25,'2 Feedstock database'!$B$8:$N$27,8,FALSE)),"",VLOOKUP($B25,'2 Feedstock database'!$B$8:$N$27,8,FALSE)))</f>
        <v/>
      </c>
      <c r="O25" s="279" t="str">
        <f>IF(ISBLANK($B25),"",IF(ISERROR(VLOOKUP($B25,'2 Feedstock database'!$B$8:$N$27,9,FALSE)),"",VLOOKUP($B25,'2 Feedstock database'!$B$8:$N$27,9,FALSE)))</f>
        <v/>
      </c>
      <c r="P25" s="280" t="str">
        <f t="shared" si="0"/>
        <v/>
      </c>
      <c r="Q25" s="279" t="str">
        <f>IF(ISBLANK($B25),"",IF(ISERROR(VLOOKUP($B25,'2 Feedstock database'!$B$8:$N$27,10,FALSE)),"",VLOOKUP($B25,'2 Feedstock database'!$B$8:$N$27,10,FALSE)))</f>
        <v/>
      </c>
      <c r="R25" s="280" t="str">
        <f t="shared" si="1"/>
        <v/>
      </c>
      <c r="S25" s="279" t="str">
        <f>IF(ISBLANK($B25),"",IF(ISERROR(VLOOKUP($B25,'2 Feedstock database'!$B$8:$N$27,11,FALSE)),"",VLOOKUP($B25,'2 Feedstock database'!$B$8:$N$27,11,FALSE)))</f>
        <v/>
      </c>
      <c r="T25" s="279" t="str">
        <f>IF(ISBLANK($B25),"",IF(ISERROR(VLOOKUP($B25,'2 Feedstock database'!$B$8:$N$27,12,FALSE)),"",VLOOKUP($B25,'2 Feedstock database'!$B$8:$N$27,12,FALSE)))</f>
        <v/>
      </c>
      <c r="U25" s="279" t="str">
        <f>IF(ISBLANK($B25),"",IF(ISERROR(VLOOKUP($B25,'2 Feedstock database'!$B$8:$N$27,13,FALSE)),"",VLOOKUP($B25,'2 Feedstock database'!$B$8:$N$27,13,FALSE)))</f>
        <v/>
      </c>
      <c r="V25" s="281" t="str">
        <f t="shared" si="2"/>
        <v/>
      </c>
      <c r="W25" s="281" t="str">
        <f t="shared" si="3"/>
        <v/>
      </c>
      <c r="X25" s="281" t="str">
        <f t="shared" si="4"/>
        <v/>
      </c>
      <c r="Y25" s="81" t="str">
        <f t="shared" si="5"/>
        <v/>
      </c>
    </row>
    <row r="26" spans="1:25" ht="15" thickBot="1" x14ac:dyDescent="0.4">
      <c r="A26" s="1"/>
      <c r="B26" s="312" t="str">
        <f>IF(ISBLANK(' 1 Technology_check'!B24),"",' 1 Technology_check'!B24)</f>
        <v/>
      </c>
      <c r="C26" s="313" t="str">
        <f>IF(ISBLANK(' 1 Technology_check'!C24),"",' 1 Technology_check'!C24)</f>
        <v/>
      </c>
      <c r="D26" s="82" t="str">
        <f>IF(ISBLANK($B26),"",IF(ISERROR(VLOOKUP($B26,'2 Feedstock database'!$B$8:$N$27,2,FALSE)),"",VLOOKUP($B26,'2 Feedstock database'!$B$8:$N$27,2,FALSE)))</f>
        <v/>
      </c>
      <c r="E26" s="83" t="str">
        <f>IF(ISBLANK($B26),"",IF(ISERROR(VLOOKUP($B26,'2 Feedstock database'!$B$8:$N$27,3,FALSE)),"",VLOOKUP($B26,'2 Feedstock database'!$B$8:$N$27,3,FALSE)))</f>
        <v/>
      </c>
      <c r="F26" s="83" t="str">
        <f>IF(ISBLANK($B26),"",IF(ISERROR(VLOOKUP($B26,'2 Feedstock database'!$B$8:$N$27,4,FALSE)),"",VLOOKUP($B26,'2 Feedstock database'!$B$8:$N$27,4,FALSE)))</f>
        <v/>
      </c>
      <c r="G26" s="84" t="str">
        <f>IF(ISBLANK($B26),"",IF(ISERROR(VLOOKUP($B26,'2 Feedstock database'!$B$8:$N$27,13,FALSE)),"",VLOOKUP($B26,'2 Feedstock database'!$B$8:$N$27,13,FALSE)))</f>
        <v/>
      </c>
      <c r="H26" s="282"/>
      <c r="I26" s="282"/>
      <c r="J26" s="282"/>
      <c r="K26" s="282"/>
      <c r="L26" s="82" t="str">
        <f>IF(ISBLANK($B26),"",IF(ISERROR(VLOOKUP($B26,'2 Feedstock database'!$B$8:$N$27,6,FALSE)),"",VLOOKUP($B26,'2 Feedstock database'!$B$8:$N$27,6,FALSE)))</f>
        <v/>
      </c>
      <c r="M26" s="83" t="str">
        <f>IF(ISBLANK($B26),"",IF(ISERROR(VLOOKUP($B26,'2 Feedstock database'!$B$8:$N$27,7,FALSE)),"",VLOOKUP($B26,'2 Feedstock database'!$B$8:$N$27,7,FALSE)))</f>
        <v/>
      </c>
      <c r="N26" s="83" t="str">
        <f>IF(ISBLANK($B26),"",IF(ISERROR(VLOOKUP($B26,'2 Feedstock database'!$B$8:$N$27,8,FALSE)),"",VLOOKUP($B26,'2 Feedstock database'!$B$8:$N$27,8,FALSE)))</f>
        <v/>
      </c>
      <c r="O26" s="83" t="str">
        <f>IF(ISBLANK($B26),"",IF(ISERROR(VLOOKUP($B26,'2 Feedstock database'!$B$8:$N$27,9,FALSE)),"",VLOOKUP($B26,'2 Feedstock database'!$B$8:$N$27,9,FALSE)))</f>
        <v/>
      </c>
      <c r="P26" s="185" t="str">
        <f t="shared" si="0"/>
        <v/>
      </c>
      <c r="Q26" s="83" t="str">
        <f>IF(ISBLANK($B26),"",IF(ISERROR(VLOOKUP($B26,'2 Feedstock database'!$B$8:$N$27,10,FALSE)),"",VLOOKUP($B26,'2 Feedstock database'!$B$8:$N$27,10,FALSE)))</f>
        <v/>
      </c>
      <c r="R26" s="185" t="str">
        <f t="shared" si="1"/>
        <v/>
      </c>
      <c r="S26" s="83" t="str">
        <f>IF(ISBLANK($B26),"",IF(ISERROR(VLOOKUP($B26,'2 Feedstock database'!$B$8:$N$27,11,FALSE)),"",VLOOKUP($B26,'2 Feedstock database'!$B$8:$N$27,11,FALSE)))</f>
        <v/>
      </c>
      <c r="T26" s="83" t="str">
        <f>IF(ISBLANK($B26),"",IF(ISERROR(VLOOKUP($B26,'2 Feedstock database'!$B$8:$N$27,12,FALSE)),"",VLOOKUP($B26,'2 Feedstock database'!$B$8:$N$27,12,FALSE)))</f>
        <v/>
      </c>
      <c r="U26" s="83" t="str">
        <f>IF(ISBLANK($B26),"",IF(ISERROR(VLOOKUP($B26,'2 Feedstock database'!$B$8:$N$27,13,FALSE)),"",VLOOKUP($B26,'2 Feedstock database'!$B$8:$N$27,13,FALSE)))</f>
        <v/>
      </c>
      <c r="V26" s="87" t="str">
        <f t="shared" si="2"/>
        <v/>
      </c>
      <c r="W26" s="87" t="str">
        <f t="shared" si="3"/>
        <v/>
      </c>
      <c r="X26" s="87" t="str">
        <f t="shared" si="4"/>
        <v/>
      </c>
      <c r="Y26" s="88" t="str">
        <f t="shared" si="5"/>
        <v/>
      </c>
    </row>
    <row r="27" spans="1:25" x14ac:dyDescent="0.35">
      <c r="A27" s="1"/>
      <c r="B27" s="186"/>
      <c r="C27" s="89"/>
      <c r="D27" s="90"/>
      <c r="E27" s="90"/>
      <c r="F27" s="90"/>
      <c r="G27" s="90"/>
      <c r="H27" s="90"/>
      <c r="I27" s="90"/>
      <c r="J27" s="90"/>
      <c r="K27" s="90"/>
      <c r="L27" s="187"/>
      <c r="M27" s="90"/>
      <c r="N27" s="187"/>
      <c r="O27" s="90"/>
      <c r="P27" s="90"/>
      <c r="Q27" s="90"/>
      <c r="R27" s="89"/>
      <c r="S27" s="89"/>
      <c r="T27" s="89"/>
      <c r="U27" s="89"/>
    </row>
    <row r="28" spans="1:25" ht="23.5" x14ac:dyDescent="0.55000000000000004">
      <c r="A28" s="1"/>
      <c r="B28" s="379" t="s">
        <v>101</v>
      </c>
      <c r="C28" s="379"/>
      <c r="D28" s="90"/>
      <c r="E28" s="90"/>
      <c r="F28" s="90"/>
      <c r="G28" s="90"/>
      <c r="H28" s="90"/>
      <c r="I28" s="90"/>
      <c r="J28" s="90"/>
      <c r="K28" s="90"/>
      <c r="L28" s="187"/>
      <c r="M28" s="90"/>
      <c r="N28" s="187"/>
      <c r="O28" s="90"/>
      <c r="P28" s="90"/>
      <c r="Q28" s="90"/>
      <c r="R28" s="89"/>
      <c r="S28" s="89"/>
      <c r="T28" s="89"/>
      <c r="U28" s="89"/>
    </row>
    <row r="29" spans="1:25" ht="18.5" x14ac:dyDescent="0.35">
      <c r="A29" s="1"/>
      <c r="B29" s="303" t="s">
        <v>279</v>
      </c>
      <c r="C29" s="89"/>
      <c r="D29" s="90"/>
      <c r="E29" s="90"/>
      <c r="F29" s="90"/>
      <c r="G29" s="90"/>
      <c r="H29" s="90"/>
      <c r="I29" s="90"/>
      <c r="J29" s="90"/>
      <c r="K29" s="90"/>
      <c r="L29" s="187"/>
      <c r="M29" s="90"/>
      <c r="N29" s="187"/>
      <c r="O29" s="90"/>
      <c r="P29" s="90"/>
      <c r="Q29" s="90"/>
      <c r="R29" s="89"/>
      <c r="S29" s="89"/>
      <c r="T29" s="89"/>
      <c r="U29" s="89"/>
    </row>
    <row r="30" spans="1:25" ht="18.5" x14ac:dyDescent="0.35">
      <c r="A30" s="1"/>
      <c r="B30" s="93"/>
      <c r="C30" s="89"/>
      <c r="D30" s="90"/>
      <c r="E30" s="90"/>
      <c r="F30" s="90"/>
      <c r="G30" s="90"/>
      <c r="H30" s="90"/>
      <c r="I30" s="90"/>
      <c r="J30" s="90"/>
      <c r="K30" s="90"/>
      <c r="L30" s="187"/>
      <c r="M30" s="90"/>
      <c r="N30" s="187"/>
      <c r="O30" s="90"/>
      <c r="P30" s="90"/>
      <c r="Q30" s="90"/>
      <c r="R30" s="89"/>
      <c r="S30" s="89"/>
      <c r="T30" s="89"/>
      <c r="U30" s="89"/>
    </row>
    <row r="31" spans="1:25" x14ac:dyDescent="0.35">
      <c r="A31" s="1"/>
      <c r="B31" s="381" t="s">
        <v>19</v>
      </c>
      <c r="C31" s="384" t="str">
        <f>IF(E67&gt;E75,CONCATENATE("Your mixture is too dense, you need to add water to have at least ",1-E75," moisture content. Current: ",ROUND(D67,3)),IF(E67&lt;D75,CONCATENATE("Your mixture is too dilute, you should reduce moisture content or increase denser feedstock in the mixture to reach at least ",D75," Total Solids. Current: ",ROUND(E67,3)),"Optimal"))</f>
        <v>Your mixture is too dense, you need to add water to have at least 0.85 moisture content. Current: 0.77</v>
      </c>
      <c r="D31" s="384"/>
      <c r="E31" s="384"/>
      <c r="F31" s="384"/>
      <c r="G31" s="384"/>
      <c r="H31" s="384"/>
      <c r="I31" s="384"/>
      <c r="J31" s="385"/>
      <c r="K31" s="90"/>
      <c r="L31" s="187"/>
      <c r="M31" s="90"/>
      <c r="N31" s="187"/>
      <c r="O31" s="90"/>
      <c r="P31" s="90"/>
      <c r="Q31" s="90"/>
      <c r="R31" s="89"/>
      <c r="S31" s="89"/>
      <c r="T31" s="89"/>
      <c r="U31" s="89"/>
    </row>
    <row r="32" spans="1:25" x14ac:dyDescent="0.35">
      <c r="A32" s="1"/>
      <c r="B32" s="382"/>
      <c r="C32" s="386"/>
      <c r="D32" s="386"/>
      <c r="E32" s="386"/>
      <c r="F32" s="386"/>
      <c r="G32" s="386"/>
      <c r="H32" s="386"/>
      <c r="I32" s="386"/>
      <c r="J32" s="387"/>
      <c r="K32" s="90"/>
      <c r="L32" s="187"/>
      <c r="M32" s="90"/>
      <c r="N32" s="187"/>
      <c r="O32" s="90"/>
      <c r="P32" s="90"/>
      <c r="Q32" s="90"/>
      <c r="R32" s="89"/>
      <c r="S32" s="89"/>
      <c r="T32" s="89"/>
      <c r="U32" s="89"/>
    </row>
    <row r="33" spans="1:21" ht="15" customHeight="1" x14ac:dyDescent="0.35">
      <c r="A33" s="1"/>
      <c r="B33" s="382"/>
      <c r="C33" s="316" t="str">
        <f>IF(D67&lt;(1-E75),CONCATENATE("Add ",ROUNDUP(((1-E75)*SUM(C16:C26)-SUM(V16:V26))/E75,0)," L of water to your feedstock"),IF(D67&gt;(1-D75),CONCATENATE("Reduce water by ",ROUNDUP(((1-D75)*SUM(C16:C26)-SUM(V16:V26))/D75,0)," L"),""))</f>
        <v>Add 107 L of water to your feedstock</v>
      </c>
      <c r="D33" s="306"/>
      <c r="E33" s="306"/>
      <c r="F33" s="306"/>
      <c r="G33" s="306"/>
      <c r="H33" s="306"/>
      <c r="I33" s="306"/>
      <c r="J33" s="307"/>
      <c r="K33" s="90"/>
      <c r="L33" s="187"/>
      <c r="M33" s="90"/>
      <c r="N33" s="187"/>
      <c r="O33" s="90"/>
      <c r="P33" s="90"/>
      <c r="Q33" s="90"/>
      <c r="R33" s="89"/>
      <c r="S33" s="89"/>
      <c r="T33" s="89"/>
      <c r="U33" s="89"/>
    </row>
    <row r="34" spans="1:21" ht="15" customHeight="1" thickBot="1" x14ac:dyDescent="0.4">
      <c r="A34" s="1"/>
      <c r="B34" s="383"/>
      <c r="C34" s="308"/>
      <c r="D34" s="308"/>
      <c r="E34" s="308"/>
      <c r="F34" s="308"/>
      <c r="G34" s="308"/>
      <c r="H34" s="308"/>
      <c r="I34" s="308"/>
      <c r="J34" s="309"/>
      <c r="K34" s="90"/>
      <c r="L34" s="187"/>
      <c r="M34" s="90"/>
      <c r="N34" s="187"/>
      <c r="O34" s="90"/>
      <c r="P34" s="90"/>
      <c r="Q34" s="90"/>
      <c r="R34" s="89"/>
      <c r="S34" s="89"/>
      <c r="T34" s="89"/>
      <c r="U34" s="89"/>
    </row>
    <row r="35" spans="1:21" ht="16" thickBot="1" x14ac:dyDescent="0.4">
      <c r="A35" s="1"/>
      <c r="B35" s="94"/>
      <c r="C35" s="95"/>
      <c r="D35" s="95"/>
      <c r="E35" s="95"/>
      <c r="F35" s="95"/>
      <c r="G35" s="95"/>
      <c r="H35" s="95"/>
      <c r="I35" s="96"/>
      <c r="J35" s="96"/>
      <c r="K35" s="90"/>
      <c r="L35" s="187"/>
      <c r="M35" s="90"/>
      <c r="N35" s="187"/>
      <c r="O35" s="90"/>
      <c r="P35" s="90"/>
      <c r="Q35" s="90"/>
      <c r="R35" s="89"/>
      <c r="S35" s="89"/>
      <c r="T35" s="89"/>
      <c r="U35" s="89"/>
    </row>
    <row r="36" spans="1:21" x14ac:dyDescent="0.35">
      <c r="A36" s="1"/>
      <c r="B36" s="381" t="s">
        <v>30</v>
      </c>
      <c r="C36" s="384" t="str">
        <f>IF(K67&gt;E77,CONCATENATE("Too high, increase nitrogen rich feedstock or reduce carbon rich feedstock to have a C/N ratio of less than ",E77,". Current: ",ROUND(K67,3)),IF(K67&lt;D77,CONCATENATE("Too low, increase carbon rich feedstock or reduce nitrogen rich feedstock to have a C/N ratio of more than ",D77,". Current: ",ROUND(K67,3)),IF(K67&gt;E76,"Acceptable",IF(K67&lt;D76,"Acceptable","Optimal"))))</f>
        <v>Optimal</v>
      </c>
      <c r="D36" s="384"/>
      <c r="E36" s="384"/>
      <c r="F36" s="384"/>
      <c r="G36" s="384"/>
      <c r="H36" s="384"/>
      <c r="I36" s="384"/>
      <c r="J36" s="385"/>
      <c r="K36" s="90"/>
      <c r="L36" s="187"/>
      <c r="M36" s="90"/>
      <c r="N36" s="187"/>
      <c r="O36" s="90"/>
      <c r="P36" s="90"/>
      <c r="Q36" s="90"/>
      <c r="R36" s="89"/>
      <c r="S36" s="89"/>
      <c r="T36" s="89"/>
      <c r="U36" s="89"/>
    </row>
    <row r="37" spans="1:21" x14ac:dyDescent="0.35">
      <c r="A37" s="1"/>
      <c r="B37" s="383"/>
      <c r="C37" s="388"/>
      <c r="D37" s="388"/>
      <c r="E37" s="388"/>
      <c r="F37" s="388"/>
      <c r="G37" s="388"/>
      <c r="H37" s="388"/>
      <c r="I37" s="388"/>
      <c r="J37" s="389"/>
      <c r="K37" s="90"/>
      <c r="L37" s="187"/>
      <c r="M37" s="90"/>
      <c r="N37" s="187"/>
      <c r="O37" s="90"/>
      <c r="P37" s="90"/>
      <c r="Q37" s="90"/>
      <c r="R37" s="89"/>
      <c r="S37" s="89"/>
      <c r="T37" s="89"/>
      <c r="U37" s="89"/>
    </row>
    <row r="38" spans="1:21" ht="15.5" x14ac:dyDescent="0.35">
      <c r="A38" s="1"/>
      <c r="B38" s="97"/>
      <c r="C38" s="98"/>
      <c r="D38" s="96"/>
      <c r="E38" s="96"/>
      <c r="F38" s="96"/>
      <c r="G38" s="96"/>
      <c r="H38" s="96"/>
      <c r="I38" s="96"/>
      <c r="J38" s="96"/>
      <c r="K38" s="90"/>
      <c r="L38" s="187"/>
      <c r="M38" s="90"/>
      <c r="N38" s="187"/>
      <c r="O38" s="90"/>
      <c r="P38" s="90"/>
      <c r="Q38" s="90"/>
      <c r="R38" s="89"/>
      <c r="S38" s="89"/>
      <c r="T38" s="89"/>
      <c r="U38" s="89"/>
    </row>
    <row r="39" spans="1:21" ht="15.5" x14ac:dyDescent="0.35">
      <c r="A39" s="1"/>
      <c r="B39" s="370" t="s">
        <v>93</v>
      </c>
      <c r="C39" s="373" t="str">
        <f>IF(AND(C31="Optimal",C36="Optimal"),"Yes",IF(AND(C31="Optimal",C36="Acceptable"),"Yes, C/N ratio acceptable but not optimal","No"))</f>
        <v>No</v>
      </c>
      <c r="D39" s="374"/>
      <c r="E39" s="99"/>
      <c r="F39" s="99"/>
      <c r="G39" s="99"/>
      <c r="H39" s="99"/>
      <c r="I39" s="99"/>
      <c r="J39" s="99"/>
      <c r="K39" s="90"/>
      <c r="L39" s="187"/>
      <c r="M39" s="90"/>
      <c r="N39" s="187"/>
      <c r="O39" s="90"/>
      <c r="P39" s="90"/>
      <c r="Q39" s="90"/>
      <c r="R39" s="89"/>
      <c r="S39" s="89"/>
      <c r="T39" s="89"/>
      <c r="U39" s="89"/>
    </row>
    <row r="40" spans="1:21" ht="15.5" x14ac:dyDescent="0.35">
      <c r="A40" s="1"/>
      <c r="B40" s="371"/>
      <c r="C40" s="375"/>
      <c r="D40" s="376"/>
      <c r="E40" s="99"/>
      <c r="F40" s="99"/>
      <c r="G40" s="99"/>
      <c r="H40" s="99"/>
      <c r="I40" s="99"/>
      <c r="J40" s="99"/>
      <c r="K40" s="90"/>
      <c r="L40" s="187"/>
      <c r="M40" s="90"/>
      <c r="N40" s="187"/>
      <c r="O40" s="90"/>
      <c r="P40" s="90"/>
      <c r="Q40" s="90"/>
      <c r="R40" s="89"/>
      <c r="S40" s="89"/>
      <c r="T40" s="89"/>
      <c r="U40" s="89"/>
    </row>
    <row r="41" spans="1:21" ht="14.5" customHeight="1" x14ac:dyDescent="0.35">
      <c r="A41" s="1"/>
      <c r="B41" s="371"/>
      <c r="C41" s="375"/>
      <c r="D41" s="376"/>
      <c r="E41" s="99"/>
      <c r="F41" s="99"/>
      <c r="G41" s="99"/>
      <c r="H41" s="99"/>
      <c r="I41" s="99"/>
      <c r="J41" s="99"/>
      <c r="K41" s="90"/>
      <c r="L41" s="187"/>
      <c r="M41" s="90"/>
      <c r="N41" s="187"/>
      <c r="O41" s="90"/>
      <c r="P41" s="90"/>
      <c r="Q41" s="90"/>
      <c r="R41" s="89"/>
      <c r="S41" s="89"/>
      <c r="T41" s="89"/>
      <c r="U41" s="89"/>
    </row>
    <row r="42" spans="1:21" ht="14.5" customHeight="1" x14ac:dyDescent="0.35">
      <c r="A42" s="1"/>
      <c r="B42" s="372"/>
      <c r="C42" s="377"/>
      <c r="D42" s="378"/>
      <c r="E42" s="99"/>
      <c r="F42" s="99"/>
      <c r="G42" s="99"/>
      <c r="H42" s="99"/>
      <c r="I42" s="99"/>
      <c r="J42" s="99"/>
      <c r="K42" s="90"/>
      <c r="L42" s="187"/>
      <c r="M42" s="90"/>
      <c r="N42" s="187"/>
      <c r="O42" s="90"/>
      <c r="P42" s="90"/>
      <c r="Q42" s="90"/>
      <c r="R42" s="89"/>
      <c r="S42" s="89"/>
      <c r="T42" s="89"/>
      <c r="U42" s="89"/>
    </row>
    <row r="43" spans="1:21" ht="14.5" customHeight="1" x14ac:dyDescent="0.35">
      <c r="A43" s="1"/>
      <c r="B43" s="65"/>
      <c r="C43" s="1"/>
      <c r="D43" s="1"/>
      <c r="E43" s="1"/>
      <c r="F43" s="1"/>
      <c r="G43" s="1"/>
      <c r="H43" s="1"/>
      <c r="I43" s="1"/>
      <c r="J43" s="1"/>
      <c r="K43" s="90"/>
      <c r="L43" s="187"/>
      <c r="M43" s="90"/>
      <c r="N43" s="187"/>
      <c r="O43" s="90"/>
      <c r="P43" s="90"/>
      <c r="Q43" s="90"/>
      <c r="R43" s="89"/>
      <c r="S43" s="89"/>
      <c r="T43" s="89"/>
      <c r="U43" s="89"/>
    </row>
    <row r="44" spans="1:21" ht="23.5" x14ac:dyDescent="0.55000000000000004">
      <c r="A44" s="1"/>
      <c r="B44" s="379" t="s">
        <v>102</v>
      </c>
      <c r="C44" s="379"/>
      <c r="D44" s="1"/>
      <c r="E44" s="1"/>
      <c r="F44" s="1"/>
      <c r="G44" s="1"/>
      <c r="H44" s="1"/>
      <c r="I44" s="1"/>
      <c r="J44" s="1"/>
      <c r="K44" s="90"/>
      <c r="L44" s="187"/>
      <c r="M44" s="90"/>
      <c r="N44" s="187"/>
      <c r="O44" s="90"/>
      <c r="P44" s="90"/>
      <c r="Q44" s="90"/>
      <c r="R44" s="89"/>
      <c r="S44" s="89"/>
      <c r="T44" s="89"/>
      <c r="U44" s="89"/>
    </row>
    <row r="45" spans="1:21" ht="23.5" x14ac:dyDescent="0.55000000000000004">
      <c r="A45" s="1"/>
      <c r="B45" s="72" t="s">
        <v>103</v>
      </c>
      <c r="C45" s="70"/>
      <c r="D45" s="1"/>
      <c r="E45" s="1"/>
      <c r="F45" s="1"/>
      <c r="G45" s="1"/>
      <c r="H45" s="1"/>
      <c r="I45" s="1"/>
      <c r="J45" s="1"/>
      <c r="K45" s="1"/>
      <c r="L45" s="130"/>
      <c r="M45" s="130"/>
      <c r="N45" s="130"/>
      <c r="O45" s="1"/>
      <c r="P45" s="1"/>
      <c r="Q45" s="1"/>
      <c r="R45" s="131"/>
      <c r="S45" s="131"/>
      <c r="T45" s="131"/>
      <c r="U45" s="131"/>
    </row>
    <row r="46" spans="1:21" x14ac:dyDescent="0.35">
      <c r="A46" s="1"/>
      <c r="B46" s="1"/>
      <c r="C46" s="188"/>
      <c r="D46" s="1"/>
      <c r="E46" s="1"/>
      <c r="F46" s="1"/>
      <c r="G46" s="1"/>
      <c r="H46" s="1"/>
      <c r="I46" s="188"/>
      <c r="J46" s="1"/>
      <c r="K46" s="1"/>
      <c r="L46" s="1"/>
      <c r="M46" s="1"/>
      <c r="N46" s="1"/>
      <c r="O46" s="1"/>
      <c r="P46" s="1"/>
      <c r="Q46" s="1"/>
      <c r="R46" s="131"/>
      <c r="S46" s="131"/>
      <c r="T46" s="131"/>
      <c r="U46" s="131"/>
    </row>
    <row r="47" spans="1:21" ht="21" x14ac:dyDescent="0.5">
      <c r="A47" s="1"/>
      <c r="B47" s="356" t="s">
        <v>104</v>
      </c>
      <c r="C47" s="357"/>
      <c r="D47" s="357"/>
      <c r="E47" s="357"/>
      <c r="F47" s="357"/>
      <c r="G47" s="357"/>
      <c r="H47" s="380"/>
      <c r="I47" s="356" t="s">
        <v>105</v>
      </c>
      <c r="J47" s="380"/>
      <c r="K47" s="1"/>
      <c r="L47" s="1"/>
      <c r="M47" s="1"/>
      <c r="N47" s="1"/>
      <c r="O47" s="1"/>
      <c r="P47" s="1"/>
      <c r="Q47" s="1"/>
      <c r="T47" s="131"/>
      <c r="U47" s="131"/>
    </row>
    <row r="48" spans="1:21" ht="15.5" x14ac:dyDescent="0.35">
      <c r="A48" s="1"/>
      <c r="B48" s="114"/>
      <c r="C48" s="101"/>
      <c r="D48" s="102" t="s">
        <v>106</v>
      </c>
      <c r="E48" s="102" t="s">
        <v>107</v>
      </c>
      <c r="F48" s="103"/>
      <c r="G48" s="103"/>
      <c r="H48" s="103"/>
      <c r="I48" s="104"/>
      <c r="J48" s="105"/>
      <c r="K48" s="1"/>
      <c r="L48" s="1"/>
      <c r="M48" s="1"/>
      <c r="N48" s="1"/>
      <c r="O48" s="1"/>
      <c r="P48" s="1"/>
      <c r="Q48" s="1"/>
      <c r="T48" s="131"/>
      <c r="U48" s="131"/>
    </row>
    <row r="49" spans="1:21" x14ac:dyDescent="0.35">
      <c r="A49" s="1"/>
      <c r="B49" s="405" t="s">
        <v>108</v>
      </c>
      <c r="C49" s="406"/>
      <c r="D49" s="108">
        <f>D101*C67/1000</f>
        <v>6</v>
      </c>
      <c r="E49" s="108">
        <f>E101*C67/1000</f>
        <v>11</v>
      </c>
      <c r="F49" s="109" t="s">
        <v>156</v>
      </c>
      <c r="G49" s="103"/>
      <c r="H49" s="103"/>
      <c r="I49" s="106" t="s">
        <v>157</v>
      </c>
      <c r="J49" s="189">
        <f>D84*J67/D85</f>
        <v>17.463473454545454</v>
      </c>
      <c r="K49" s="1"/>
      <c r="L49" s="1"/>
      <c r="M49" s="1"/>
      <c r="N49" s="1"/>
      <c r="O49" s="1"/>
      <c r="P49" s="1"/>
      <c r="Q49" s="1"/>
      <c r="T49" s="131"/>
      <c r="U49" s="131"/>
    </row>
    <row r="50" spans="1:21" x14ac:dyDescent="0.35">
      <c r="A50" s="1"/>
      <c r="B50" s="114"/>
      <c r="C50" s="255" t="s">
        <v>111</v>
      </c>
      <c r="D50" s="102">
        <f>IF(C67=0,0,IF(ROUNDUP(C67/1000,0)=1,D98*ROUNDUP(C67/1000,0),D98+D99*(ROUNDUP(C67/1000,0)-1)))</f>
        <v>1</v>
      </c>
      <c r="E50" s="102">
        <f>IF(C67=0,0,IF(C67&lt;1000,E98*ROUNDUP(C67/1000,0),ROUNDUP(E98+E99*(C67-1000)/1000,0)))</f>
        <v>1</v>
      </c>
      <c r="F50" s="109" t="s">
        <v>158</v>
      </c>
      <c r="G50" s="103"/>
      <c r="H50" s="103"/>
      <c r="I50" s="106" t="s">
        <v>159</v>
      </c>
      <c r="J50" s="190">
        <f>C67-(J49*D88)</f>
        <v>179.91700552727272</v>
      </c>
      <c r="K50" s="1"/>
      <c r="L50" s="1"/>
      <c r="M50" s="1"/>
      <c r="N50" s="1"/>
      <c r="O50" s="1"/>
      <c r="P50" s="1"/>
      <c r="Q50" s="1"/>
      <c r="T50" s="131"/>
      <c r="U50" s="131"/>
    </row>
    <row r="51" spans="1:21" x14ac:dyDescent="0.35">
      <c r="A51" s="1"/>
      <c r="B51" s="191"/>
      <c r="C51" s="107" t="s">
        <v>160</v>
      </c>
      <c r="D51" s="102">
        <f>IFERROR(VLOOKUP("Water",B16:C26,2,FALSE),0)</f>
        <v>0</v>
      </c>
      <c r="E51" s="109"/>
      <c r="F51" s="109" t="s">
        <v>161</v>
      </c>
      <c r="G51" s="103"/>
      <c r="H51" s="103"/>
      <c r="I51" s="106"/>
      <c r="J51" s="190"/>
      <c r="K51" s="1"/>
      <c r="L51" s="1"/>
      <c r="M51" s="1"/>
      <c r="N51" s="1"/>
      <c r="O51" s="1"/>
      <c r="P51" s="1"/>
      <c r="Q51" s="1"/>
      <c r="T51" s="131"/>
      <c r="U51" s="131"/>
    </row>
    <row r="52" spans="1:21" ht="15" thickBot="1" x14ac:dyDescent="0.4">
      <c r="A52" s="1"/>
      <c r="B52" s="114"/>
      <c r="C52" s="103"/>
      <c r="D52" s="103"/>
      <c r="E52" s="103"/>
      <c r="F52" s="103"/>
      <c r="G52" s="103"/>
      <c r="H52" s="103"/>
      <c r="I52" s="106"/>
      <c r="J52" s="190"/>
      <c r="K52" s="1"/>
      <c r="L52" s="1"/>
      <c r="M52" s="1"/>
      <c r="N52" s="1"/>
      <c r="O52" s="1"/>
      <c r="P52" s="1"/>
      <c r="Q52" s="1"/>
      <c r="T52" s="131"/>
      <c r="U52" s="131"/>
    </row>
    <row r="53" spans="1:21" ht="21" x14ac:dyDescent="0.5">
      <c r="A53" s="1"/>
      <c r="B53" s="356" t="s">
        <v>115</v>
      </c>
      <c r="C53" s="357"/>
      <c r="D53" s="357"/>
      <c r="E53" s="357"/>
      <c r="F53" s="357"/>
      <c r="G53" s="357"/>
      <c r="H53" s="380"/>
      <c r="I53" s="356" t="s">
        <v>162</v>
      </c>
      <c r="J53" s="380"/>
      <c r="K53" s="1"/>
      <c r="L53" s="1"/>
      <c r="M53" s="1"/>
      <c r="N53" s="1"/>
      <c r="O53" s="1"/>
      <c r="P53" s="1"/>
      <c r="Q53" s="1"/>
      <c r="T53" s="131"/>
      <c r="U53" s="131"/>
    </row>
    <row r="54" spans="1:21" x14ac:dyDescent="0.35">
      <c r="A54" s="1"/>
      <c r="B54" s="114"/>
      <c r="C54" s="103"/>
      <c r="D54" s="103"/>
      <c r="E54" s="103"/>
      <c r="F54" s="103"/>
      <c r="G54" s="103"/>
      <c r="H54" s="103"/>
      <c r="I54" s="106"/>
      <c r="J54" s="193"/>
      <c r="K54" s="1"/>
      <c r="L54" s="1"/>
      <c r="M54" s="1"/>
      <c r="N54" s="1"/>
      <c r="O54" s="1"/>
      <c r="P54" s="1"/>
      <c r="Q54" s="1"/>
      <c r="T54" s="131"/>
      <c r="U54" s="131"/>
    </row>
    <row r="55" spans="1:21" x14ac:dyDescent="0.35">
      <c r="A55" s="1"/>
      <c r="B55" s="407" t="s">
        <v>163</v>
      </c>
      <c r="C55" s="408"/>
      <c r="D55" s="113">
        <f>C67/D86*D87</f>
        <v>6000</v>
      </c>
      <c r="E55" s="103"/>
      <c r="F55" s="109" t="s">
        <v>164</v>
      </c>
      <c r="G55" s="103"/>
      <c r="H55" s="103"/>
      <c r="I55" s="112" t="s">
        <v>165</v>
      </c>
      <c r="J55" s="194">
        <f>J49*1000/D93</f>
        <v>53.733764475524481</v>
      </c>
      <c r="K55" s="1"/>
      <c r="L55" s="1"/>
      <c r="M55" s="1"/>
      <c r="N55" s="1"/>
      <c r="O55" s="1"/>
      <c r="P55" s="1"/>
      <c r="Q55" s="1"/>
      <c r="T55" s="131"/>
      <c r="U55" s="131"/>
    </row>
    <row r="56" spans="1:21" x14ac:dyDescent="0.35">
      <c r="A56" s="1"/>
      <c r="B56" s="409"/>
      <c r="C56" s="410"/>
      <c r="D56" s="102" t="s">
        <v>106</v>
      </c>
      <c r="E56" s="102" t="s">
        <v>107</v>
      </c>
      <c r="F56" s="103"/>
      <c r="G56" s="103"/>
      <c r="H56" s="103"/>
      <c r="I56" s="118" t="s">
        <v>166</v>
      </c>
      <c r="J56" s="194">
        <f>J55/5</f>
        <v>10.746752895104896</v>
      </c>
      <c r="K56" s="1"/>
      <c r="L56" s="1"/>
      <c r="M56" s="1"/>
      <c r="N56" s="1"/>
      <c r="O56" s="1"/>
      <c r="P56" s="1"/>
      <c r="Q56" s="1"/>
      <c r="T56" s="131"/>
      <c r="U56" s="131"/>
    </row>
    <row r="57" spans="1:21" x14ac:dyDescent="0.35">
      <c r="A57" s="1"/>
      <c r="B57" s="399" t="s">
        <v>167</v>
      </c>
      <c r="C57" s="400"/>
      <c r="D57" s="363">
        <f>D100*C67/1000</f>
        <v>20</v>
      </c>
      <c r="E57" s="363">
        <f>E100*C67/1000</f>
        <v>106</v>
      </c>
      <c r="F57" s="368" t="s">
        <v>168</v>
      </c>
      <c r="G57" s="368"/>
      <c r="H57" s="368"/>
      <c r="I57" s="118" t="s">
        <v>169</v>
      </c>
      <c r="J57" s="195">
        <f>J49*1000/D55</f>
        <v>2.9105789090909093</v>
      </c>
      <c r="K57" s="1"/>
      <c r="L57" s="1"/>
      <c r="M57" s="1"/>
      <c r="N57" s="1"/>
      <c r="O57" s="1"/>
      <c r="P57" s="1"/>
      <c r="Q57" s="1"/>
      <c r="T57" s="131"/>
      <c r="U57" s="131"/>
    </row>
    <row r="58" spans="1:21" ht="29.5" customHeight="1" x14ac:dyDescent="0.35">
      <c r="A58" s="1"/>
      <c r="B58" s="401"/>
      <c r="C58" s="402"/>
      <c r="D58" s="403"/>
      <c r="E58" s="403"/>
      <c r="F58" s="404"/>
      <c r="G58" s="404"/>
      <c r="H58" s="404"/>
      <c r="I58" s="124"/>
      <c r="J58" s="125"/>
      <c r="K58" s="1"/>
      <c r="L58" s="1"/>
      <c r="M58" s="1"/>
      <c r="N58" s="1"/>
      <c r="O58" s="1"/>
      <c r="P58" s="1"/>
      <c r="Q58" s="1"/>
      <c r="T58" s="131"/>
      <c r="U58" s="131"/>
    </row>
    <row r="59" spans="1:21" s="126" customFormat="1" x14ac:dyDescent="0.35">
      <c r="I59" s="196"/>
      <c r="J59" s="197"/>
      <c r="N59" s="198"/>
      <c r="R59" s="199"/>
      <c r="S59" s="199"/>
      <c r="T59" s="199"/>
      <c r="U59" s="199"/>
    </row>
    <row r="60" spans="1:21" ht="21.5" thickBot="1" x14ac:dyDescent="0.55000000000000004">
      <c r="A60" s="1"/>
      <c r="B60" s="358"/>
      <c r="C60" s="358"/>
      <c r="D60" s="358"/>
      <c r="E60" s="358"/>
      <c r="F60" s="358"/>
      <c r="G60" s="129"/>
      <c r="H60" s="129"/>
      <c r="I60" s="200"/>
      <c r="J60" s="201"/>
      <c r="K60" s="1"/>
      <c r="L60" s="1"/>
      <c r="M60" s="1"/>
      <c r="N60" s="130"/>
      <c r="O60" s="1"/>
      <c r="P60" s="1"/>
      <c r="Q60" s="1"/>
      <c r="R60" s="131"/>
      <c r="S60" s="131"/>
      <c r="T60" s="131"/>
      <c r="U60" s="131"/>
    </row>
    <row r="61" spans="1:21" ht="21.5" thickBot="1" x14ac:dyDescent="0.4">
      <c r="A61" s="1"/>
      <c r="B61" s="365" t="s">
        <v>263</v>
      </c>
      <c r="C61" s="366"/>
      <c r="D61" s="366"/>
      <c r="E61" s="366"/>
      <c r="F61" s="366"/>
      <c r="G61" s="275"/>
      <c r="H61" s="276" t="s">
        <v>264</v>
      </c>
      <c r="I61" s="200"/>
      <c r="J61" s="201"/>
      <c r="K61" s="1"/>
      <c r="L61" s="1"/>
      <c r="M61" s="1"/>
      <c r="N61" s="130"/>
      <c r="O61" s="1"/>
      <c r="P61" s="1"/>
      <c r="Q61" s="1"/>
      <c r="R61" s="131"/>
      <c r="S61" s="131"/>
      <c r="T61" s="131"/>
      <c r="U61" s="131"/>
    </row>
    <row r="62" spans="1:21" x14ac:dyDescent="0.35">
      <c r="A62" s="1"/>
      <c r="B62" s="1"/>
      <c r="C62" s="1"/>
      <c r="D62" s="1"/>
      <c r="E62" s="1"/>
      <c r="F62" s="1"/>
      <c r="G62" s="1"/>
      <c r="H62" s="1"/>
      <c r="I62" s="200"/>
      <c r="J62" s="201"/>
      <c r="K62" s="1"/>
      <c r="L62" s="1"/>
      <c r="M62" s="1"/>
      <c r="N62" s="130"/>
      <c r="O62" s="1"/>
      <c r="P62" s="1"/>
      <c r="Q62" s="1"/>
      <c r="R62" s="131"/>
      <c r="S62" s="131"/>
      <c r="T62" s="131"/>
      <c r="U62" s="131"/>
    </row>
    <row r="63" spans="1:21" ht="21" x14ac:dyDescent="0.5">
      <c r="A63" s="1"/>
      <c r="B63" s="367" t="s">
        <v>284</v>
      </c>
      <c r="C63" s="367"/>
      <c r="D63" s="367"/>
      <c r="E63" s="367"/>
      <c r="F63" s="367"/>
      <c r="G63" s="367"/>
      <c r="H63" s="367"/>
      <c r="I63" s="200"/>
      <c r="J63" s="201"/>
      <c r="K63" s="1"/>
      <c r="L63" s="1"/>
      <c r="M63" s="1"/>
      <c r="N63" s="130"/>
      <c r="O63" s="1"/>
      <c r="P63" s="1"/>
      <c r="Q63" s="1"/>
      <c r="R63" s="131"/>
      <c r="S63" s="131"/>
      <c r="T63" s="131"/>
      <c r="U63" s="131"/>
    </row>
    <row r="64" spans="1:21" ht="15" thickBot="1" x14ac:dyDescent="0.4">
      <c r="A64" s="1"/>
      <c r="B64" s="1"/>
      <c r="C64" s="1"/>
      <c r="D64" s="1"/>
      <c r="E64" s="1"/>
      <c r="F64" s="1"/>
      <c r="G64" s="1"/>
      <c r="H64" s="1"/>
      <c r="I64" s="200"/>
      <c r="J64" s="201"/>
      <c r="K64" s="1"/>
      <c r="L64" s="1"/>
      <c r="M64" s="1"/>
      <c r="N64" s="130"/>
      <c r="O64" s="1"/>
      <c r="P64" s="1"/>
      <c r="Q64" s="1"/>
      <c r="R64" s="131"/>
      <c r="S64" s="131"/>
      <c r="T64" s="131"/>
      <c r="U64" s="131"/>
    </row>
    <row r="65" spans="1:21" x14ac:dyDescent="0.35">
      <c r="A65" s="1"/>
      <c r="B65" s="150"/>
      <c r="C65" s="202"/>
      <c r="D65" s="202" t="s">
        <v>87</v>
      </c>
      <c r="E65" s="202" t="s">
        <v>88</v>
      </c>
      <c r="F65" s="202" t="s">
        <v>170</v>
      </c>
      <c r="G65" s="202"/>
      <c r="H65" s="202" t="s">
        <v>171</v>
      </c>
      <c r="I65" s="202" t="s">
        <v>172</v>
      </c>
      <c r="J65" s="202" t="s">
        <v>71</v>
      </c>
      <c r="K65" s="203"/>
      <c r="L65" s="1"/>
      <c r="M65" s="1"/>
      <c r="N65" s="1"/>
      <c r="O65" s="1"/>
      <c r="P65" s="1"/>
      <c r="Q65" s="1"/>
      <c r="R65" s="131"/>
      <c r="S65" s="131"/>
      <c r="T65" s="131"/>
      <c r="U65" s="131"/>
    </row>
    <row r="66" spans="1:21" x14ac:dyDescent="0.35">
      <c r="A66" s="1"/>
      <c r="B66" s="134"/>
      <c r="C66" s="42" t="s">
        <v>68</v>
      </c>
      <c r="D66" s="42" t="s">
        <v>90</v>
      </c>
      <c r="E66" s="42" t="s">
        <v>91</v>
      </c>
      <c r="F66" s="42" t="s">
        <v>173</v>
      </c>
      <c r="G66" s="42"/>
      <c r="H66" s="42" t="s">
        <v>174</v>
      </c>
      <c r="I66" s="42" t="s">
        <v>80</v>
      </c>
      <c r="J66" s="42" t="s">
        <v>81</v>
      </c>
      <c r="K66" s="135" t="s">
        <v>30</v>
      </c>
      <c r="L66" s="1"/>
      <c r="M66" s="1"/>
      <c r="N66" s="1"/>
      <c r="O66" s="130"/>
      <c r="P66" s="1"/>
      <c r="Q66" s="1"/>
      <c r="R66" s="131"/>
      <c r="S66" s="131"/>
      <c r="T66" s="131"/>
      <c r="U66" s="131"/>
    </row>
    <row r="67" spans="1:21" x14ac:dyDescent="0.35">
      <c r="A67" s="1"/>
      <c r="B67" s="57" t="s">
        <v>92</v>
      </c>
      <c r="C67" s="204">
        <f>SUM(C16:C26)</f>
        <v>200</v>
      </c>
      <c r="D67" s="205">
        <f>SUM(V16:V26)/C67</f>
        <v>0.77</v>
      </c>
      <c r="E67" s="205">
        <f>SUM(W16:W26)/C67</f>
        <v>0.23</v>
      </c>
      <c r="F67" s="205">
        <f>SUM(X16:X26)/D67</f>
        <v>31.674285714285713</v>
      </c>
      <c r="G67" s="205"/>
      <c r="H67" s="49"/>
      <c r="I67" s="206">
        <f>SUM(P16:P26)</f>
        <v>44.344000000000001</v>
      </c>
      <c r="J67" s="206">
        <f>SUM(R16:R26)</f>
        <v>16.008184</v>
      </c>
      <c r="K67" s="207">
        <f>SUM(X16:X26)/SUM(Y16:Y26)</f>
        <v>24.389199999999992</v>
      </c>
      <c r="L67" s="1"/>
      <c r="M67" s="1"/>
      <c r="N67" s="1"/>
      <c r="O67" s="130"/>
      <c r="P67" s="1"/>
      <c r="Q67" s="1"/>
      <c r="R67" s="131"/>
      <c r="S67" s="131"/>
      <c r="T67" s="131"/>
      <c r="U67" s="131"/>
    </row>
    <row r="68" spans="1:21" x14ac:dyDescent="0.35">
      <c r="A68" s="1"/>
      <c r="B68" s="65"/>
      <c r="C68" s="1"/>
      <c r="D68" s="1"/>
      <c r="E68" s="1"/>
      <c r="F68" s="1"/>
      <c r="G68" s="1"/>
      <c r="H68" s="1"/>
      <c r="I68" s="1"/>
      <c r="J68" s="1"/>
      <c r="K68" s="1"/>
      <c r="L68" s="130"/>
      <c r="M68" s="130"/>
      <c r="N68" s="130"/>
      <c r="O68" s="130"/>
      <c r="P68" s="1"/>
      <c r="Q68" s="1"/>
      <c r="R68" s="131"/>
      <c r="S68" s="131"/>
      <c r="T68" s="131"/>
      <c r="U68" s="131"/>
    </row>
    <row r="69" spans="1:21" ht="15.5" x14ac:dyDescent="0.35">
      <c r="A69" s="1"/>
      <c r="B69" s="150"/>
      <c r="C69" s="151" t="s">
        <v>122</v>
      </c>
      <c r="D69" s="152"/>
      <c r="E69" s="153"/>
      <c r="F69" s="152"/>
      <c r="G69" s="152"/>
      <c r="H69" s="152"/>
      <c r="I69" s="152"/>
      <c r="J69" s="152"/>
      <c r="K69" s="152"/>
      <c r="L69" s="152"/>
      <c r="M69" s="154"/>
      <c r="N69" s="1"/>
      <c r="O69" s="130"/>
      <c r="P69" s="1"/>
      <c r="Q69" s="1"/>
    </row>
    <row r="70" spans="1:21" ht="15.5" x14ac:dyDescent="0.35">
      <c r="A70" s="1"/>
      <c r="B70" s="134"/>
      <c r="C70" s="208" t="s">
        <v>175</v>
      </c>
      <c r="D70" s="141"/>
      <c r="E70" s="156"/>
      <c r="F70" s="141"/>
      <c r="G70" s="141"/>
      <c r="H70" s="141"/>
      <c r="I70" s="141"/>
      <c r="J70" s="141"/>
      <c r="K70" s="141"/>
      <c r="L70" s="141"/>
      <c r="M70" s="142"/>
      <c r="N70" s="1"/>
      <c r="O70" s="130"/>
      <c r="P70" s="1"/>
      <c r="Q70" s="1"/>
    </row>
    <row r="71" spans="1:21" x14ac:dyDescent="0.35">
      <c r="A71" s="1"/>
      <c r="B71" s="134"/>
      <c r="C71" s="141"/>
      <c r="D71" s="141"/>
      <c r="E71" s="156"/>
      <c r="F71" s="141"/>
      <c r="G71" s="141"/>
      <c r="H71" s="141"/>
      <c r="I71" s="141"/>
      <c r="J71" s="141"/>
      <c r="K71" s="141"/>
      <c r="L71" s="141"/>
      <c r="M71" s="142"/>
      <c r="N71" s="1"/>
      <c r="O71" s="130"/>
      <c r="P71" s="1"/>
      <c r="Q71" s="1"/>
    </row>
    <row r="72" spans="1:21" x14ac:dyDescent="0.35">
      <c r="A72" s="1"/>
      <c r="B72" s="134"/>
      <c r="C72" s="156" t="s">
        <v>176</v>
      </c>
      <c r="D72" s="141"/>
      <c r="E72" s="141"/>
      <c r="F72" s="141"/>
      <c r="G72" s="141"/>
      <c r="H72" s="156" t="s">
        <v>177</v>
      </c>
      <c r="I72" s="141"/>
      <c r="J72" s="141"/>
      <c r="K72" s="141"/>
      <c r="L72" s="141"/>
      <c r="M72" s="142"/>
      <c r="N72" s="1"/>
      <c r="O72" s="130"/>
      <c r="P72" s="209"/>
      <c r="Q72" s="1"/>
    </row>
    <row r="73" spans="1:21" x14ac:dyDescent="0.35">
      <c r="A73" s="1"/>
      <c r="B73" s="134"/>
      <c r="C73" s="157"/>
      <c r="D73" s="148"/>
      <c r="E73" s="141"/>
      <c r="F73" s="141"/>
      <c r="G73" s="141"/>
      <c r="H73" s="141"/>
      <c r="I73" s="141"/>
      <c r="J73" s="141"/>
      <c r="K73" s="141"/>
      <c r="L73" s="141"/>
      <c r="M73" s="142"/>
      <c r="N73" s="1"/>
      <c r="O73" s="1"/>
      <c r="P73" s="1"/>
      <c r="Q73" s="1"/>
    </row>
    <row r="74" spans="1:21" x14ac:dyDescent="0.35">
      <c r="A74" s="1"/>
      <c r="B74" s="134"/>
      <c r="C74" s="141"/>
      <c r="D74" s="42" t="s">
        <v>127</v>
      </c>
      <c r="E74" s="42" t="s">
        <v>128</v>
      </c>
      <c r="F74" s="141"/>
      <c r="G74" s="141"/>
      <c r="H74" s="141"/>
      <c r="I74" s="141"/>
      <c r="J74" s="141"/>
      <c r="K74" s="141"/>
      <c r="L74" s="141"/>
      <c r="M74" s="142"/>
      <c r="N74" s="1"/>
      <c r="O74" s="1"/>
      <c r="P74" s="1"/>
      <c r="Q74" s="1"/>
    </row>
    <row r="75" spans="1:21" x14ac:dyDescent="0.35">
      <c r="A75" s="1"/>
      <c r="B75" s="134"/>
      <c r="C75" s="141" t="s">
        <v>178</v>
      </c>
      <c r="D75" s="158">
        <v>0.05</v>
      </c>
      <c r="E75" s="158">
        <v>0.15</v>
      </c>
      <c r="F75" s="141"/>
      <c r="G75" s="141"/>
      <c r="H75" s="141" t="s">
        <v>179</v>
      </c>
      <c r="I75" s="141"/>
      <c r="J75" s="141"/>
      <c r="K75" s="141"/>
      <c r="L75" s="141"/>
      <c r="M75" s="142"/>
      <c r="N75" s="1"/>
      <c r="O75" s="1"/>
      <c r="P75" s="1"/>
      <c r="Q75" s="1"/>
    </row>
    <row r="76" spans="1:21" x14ac:dyDescent="0.35">
      <c r="A76" s="1"/>
      <c r="B76" s="134"/>
      <c r="C76" s="141" t="s">
        <v>131</v>
      </c>
      <c r="D76" s="158">
        <v>16</v>
      </c>
      <c r="E76" s="158">
        <v>35</v>
      </c>
      <c r="F76" s="141"/>
      <c r="G76" s="141"/>
      <c r="H76" s="141" t="s">
        <v>180</v>
      </c>
      <c r="I76" s="141"/>
      <c r="J76" s="141"/>
      <c r="K76" s="141"/>
      <c r="L76" s="141"/>
      <c r="M76" s="142"/>
      <c r="N76" s="1"/>
      <c r="O76" s="1"/>
      <c r="P76" s="1"/>
      <c r="Q76" s="1"/>
    </row>
    <row r="77" spans="1:21" x14ac:dyDescent="0.35">
      <c r="A77" s="1"/>
      <c r="B77" s="134"/>
      <c r="C77" s="141" t="s">
        <v>132</v>
      </c>
      <c r="D77" s="158">
        <v>11</v>
      </c>
      <c r="E77" s="158">
        <v>40</v>
      </c>
      <c r="F77" s="141"/>
      <c r="G77" s="141"/>
      <c r="H77" s="161" t="s">
        <v>181</v>
      </c>
      <c r="I77" s="141"/>
      <c r="J77" s="141"/>
      <c r="K77" s="141"/>
      <c r="L77" s="141"/>
      <c r="M77" s="142"/>
      <c r="N77" s="1"/>
      <c r="O77" s="1"/>
      <c r="P77" s="1"/>
      <c r="Q77" s="1"/>
    </row>
    <row r="78" spans="1:21" x14ac:dyDescent="0.35">
      <c r="A78" s="1"/>
      <c r="B78" s="134"/>
      <c r="C78" s="141"/>
      <c r="D78" s="42"/>
      <c r="E78" s="42"/>
      <c r="F78" s="141"/>
      <c r="G78" s="141"/>
      <c r="H78" s="141"/>
      <c r="I78" s="141"/>
      <c r="J78" s="141"/>
      <c r="K78" s="141"/>
      <c r="L78" s="141"/>
      <c r="M78" s="142"/>
      <c r="N78" s="1"/>
      <c r="O78" s="1"/>
      <c r="P78" s="1"/>
      <c r="Q78" s="1"/>
    </row>
    <row r="79" spans="1:21" ht="14.5" customHeight="1" x14ac:dyDescent="0.35">
      <c r="A79" s="1"/>
      <c r="B79" s="134"/>
      <c r="C79" s="141" t="s">
        <v>134</v>
      </c>
      <c r="D79" s="42">
        <v>6.7</v>
      </c>
      <c r="E79" s="42">
        <v>7.5</v>
      </c>
      <c r="F79" s="141"/>
      <c r="G79" s="141"/>
      <c r="H79" s="396" t="s">
        <v>182</v>
      </c>
      <c r="I79" s="396"/>
      <c r="J79" s="396"/>
      <c r="K79" s="396"/>
      <c r="L79" s="396"/>
      <c r="M79" s="397"/>
      <c r="N79" s="1"/>
      <c r="O79" s="1"/>
      <c r="P79" s="1"/>
      <c r="Q79" s="1"/>
    </row>
    <row r="80" spans="1:21" ht="14.5" customHeight="1" x14ac:dyDescent="0.35">
      <c r="A80" s="1"/>
      <c r="B80" s="134"/>
      <c r="C80" s="141" t="s">
        <v>135</v>
      </c>
      <c r="D80" s="42">
        <v>15</v>
      </c>
      <c r="E80" s="42">
        <v>40</v>
      </c>
      <c r="F80" s="161"/>
      <c r="G80" s="161"/>
      <c r="H80" s="359" t="s">
        <v>183</v>
      </c>
      <c r="I80" s="359"/>
      <c r="J80" s="210"/>
      <c r="K80" s="210"/>
      <c r="L80" s="210"/>
      <c r="M80" s="211"/>
      <c r="N80" s="1"/>
      <c r="O80" s="1"/>
      <c r="P80" s="1"/>
      <c r="Q80" s="1"/>
    </row>
    <row r="81" spans="1:17" x14ac:dyDescent="0.35">
      <c r="A81" s="1"/>
      <c r="B81" s="134"/>
      <c r="C81" s="141"/>
      <c r="D81" s="141"/>
      <c r="E81" s="141"/>
      <c r="F81" s="141"/>
      <c r="G81" s="141"/>
      <c r="H81" s="141"/>
      <c r="I81" s="141"/>
      <c r="J81" s="141"/>
      <c r="K81" s="141"/>
      <c r="L81" s="141"/>
      <c r="M81" s="142"/>
      <c r="N81" s="1"/>
      <c r="O81" s="1"/>
      <c r="P81" s="1"/>
      <c r="Q81" s="1"/>
    </row>
    <row r="82" spans="1:17" x14ac:dyDescent="0.35">
      <c r="A82" s="1"/>
      <c r="B82" s="134"/>
      <c r="C82" s="156" t="s">
        <v>184</v>
      </c>
      <c r="D82" s="141"/>
      <c r="E82" s="141"/>
      <c r="F82" s="141"/>
      <c r="G82" s="141"/>
      <c r="H82" s="141"/>
      <c r="I82" s="141"/>
      <c r="J82" s="141"/>
      <c r="K82" s="141"/>
      <c r="L82" s="141"/>
      <c r="M82" s="142"/>
      <c r="N82" s="1"/>
      <c r="O82" s="1"/>
      <c r="P82" s="1"/>
      <c r="Q82" s="1"/>
    </row>
    <row r="83" spans="1:17" x14ac:dyDescent="0.35">
      <c r="A83" s="1"/>
      <c r="B83" s="134"/>
      <c r="C83" s="141"/>
      <c r="D83" s="141"/>
      <c r="E83" s="141"/>
      <c r="F83" s="141"/>
      <c r="G83" s="141"/>
      <c r="H83" s="141"/>
      <c r="I83" s="141"/>
      <c r="J83" s="141"/>
      <c r="K83" s="141"/>
      <c r="L83" s="141"/>
      <c r="M83" s="142"/>
      <c r="N83" s="1"/>
      <c r="O83" s="1"/>
      <c r="P83" s="1"/>
      <c r="Q83" s="1"/>
    </row>
    <row r="84" spans="1:17" ht="47.25" customHeight="1" x14ac:dyDescent="0.35">
      <c r="A84" s="1"/>
      <c r="B84" s="134"/>
      <c r="C84" s="212" t="s">
        <v>185</v>
      </c>
      <c r="D84" s="213">
        <v>0.6</v>
      </c>
      <c r="E84" s="141"/>
      <c r="F84" s="141"/>
      <c r="G84" s="141"/>
      <c r="H84" s="398" t="s">
        <v>186</v>
      </c>
      <c r="I84" s="398"/>
      <c r="J84" s="398"/>
      <c r="K84" s="398"/>
      <c r="L84" s="398"/>
      <c r="M84" s="340"/>
      <c r="N84" s="1"/>
      <c r="O84" s="1"/>
      <c r="P84" s="1"/>
      <c r="Q84" s="1"/>
    </row>
    <row r="85" spans="1:17" ht="29" x14ac:dyDescent="0.35">
      <c r="A85" s="1"/>
      <c r="B85" s="134"/>
      <c r="C85" s="157" t="s">
        <v>187</v>
      </c>
      <c r="D85" s="214">
        <v>0.55000000000000004</v>
      </c>
      <c r="E85" s="141"/>
      <c r="F85" s="141"/>
      <c r="G85" s="141"/>
      <c r="H85" s="141" t="s">
        <v>188</v>
      </c>
      <c r="I85" s="141"/>
      <c r="J85" s="141"/>
      <c r="K85" s="141"/>
      <c r="L85" s="141"/>
      <c r="M85" s="142"/>
      <c r="N85" s="1"/>
      <c r="O85" s="1"/>
      <c r="P85" s="1"/>
      <c r="Q85" s="1"/>
    </row>
    <row r="86" spans="1:17" x14ac:dyDescent="0.35">
      <c r="A86" s="1"/>
      <c r="B86" s="134"/>
      <c r="C86" s="141" t="s">
        <v>189</v>
      </c>
      <c r="D86" s="214">
        <v>1</v>
      </c>
      <c r="E86" s="141"/>
      <c r="F86" s="141"/>
      <c r="G86" s="141"/>
      <c r="H86" s="141" t="s">
        <v>190</v>
      </c>
      <c r="I86" s="141"/>
      <c r="J86" s="141"/>
      <c r="K86" s="141"/>
      <c r="L86" s="141"/>
      <c r="M86" s="142"/>
      <c r="N86" s="1"/>
      <c r="O86" s="1"/>
      <c r="P86" s="1"/>
      <c r="Q86" s="1"/>
    </row>
    <row r="87" spans="1:17" x14ac:dyDescent="0.35">
      <c r="A87" s="1"/>
      <c r="B87" s="134"/>
      <c r="C87" s="141" t="s">
        <v>191</v>
      </c>
      <c r="D87" s="158">
        <v>30</v>
      </c>
      <c r="E87" s="141"/>
      <c r="F87" s="141"/>
      <c r="G87" s="141"/>
      <c r="H87" s="141" t="s">
        <v>130</v>
      </c>
      <c r="I87" s="141"/>
      <c r="J87" s="141"/>
      <c r="K87" s="141"/>
      <c r="L87" s="141"/>
      <c r="M87" s="142"/>
      <c r="N87" s="1"/>
      <c r="O87" s="1"/>
      <c r="P87" s="1"/>
      <c r="Q87" s="1"/>
    </row>
    <row r="88" spans="1:17" x14ac:dyDescent="0.35">
      <c r="A88" s="1"/>
      <c r="B88" s="134"/>
      <c r="C88" s="141" t="s">
        <v>192</v>
      </c>
      <c r="D88" s="158">
        <v>1.1499999999999999</v>
      </c>
      <c r="E88" s="141"/>
      <c r="F88" s="141"/>
      <c r="G88" s="141"/>
      <c r="H88" s="141" t="s">
        <v>193</v>
      </c>
      <c r="I88" s="141"/>
      <c r="J88" s="141"/>
      <c r="K88" s="141"/>
      <c r="L88" s="141"/>
      <c r="M88" s="142"/>
      <c r="N88" s="1"/>
      <c r="O88" s="1"/>
      <c r="P88" s="1"/>
      <c r="Q88" s="1"/>
    </row>
    <row r="89" spans="1:17" x14ac:dyDescent="0.35">
      <c r="A89" s="1"/>
      <c r="B89" s="134"/>
      <c r="C89" s="157"/>
      <c r="D89" s="141"/>
      <c r="E89" s="141"/>
      <c r="F89" s="141"/>
      <c r="G89" s="141"/>
      <c r="H89" s="141"/>
      <c r="I89" s="141"/>
      <c r="J89" s="141"/>
      <c r="K89" s="141"/>
      <c r="L89" s="141"/>
      <c r="M89" s="142"/>
      <c r="N89" s="1"/>
      <c r="O89" s="1"/>
      <c r="P89" s="1"/>
      <c r="Q89" s="1"/>
    </row>
    <row r="90" spans="1:17" x14ac:dyDescent="0.35">
      <c r="A90" s="1"/>
      <c r="B90" s="134"/>
      <c r="C90" s="157"/>
      <c r="D90" s="141"/>
      <c r="E90" s="141"/>
      <c r="F90" s="141"/>
      <c r="G90" s="141"/>
      <c r="H90" s="141"/>
      <c r="I90" s="141"/>
      <c r="J90" s="141"/>
      <c r="K90" s="141"/>
      <c r="L90" s="141"/>
      <c r="M90" s="142"/>
      <c r="N90" s="1"/>
      <c r="O90" s="1"/>
      <c r="P90" s="1"/>
      <c r="Q90" s="1"/>
    </row>
    <row r="91" spans="1:17" x14ac:dyDescent="0.35">
      <c r="A91" s="1"/>
      <c r="B91" s="134"/>
      <c r="C91" s="215" t="s">
        <v>194</v>
      </c>
      <c r="D91" s="141"/>
      <c r="E91" s="141"/>
      <c r="F91" s="141"/>
      <c r="G91" s="141"/>
      <c r="H91" s="141"/>
      <c r="I91" s="141"/>
      <c r="J91" s="141"/>
      <c r="K91" s="141"/>
      <c r="L91" s="141"/>
      <c r="M91" s="142"/>
      <c r="N91" s="1"/>
      <c r="O91" s="1"/>
      <c r="P91" s="1"/>
      <c r="Q91" s="1"/>
    </row>
    <row r="92" spans="1:17" x14ac:dyDescent="0.35">
      <c r="A92" s="1"/>
      <c r="B92" s="134"/>
      <c r="C92" s="157"/>
      <c r="D92" s="141"/>
      <c r="E92" s="141"/>
      <c r="F92" s="141"/>
      <c r="G92" s="141"/>
      <c r="H92" s="141"/>
      <c r="I92" s="141"/>
      <c r="J92" s="141"/>
      <c r="K92" s="141"/>
      <c r="L92" s="141"/>
      <c r="M92" s="142"/>
      <c r="N92" s="1"/>
      <c r="O92" s="1"/>
      <c r="P92" s="1"/>
      <c r="Q92" s="1"/>
    </row>
    <row r="93" spans="1:17" x14ac:dyDescent="0.35">
      <c r="A93" s="1"/>
      <c r="B93" s="134"/>
      <c r="C93" s="157" t="s">
        <v>195</v>
      </c>
      <c r="D93" s="216">
        <f>AVERAGE(200,450)</f>
        <v>325</v>
      </c>
      <c r="E93" s="165"/>
      <c r="F93" s="141"/>
      <c r="G93" s="141"/>
      <c r="H93" s="141" t="s">
        <v>196</v>
      </c>
      <c r="I93" s="141"/>
      <c r="J93" s="141"/>
      <c r="K93" s="141"/>
      <c r="L93" s="141"/>
      <c r="M93" s="142"/>
      <c r="N93" s="1"/>
      <c r="O93" s="1"/>
      <c r="P93" s="1"/>
      <c r="Q93" s="1"/>
    </row>
    <row r="94" spans="1:17" x14ac:dyDescent="0.35">
      <c r="A94" s="1"/>
      <c r="B94" s="134"/>
      <c r="C94" s="157"/>
      <c r="D94" s="165"/>
      <c r="E94" s="165"/>
      <c r="F94" s="141"/>
      <c r="G94" s="141"/>
      <c r="H94" s="141"/>
      <c r="I94" s="141"/>
      <c r="J94" s="141"/>
      <c r="K94" s="141"/>
      <c r="L94" s="141"/>
      <c r="M94" s="142"/>
      <c r="N94" s="1"/>
      <c r="O94" s="1"/>
      <c r="P94" s="1"/>
      <c r="Q94" s="1"/>
    </row>
    <row r="95" spans="1:17" x14ac:dyDescent="0.35">
      <c r="A95" s="1"/>
      <c r="B95" s="134"/>
      <c r="C95" s="215" t="s">
        <v>197</v>
      </c>
      <c r="D95" s="165"/>
      <c r="E95" s="165"/>
      <c r="F95" s="141"/>
      <c r="G95" s="141"/>
      <c r="H95" s="141"/>
      <c r="I95" s="141"/>
      <c r="J95" s="141"/>
      <c r="K95" s="141"/>
      <c r="L95" s="141"/>
      <c r="M95" s="142"/>
      <c r="N95" s="1"/>
      <c r="O95" s="1"/>
      <c r="P95" s="1"/>
      <c r="Q95" s="1"/>
    </row>
    <row r="96" spans="1:17" x14ac:dyDescent="0.35">
      <c r="A96" s="1"/>
      <c r="B96" s="134"/>
      <c r="C96" s="141"/>
      <c r="D96" s="141"/>
      <c r="E96" s="141"/>
      <c r="F96" s="141"/>
      <c r="G96" s="141"/>
      <c r="H96" s="141"/>
      <c r="I96" s="141"/>
      <c r="J96" s="141"/>
      <c r="K96" s="141"/>
      <c r="L96" s="141"/>
      <c r="M96" s="142"/>
      <c r="N96" s="1"/>
      <c r="O96" s="1"/>
      <c r="P96" s="1"/>
      <c r="Q96" s="1"/>
    </row>
    <row r="97" spans="1:17" x14ac:dyDescent="0.35">
      <c r="A97" s="1"/>
      <c r="B97" s="134"/>
      <c r="C97" s="141"/>
      <c r="D97" s="42" t="s">
        <v>106</v>
      </c>
      <c r="E97" s="42" t="s">
        <v>107</v>
      </c>
      <c r="F97" s="141"/>
      <c r="G97" s="141"/>
      <c r="H97" s="141"/>
      <c r="I97" s="141"/>
      <c r="J97" s="141"/>
      <c r="K97" s="141"/>
      <c r="L97" s="141"/>
      <c r="M97" s="142"/>
      <c r="N97" s="1"/>
      <c r="O97" s="1"/>
      <c r="P97" s="1"/>
      <c r="Q97" s="1"/>
    </row>
    <row r="98" spans="1:17" x14ac:dyDescent="0.35">
      <c r="A98" s="1"/>
      <c r="B98" s="134"/>
      <c r="C98" s="157" t="s">
        <v>146</v>
      </c>
      <c r="D98" s="158">
        <v>1</v>
      </c>
      <c r="E98" s="158">
        <v>1</v>
      </c>
      <c r="F98" s="141"/>
      <c r="G98" s="141"/>
      <c r="H98" s="141" t="s">
        <v>130</v>
      </c>
      <c r="I98" s="141"/>
      <c r="J98" s="141"/>
      <c r="K98" s="141"/>
      <c r="L98" s="141"/>
      <c r="M98" s="142"/>
      <c r="N98" s="1"/>
      <c r="O98" s="1"/>
      <c r="P98" s="1"/>
      <c r="Q98" s="1"/>
    </row>
    <row r="99" spans="1:17" ht="29" x14ac:dyDescent="0.35">
      <c r="A99" s="1"/>
      <c r="B99" s="134"/>
      <c r="C99" s="157" t="s">
        <v>147</v>
      </c>
      <c r="D99" s="158">
        <v>1</v>
      </c>
      <c r="E99" s="158">
        <v>2</v>
      </c>
      <c r="F99" s="141"/>
      <c r="G99" s="141"/>
      <c r="H99" s="217" t="s">
        <v>198</v>
      </c>
      <c r="I99" s="217"/>
      <c r="J99" s="217"/>
      <c r="K99" s="141"/>
      <c r="L99" s="141"/>
      <c r="M99" s="142"/>
      <c r="N99" s="1"/>
      <c r="O99" s="1"/>
      <c r="P99" s="1"/>
      <c r="Q99" s="1"/>
    </row>
    <row r="100" spans="1:17" ht="29" x14ac:dyDescent="0.35">
      <c r="A100" s="1"/>
      <c r="B100" s="134"/>
      <c r="C100" s="157" t="s">
        <v>148</v>
      </c>
      <c r="D100" s="218">
        <v>100</v>
      </c>
      <c r="E100" s="219">
        <v>530</v>
      </c>
      <c r="F100" s="141"/>
      <c r="G100" s="141"/>
      <c r="H100" s="141" t="s">
        <v>130</v>
      </c>
      <c r="I100" s="141"/>
      <c r="J100" s="141"/>
      <c r="K100" s="141"/>
      <c r="L100" s="141"/>
      <c r="M100" s="142"/>
      <c r="N100" s="1"/>
      <c r="O100" s="1"/>
      <c r="P100" s="1"/>
      <c r="Q100" s="1"/>
    </row>
    <row r="101" spans="1:17" x14ac:dyDescent="0.35">
      <c r="A101" s="1"/>
      <c r="B101" s="134"/>
      <c r="C101" s="157" t="s">
        <v>149</v>
      </c>
      <c r="D101" s="158">
        <v>30</v>
      </c>
      <c r="E101" s="158">
        <v>55</v>
      </c>
      <c r="F101" s="141"/>
      <c r="G101" s="141"/>
      <c r="H101" s="141" t="s">
        <v>130</v>
      </c>
      <c r="I101" s="141"/>
      <c r="J101" s="141"/>
      <c r="K101" s="141"/>
      <c r="L101" s="141"/>
      <c r="M101" s="142"/>
      <c r="N101" s="1"/>
      <c r="O101" s="1"/>
      <c r="P101" s="1"/>
      <c r="Q101" s="1"/>
    </row>
    <row r="102" spans="1:17" x14ac:dyDescent="0.35">
      <c r="A102" s="1"/>
      <c r="B102" s="134"/>
      <c r="C102" s="157"/>
      <c r="D102" s="148"/>
      <c r="E102" s="148"/>
      <c r="F102" s="165"/>
      <c r="G102" s="165"/>
      <c r="H102" s="141"/>
      <c r="I102" s="141"/>
      <c r="J102" s="141"/>
      <c r="K102" s="141"/>
      <c r="L102" s="141"/>
      <c r="M102" s="142"/>
      <c r="N102" s="1"/>
      <c r="O102" s="1"/>
      <c r="P102" s="1"/>
      <c r="Q102" s="1"/>
    </row>
    <row r="103" spans="1:17" x14ac:dyDescent="0.35">
      <c r="A103" s="1"/>
      <c r="B103" s="146"/>
      <c r="C103" s="58"/>
      <c r="D103" s="58"/>
      <c r="E103" s="58"/>
      <c r="F103" s="58"/>
      <c r="G103" s="58"/>
      <c r="H103" s="58"/>
      <c r="I103" s="58"/>
      <c r="J103" s="58"/>
      <c r="K103" s="58"/>
      <c r="L103" s="58"/>
      <c r="M103" s="147"/>
      <c r="N103" s="1"/>
      <c r="O103" s="1"/>
      <c r="P103" s="1"/>
      <c r="Q103" s="1"/>
    </row>
    <row r="104" spans="1:17" s="1" customFormat="1" x14ac:dyDescent="0.35"/>
    <row r="105" spans="1:17" s="1" customFormat="1" hidden="1" x14ac:dyDescent="0.35"/>
    <row r="106" spans="1:17" s="1" customFormat="1" hidden="1" x14ac:dyDescent="0.35"/>
    <row r="107" spans="1:17" s="1" customFormat="1" hidden="1" x14ac:dyDescent="0.35"/>
    <row r="108" spans="1:17" s="1" customFormat="1" hidden="1" x14ac:dyDescent="0.35"/>
    <row r="109" spans="1:17" s="1" customFormat="1" hidden="1" x14ac:dyDescent="0.35"/>
    <row r="110" spans="1:17" s="1" customFormat="1" hidden="1" x14ac:dyDescent="0.35"/>
    <row r="111" spans="1:17" s="1" customFormat="1" hidden="1" x14ac:dyDescent="0.35"/>
    <row r="112" spans="1:17"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pans="1:17" hidden="1" x14ac:dyDescent="0.35">
      <c r="A129" s="1"/>
      <c r="B129" s="1"/>
      <c r="C129" s="1"/>
      <c r="D129" s="1"/>
      <c r="E129" s="1"/>
      <c r="F129" s="1"/>
      <c r="G129" s="1"/>
      <c r="H129" s="1"/>
      <c r="I129" s="1"/>
      <c r="J129" s="1"/>
      <c r="K129" s="1"/>
      <c r="L129" s="1"/>
      <c r="M129" s="1"/>
      <c r="N129" s="1"/>
      <c r="O129" s="1"/>
      <c r="P129" s="1"/>
      <c r="Q129" s="1"/>
    </row>
    <row r="130" spans="1:17" hidden="1" x14ac:dyDescent="0.35">
      <c r="A130" s="1"/>
      <c r="B130" s="1"/>
      <c r="C130" s="1"/>
      <c r="D130" s="1"/>
      <c r="E130" s="1"/>
      <c r="F130" s="1"/>
      <c r="G130" s="1"/>
      <c r="H130" s="1"/>
      <c r="I130" s="1"/>
      <c r="J130" s="1"/>
      <c r="K130" s="1"/>
      <c r="L130" s="1"/>
      <c r="M130" s="1"/>
      <c r="N130" s="1"/>
      <c r="O130" s="1"/>
      <c r="P130" s="1"/>
      <c r="Q130" s="1"/>
    </row>
    <row r="131" spans="1:17" hidden="1" x14ac:dyDescent="0.35">
      <c r="A131" s="1"/>
      <c r="B131" s="1"/>
      <c r="C131" s="1"/>
      <c r="D131" s="1"/>
      <c r="E131" s="1"/>
      <c r="F131" s="1"/>
      <c r="G131" s="1"/>
      <c r="H131" s="1"/>
      <c r="I131" s="1"/>
      <c r="J131" s="1"/>
      <c r="K131" s="1"/>
      <c r="L131" s="1"/>
      <c r="M131" s="1"/>
      <c r="N131" s="1"/>
      <c r="O131" s="1"/>
      <c r="P131" s="1"/>
      <c r="Q131" s="1"/>
    </row>
    <row r="132" spans="1:17" hidden="1" x14ac:dyDescent="0.35">
      <c r="A132" s="1"/>
      <c r="B132" s="1"/>
      <c r="C132" s="1"/>
      <c r="D132" s="1"/>
      <c r="E132" s="1"/>
      <c r="F132" s="1"/>
      <c r="G132" s="1"/>
      <c r="H132" s="1"/>
      <c r="I132" s="1"/>
      <c r="J132" s="1"/>
      <c r="K132" s="1"/>
      <c r="L132" s="1"/>
      <c r="M132" s="1"/>
      <c r="N132" s="1"/>
      <c r="O132" s="1"/>
      <c r="P132" s="1"/>
      <c r="Q132" s="1"/>
    </row>
    <row r="133" spans="1:17" hidden="1" x14ac:dyDescent="0.35">
      <c r="A133" s="1"/>
      <c r="B133" s="1"/>
      <c r="C133" s="130"/>
      <c r="D133" s="1"/>
      <c r="E133" s="1"/>
      <c r="F133" s="1"/>
      <c r="G133" s="1"/>
      <c r="H133" s="1"/>
      <c r="I133" s="1"/>
      <c r="J133" s="1"/>
      <c r="K133" s="1"/>
      <c r="L133" s="1"/>
      <c r="M133" s="1"/>
      <c r="N133" s="1"/>
      <c r="O133" s="1"/>
      <c r="P133" s="1"/>
      <c r="Q133" s="1"/>
    </row>
    <row r="134" spans="1:17" hidden="1" x14ac:dyDescent="0.35">
      <c r="A134" s="1"/>
      <c r="B134" s="1"/>
      <c r="C134" s="1"/>
      <c r="D134" s="1"/>
      <c r="E134" s="1"/>
      <c r="F134" s="1"/>
      <c r="G134" s="1"/>
      <c r="H134" s="1"/>
      <c r="I134" s="1"/>
      <c r="J134" s="1"/>
      <c r="K134" s="1"/>
      <c r="L134" s="1"/>
      <c r="M134" s="1"/>
      <c r="N134" s="1"/>
      <c r="O134" s="1"/>
      <c r="P134" s="1"/>
      <c r="Q134" s="1"/>
    </row>
    <row r="135" spans="1:17" hidden="1" x14ac:dyDescent="0.35">
      <c r="A135" s="1"/>
      <c r="B135" s="1"/>
      <c r="C135" s="1"/>
      <c r="D135" s="1"/>
      <c r="E135" s="1"/>
      <c r="F135" s="1"/>
      <c r="G135" s="1"/>
      <c r="H135" s="1"/>
      <c r="I135" s="1"/>
      <c r="J135" s="1"/>
      <c r="K135" s="1"/>
      <c r="L135" s="1"/>
      <c r="M135" s="1"/>
      <c r="N135" s="1"/>
      <c r="O135" s="1"/>
      <c r="P135" s="1"/>
      <c r="Q135" s="1"/>
    </row>
    <row r="136" spans="1:17" hidden="1" x14ac:dyDescent="0.35">
      <c r="A136" s="1"/>
      <c r="B136" s="1"/>
      <c r="C136" s="1"/>
      <c r="D136" s="1"/>
      <c r="E136" s="1"/>
      <c r="F136" s="1"/>
      <c r="G136" s="1"/>
      <c r="H136" s="1"/>
      <c r="I136" s="1"/>
      <c r="J136" s="1"/>
      <c r="K136" s="1"/>
      <c r="L136" s="1"/>
      <c r="M136" s="1"/>
      <c r="N136" s="1"/>
      <c r="O136" s="1"/>
      <c r="P136" s="1"/>
      <c r="Q136" s="1"/>
    </row>
    <row r="137" spans="1:17" hidden="1" x14ac:dyDescent="0.35">
      <c r="A137" s="1"/>
      <c r="B137" s="1"/>
      <c r="C137" s="1"/>
      <c r="D137" s="1"/>
      <c r="E137" s="1"/>
      <c r="F137" s="1"/>
      <c r="G137" s="1"/>
      <c r="H137" s="1"/>
      <c r="I137" s="1"/>
      <c r="J137" s="1"/>
      <c r="K137" s="1"/>
      <c r="L137" s="1"/>
      <c r="M137" s="1"/>
      <c r="N137" s="1"/>
      <c r="O137" s="1"/>
      <c r="P137" s="1"/>
      <c r="Q137" s="1"/>
    </row>
    <row r="138" spans="1:17" hidden="1" x14ac:dyDescent="0.35">
      <c r="A138" s="1"/>
      <c r="B138" s="1"/>
      <c r="C138" s="1"/>
      <c r="D138" s="1"/>
      <c r="E138" s="1"/>
      <c r="F138" s="1"/>
      <c r="G138" s="1"/>
      <c r="H138" s="1"/>
      <c r="I138" s="1"/>
      <c r="J138" s="1"/>
      <c r="K138" s="1"/>
      <c r="L138" s="1"/>
      <c r="M138" s="1"/>
      <c r="N138" s="1"/>
      <c r="O138" s="1"/>
      <c r="P138" s="1"/>
      <c r="Q138" s="1"/>
    </row>
    <row r="139" spans="1:17" hidden="1" x14ac:dyDescent="0.35">
      <c r="A139" s="1"/>
      <c r="B139" s="1"/>
      <c r="C139" s="1"/>
      <c r="D139" s="1"/>
      <c r="E139" s="1"/>
      <c r="F139" s="1"/>
      <c r="G139" s="1"/>
      <c r="H139" s="1"/>
      <c r="I139" s="1"/>
      <c r="J139" s="1"/>
      <c r="K139" s="1"/>
      <c r="L139" s="1"/>
      <c r="M139" s="1"/>
      <c r="N139" s="1"/>
      <c r="O139" s="1"/>
      <c r="P139" s="1"/>
      <c r="Q139" s="1"/>
    </row>
    <row r="140" spans="1:17" hidden="1" x14ac:dyDescent="0.35">
      <c r="A140" s="1"/>
      <c r="Q140" s="1"/>
    </row>
    <row r="141" spans="1:17" hidden="1" x14ac:dyDescent="0.35">
      <c r="A141" s="1"/>
    </row>
    <row r="142" spans="1:17" hidden="1" x14ac:dyDescent="0.35">
      <c r="A142" s="1"/>
    </row>
    <row r="143" spans="1:17" hidden="1" x14ac:dyDescent="0.35">
      <c r="A143" s="1"/>
    </row>
    <row r="144" spans="1:17" hidden="1" x14ac:dyDescent="0.35">
      <c r="A144" s="1"/>
    </row>
    <row r="145" spans="1:17" hidden="1" x14ac:dyDescent="0.35">
      <c r="A145" s="1"/>
    </row>
    <row r="146" spans="1:17" hidden="1" x14ac:dyDescent="0.35">
      <c r="A146" s="1"/>
    </row>
    <row r="147" spans="1:17" hidden="1" x14ac:dyDescent="0.35">
      <c r="A147" s="1"/>
    </row>
    <row r="148" spans="1:17" hidden="1" x14ac:dyDescent="0.35">
      <c r="A148" s="1"/>
    </row>
    <row r="149" spans="1:17" hidden="1" x14ac:dyDescent="0.35">
      <c r="A149" s="1"/>
    </row>
    <row r="150" spans="1:17" hidden="1" x14ac:dyDescent="0.35">
      <c r="A150" s="1"/>
    </row>
    <row r="151" spans="1:17" hidden="1" x14ac:dyDescent="0.35">
      <c r="A151" s="1"/>
    </row>
    <row r="152" spans="1:17" hidden="1" x14ac:dyDescent="0.35">
      <c r="A152" s="1"/>
    </row>
    <row r="153" spans="1:17" hidden="1" x14ac:dyDescent="0.35">
      <c r="A153" s="1"/>
      <c r="B153" s="1"/>
      <c r="C153" s="1"/>
      <c r="D153" s="1"/>
    </row>
    <row r="154" spans="1:17" hidden="1" x14ac:dyDescent="0.35">
      <c r="A154" s="1"/>
      <c r="B154" s="1"/>
      <c r="C154" s="1"/>
      <c r="D154" s="1"/>
      <c r="E154" s="1"/>
      <c r="F154" s="1"/>
      <c r="G154" s="1"/>
      <c r="H154" s="1"/>
      <c r="I154" s="1"/>
      <c r="J154" s="1"/>
      <c r="K154" s="1"/>
      <c r="L154" s="1"/>
      <c r="M154" s="1"/>
      <c r="N154" s="1"/>
      <c r="O154" s="1"/>
      <c r="P154" s="1"/>
      <c r="Q154" s="1"/>
    </row>
    <row r="155" spans="1:17" hidden="1" x14ac:dyDescent="0.35">
      <c r="A155" s="1"/>
      <c r="B155" s="1"/>
      <c r="C155" s="1"/>
      <c r="D155" s="1"/>
      <c r="E155" s="1"/>
      <c r="F155" s="1"/>
      <c r="G155" s="1"/>
      <c r="H155" s="1"/>
      <c r="I155" s="1"/>
      <c r="J155" s="1"/>
      <c r="K155" s="1"/>
      <c r="L155" s="1"/>
      <c r="M155" s="1"/>
      <c r="N155" s="1"/>
      <c r="O155" s="1"/>
      <c r="P155" s="1"/>
      <c r="Q155" s="1"/>
    </row>
    <row r="156" spans="1:17" hidden="1" x14ac:dyDescent="0.35">
      <c r="A156" s="1"/>
      <c r="B156" s="1"/>
      <c r="C156" s="1"/>
      <c r="D156" s="1"/>
      <c r="E156" s="1"/>
      <c r="F156" s="1"/>
      <c r="G156" s="1"/>
      <c r="H156" s="1"/>
      <c r="I156" s="1"/>
      <c r="J156" s="1"/>
      <c r="K156" s="1"/>
      <c r="L156" s="1"/>
      <c r="M156" s="1"/>
      <c r="N156" s="1"/>
      <c r="O156" s="1"/>
      <c r="P156" s="1"/>
      <c r="Q156" s="1"/>
    </row>
    <row r="157" spans="1:17" hidden="1" x14ac:dyDescent="0.35">
      <c r="A157" s="1"/>
      <c r="B157" s="1"/>
      <c r="C157" s="1"/>
      <c r="D157" s="1"/>
      <c r="E157" s="1"/>
      <c r="F157" s="1"/>
      <c r="G157" s="1"/>
      <c r="H157" s="1"/>
      <c r="I157" s="1"/>
      <c r="J157" s="1"/>
      <c r="K157" s="1"/>
      <c r="L157" s="1"/>
      <c r="M157" s="1"/>
      <c r="N157" s="1"/>
      <c r="O157" s="1"/>
      <c r="P157" s="1"/>
      <c r="Q157" s="1"/>
    </row>
    <row r="158" spans="1:17" hidden="1" x14ac:dyDescent="0.35">
      <c r="A158" s="1"/>
      <c r="B158" s="1"/>
      <c r="C158" s="1"/>
      <c r="D158" s="1"/>
      <c r="E158" s="1"/>
      <c r="F158" s="1"/>
      <c r="G158" s="1"/>
      <c r="H158" s="1"/>
      <c r="I158" s="1"/>
      <c r="J158" s="1"/>
      <c r="K158" s="1"/>
      <c r="L158" s="1"/>
      <c r="M158" s="1"/>
      <c r="N158" s="1"/>
      <c r="O158" s="1"/>
      <c r="P158" s="1"/>
      <c r="Q158" s="1"/>
    </row>
    <row r="159" spans="1:17" x14ac:dyDescent="0.35"/>
  </sheetData>
  <mergeCells count="33">
    <mergeCell ref="B3:F4"/>
    <mergeCell ref="B9:H9"/>
    <mergeCell ref="B11:C11"/>
    <mergeCell ref="B12:E12"/>
    <mergeCell ref="B14:B15"/>
    <mergeCell ref="C14:C15"/>
    <mergeCell ref="D14:F14"/>
    <mergeCell ref="B6:E7"/>
    <mergeCell ref="B28:C28"/>
    <mergeCell ref="B31:B34"/>
    <mergeCell ref="C31:J32"/>
    <mergeCell ref="B36:B37"/>
    <mergeCell ref="C36:J37"/>
    <mergeCell ref="B39:B42"/>
    <mergeCell ref="C39:D42"/>
    <mergeCell ref="B44:C44"/>
    <mergeCell ref="B47:H47"/>
    <mergeCell ref="I47:J47"/>
    <mergeCell ref="B49:C49"/>
    <mergeCell ref="B53:H53"/>
    <mergeCell ref="I53:J53"/>
    <mergeCell ref="B55:C55"/>
    <mergeCell ref="B56:C56"/>
    <mergeCell ref="H79:M79"/>
    <mergeCell ref="H80:I80"/>
    <mergeCell ref="H84:M84"/>
    <mergeCell ref="B57:C58"/>
    <mergeCell ref="D57:D58"/>
    <mergeCell ref="E57:E58"/>
    <mergeCell ref="F57:H58"/>
    <mergeCell ref="B60:F60"/>
    <mergeCell ref="B61:F61"/>
    <mergeCell ref="B63:H63"/>
  </mergeCells>
  <conditionalFormatting sqref="B63:H63">
    <cfRule type="expression" dxfId="16" priority="2">
      <formula>$H$69="No"</formula>
    </cfRule>
    <cfRule type="expression" dxfId="15" priority="3">
      <formula>$H$58="No"</formula>
    </cfRule>
  </conditionalFormatting>
  <conditionalFormatting sqref="B47:J58">
    <cfRule type="expression" dxfId="14" priority="1">
      <formula>$C$39="No"</formula>
    </cfRule>
  </conditionalFormatting>
  <conditionalFormatting sqref="B63:N103">
    <cfRule type="expression" dxfId="13" priority="6">
      <formula>$H$61="No"</formula>
    </cfRule>
  </conditionalFormatting>
  <conditionalFormatting sqref="C39">
    <cfRule type="cellIs" dxfId="12" priority="10" operator="equal">
      <formula>"No"</formula>
    </cfRule>
  </conditionalFormatting>
  <conditionalFormatting sqref="C31:J32">
    <cfRule type="containsText" dxfId="11" priority="7" operator="containsText" text="Optimal">
      <formula>NOT(ISERROR(SEARCH("Optimal",C31)))</formula>
    </cfRule>
  </conditionalFormatting>
  <conditionalFormatting sqref="C36:J37">
    <cfRule type="containsText" dxfId="10" priority="8" operator="containsText" text="Optimal">
      <formula>NOT(ISERROR(SEARCH("Optimal",C36)))</formula>
    </cfRule>
    <cfRule type="containsText" priority="9" operator="containsText" text="Acceptable">
      <formula>NOT(ISERROR(SEARCH("Acceptable",C36)))</formula>
    </cfRule>
  </conditionalFormatting>
  <conditionalFormatting sqref="L14:Y26">
    <cfRule type="expression" dxfId="9" priority="4">
      <formula>$H$61="No"</formula>
    </cfRule>
  </conditionalFormatting>
  <dataValidations disablePrompts="1" count="1">
    <dataValidation type="list" allowBlank="1" showInputMessage="1" showErrorMessage="1" sqref="H61" xr:uid="{73DA9970-7A94-4FAD-92C7-42B1119D0F65}">
      <formula1>"Yes,No"</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'2 Feedstock database'!$B$8:$B$27</xm:f>
          </x14:formula1>
          <xm:sqref>B16:B26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39997558519241921"/>
  </sheetPr>
  <dimension ref="A1:AA167"/>
  <sheetViews>
    <sheetView zoomScale="85" zoomScaleNormal="85" workbookViewId="0">
      <selection activeCell="B5" sqref="B5"/>
    </sheetView>
  </sheetViews>
  <sheetFormatPr defaultColWidth="8.7265625" defaultRowHeight="14.5" zeroHeight="1" x14ac:dyDescent="0.35"/>
  <cols>
    <col min="1" max="1" width="8.7265625" customWidth="1"/>
    <col min="2" max="2" width="25.453125" customWidth="1"/>
    <col min="3" max="3" width="41.54296875" customWidth="1"/>
    <col min="4" max="4" width="17.7265625" customWidth="1"/>
    <col min="5" max="5" width="15.54296875" customWidth="1"/>
    <col min="6" max="6" width="31.54296875" bestFit="1" customWidth="1"/>
    <col min="7" max="7" width="36.453125" customWidth="1"/>
    <col min="8" max="8" width="36" customWidth="1"/>
    <col min="9" max="9" width="25" customWidth="1"/>
    <col min="10" max="10" width="15.54296875" customWidth="1"/>
    <col min="11" max="11" width="17.7265625" customWidth="1"/>
    <col min="12" max="12" width="21" customWidth="1"/>
    <col min="13" max="13" width="19.453125" customWidth="1"/>
    <col min="14" max="14" width="14.54296875" customWidth="1"/>
    <col min="15" max="15" width="13.453125" customWidth="1"/>
    <col min="16" max="16" width="13.26953125" customWidth="1"/>
    <col min="17" max="17" width="23.1796875" style="1" customWidth="1"/>
    <col min="18" max="18" width="15.7265625" style="1" bestFit="1" customWidth="1"/>
    <col min="19" max="20" width="14.453125" style="1" bestFit="1" customWidth="1"/>
    <col min="21" max="21" width="12.453125" style="1" bestFit="1" customWidth="1"/>
    <col min="22" max="22" width="16.453125" style="1" customWidth="1"/>
    <col min="23" max="23" width="13.54296875" style="1" customWidth="1"/>
    <col min="24" max="24" width="12.7265625" style="1" customWidth="1"/>
    <col min="25" max="16384" width="8.7265625" style="1"/>
  </cols>
  <sheetData>
    <row r="1" spans="1:27" s="89" customFormat="1" x14ac:dyDescent="0.35"/>
    <row r="2" spans="1:27" s="89" customFormat="1" ht="26" x14ac:dyDescent="0.6">
      <c r="B2" s="302" t="s">
        <v>199</v>
      </c>
      <c r="C2" s="220"/>
      <c r="D2" s="221"/>
    </row>
    <row r="3" spans="1:27" s="89" customFormat="1" ht="15" customHeight="1" x14ac:dyDescent="0.35">
      <c r="B3" s="425" t="s">
        <v>290</v>
      </c>
      <c r="C3" s="425"/>
      <c r="D3" s="425"/>
      <c r="E3" s="425"/>
      <c r="F3" s="425"/>
      <c r="G3" s="425"/>
    </row>
    <row r="4" spans="1:27" s="89" customFormat="1" ht="15" customHeight="1" x14ac:dyDescent="0.35">
      <c r="B4" s="425"/>
      <c r="C4" s="425"/>
      <c r="D4" s="425"/>
      <c r="E4" s="425"/>
      <c r="F4" s="425"/>
      <c r="G4" s="425"/>
    </row>
    <row r="5" spans="1:27" s="89" customFormat="1" ht="15.5" x14ac:dyDescent="0.35">
      <c r="B5" s="222"/>
      <c r="C5" s="222"/>
      <c r="D5" s="222"/>
      <c r="E5" s="222"/>
      <c r="F5" s="222"/>
    </row>
    <row r="6" spans="1:27" s="89" customFormat="1" ht="21" x14ac:dyDescent="0.5">
      <c r="B6" s="300" t="s">
        <v>289</v>
      </c>
      <c r="C6" s="301"/>
      <c r="D6" s="300"/>
      <c r="E6" s="300"/>
      <c r="F6" s="300"/>
      <c r="G6" s="300"/>
      <c r="H6" s="300"/>
    </row>
    <row r="7" spans="1:27" s="89" customFormat="1" ht="21" x14ac:dyDescent="0.5">
      <c r="B7" s="300"/>
      <c r="C7" s="301"/>
      <c r="D7" s="300"/>
      <c r="E7" s="300"/>
      <c r="F7" s="300"/>
      <c r="G7" s="300"/>
      <c r="H7" s="300"/>
    </row>
    <row r="8" spans="1:27" s="89" customFormat="1" ht="21" x14ac:dyDescent="0.5">
      <c r="B8" s="426" t="s">
        <v>278</v>
      </c>
      <c r="C8" s="426"/>
      <c r="D8" s="426"/>
      <c r="E8" s="426"/>
      <c r="F8" s="426"/>
      <c r="G8" s="426"/>
      <c r="H8" s="426"/>
    </row>
    <row r="9" spans="1:27" s="89" customFormat="1" ht="15.5" x14ac:dyDescent="0.35">
      <c r="B9" s="223"/>
      <c r="C9" s="223"/>
      <c r="D9" s="223"/>
      <c r="E9" s="223"/>
      <c r="F9" s="223"/>
      <c r="G9" s="223"/>
      <c r="H9" s="223"/>
    </row>
    <row r="10" spans="1:27" s="89" customFormat="1" ht="23.5" x14ac:dyDescent="0.55000000000000004">
      <c r="B10" s="379" t="s">
        <v>100</v>
      </c>
      <c r="C10" s="379"/>
      <c r="D10" s="224"/>
      <c r="E10" s="224"/>
    </row>
    <row r="11" spans="1:27" ht="59.5" customHeight="1" x14ac:dyDescent="0.5">
      <c r="A11" s="1"/>
      <c r="B11" s="393" t="s">
        <v>282</v>
      </c>
      <c r="C11" s="394"/>
      <c r="D11" s="394"/>
      <c r="E11" s="394"/>
      <c r="F11" s="1"/>
      <c r="G11" s="1"/>
      <c r="H11" s="1"/>
      <c r="I11" s="1"/>
      <c r="J11" s="1"/>
      <c r="K11" s="1"/>
      <c r="L11" s="1"/>
      <c r="M11" s="1"/>
      <c r="N11" s="1"/>
      <c r="O11" s="1"/>
      <c r="P11" s="1"/>
    </row>
    <row r="12" spans="1:27" ht="21.5" thickBot="1" x14ac:dyDescent="0.55000000000000004">
      <c r="A12" s="1"/>
      <c r="B12" s="1"/>
      <c r="C12" s="67"/>
      <c r="D12" s="1"/>
      <c r="E12" s="1"/>
      <c r="F12" s="1"/>
      <c r="G12" s="1"/>
      <c r="H12" s="1"/>
      <c r="I12" s="1"/>
      <c r="J12" s="1"/>
      <c r="K12" s="1"/>
      <c r="L12" s="1"/>
      <c r="M12" s="1"/>
      <c r="N12" s="1"/>
      <c r="O12" s="1"/>
      <c r="P12" s="1"/>
    </row>
    <row r="13" spans="1:27" ht="62.5" customHeight="1" thickBot="1" x14ac:dyDescent="0.4">
      <c r="A13" s="1"/>
      <c r="B13" s="395" t="s">
        <v>18</v>
      </c>
      <c r="C13" s="348" t="s">
        <v>68</v>
      </c>
      <c r="D13" s="350" t="s">
        <v>69</v>
      </c>
      <c r="E13" s="351"/>
      <c r="F13" s="351"/>
      <c r="G13" s="427" t="s">
        <v>22</v>
      </c>
      <c r="H13" s="282"/>
      <c r="I13" s="282"/>
      <c r="J13" s="282"/>
      <c r="K13" s="282"/>
      <c r="L13" s="225" t="s">
        <v>10</v>
      </c>
      <c r="M13" s="75" t="s">
        <v>11</v>
      </c>
      <c r="N13" s="74" t="s">
        <v>12</v>
      </c>
      <c r="O13" s="74" t="s">
        <v>13</v>
      </c>
      <c r="P13" s="74" t="s">
        <v>70</v>
      </c>
      <c r="Q13" s="74" t="s">
        <v>14</v>
      </c>
      <c r="R13" s="74" t="s">
        <v>71</v>
      </c>
      <c r="S13" s="74" t="s">
        <v>15</v>
      </c>
      <c r="T13" s="74" t="s">
        <v>16</v>
      </c>
      <c r="U13" s="74" t="s">
        <v>17</v>
      </c>
      <c r="V13" s="75"/>
      <c r="W13" s="75" t="s">
        <v>72</v>
      </c>
      <c r="X13" s="74" t="s">
        <v>20</v>
      </c>
      <c r="Y13" s="74" t="s">
        <v>21</v>
      </c>
      <c r="Z13" s="395" t="s">
        <v>73</v>
      </c>
      <c r="AA13" s="423" t="s">
        <v>74</v>
      </c>
    </row>
    <row r="14" spans="1:27" ht="46.5" x14ac:dyDescent="0.35">
      <c r="A14" s="1"/>
      <c r="B14" s="347"/>
      <c r="C14" s="349"/>
      <c r="D14" s="36" t="s">
        <v>75</v>
      </c>
      <c r="E14" s="37" t="s">
        <v>20</v>
      </c>
      <c r="F14" s="37" t="s">
        <v>21</v>
      </c>
      <c r="G14" s="353"/>
      <c r="H14" s="282"/>
      <c r="I14" s="282"/>
      <c r="J14" s="282"/>
      <c r="K14" s="282"/>
      <c r="L14" s="36" t="s">
        <v>76</v>
      </c>
      <c r="M14" s="37" t="s">
        <v>77</v>
      </c>
      <c r="N14" s="37" t="s">
        <v>78</v>
      </c>
      <c r="O14" s="37" t="s">
        <v>79</v>
      </c>
      <c r="P14" s="37" t="s">
        <v>80</v>
      </c>
      <c r="Q14" s="37" t="s">
        <v>27</v>
      </c>
      <c r="R14" s="37" t="s">
        <v>81</v>
      </c>
      <c r="S14" s="37" t="s">
        <v>28</v>
      </c>
      <c r="T14" s="37" t="s">
        <v>29</v>
      </c>
      <c r="U14" s="37" t="s">
        <v>30</v>
      </c>
      <c r="V14" s="37" t="s">
        <v>82</v>
      </c>
      <c r="W14" s="37" t="s">
        <v>83</v>
      </c>
      <c r="X14" s="37" t="s">
        <v>84</v>
      </c>
      <c r="Y14" s="226" t="s">
        <v>85</v>
      </c>
      <c r="Z14" s="422"/>
      <c r="AA14" s="424"/>
    </row>
    <row r="15" spans="1:27" x14ac:dyDescent="0.35">
      <c r="A15" s="1"/>
      <c r="B15" s="310" t="str">
        <f>IF(ISBLANK(' 1 Technology_check'!B14),"",' 1 Technology_check'!B14)</f>
        <v>Organic waste</v>
      </c>
      <c r="C15" s="311">
        <f>IF(ISBLANK(' 1 Technology_check'!C14),"",' 1 Technology_check'!C14)</f>
        <v>200</v>
      </c>
      <c r="D15" s="77" t="str">
        <f>IF(ISBLANK($B15),"",IF(ISERROR(VLOOKUP($B15,'2 Feedstock database'!$B$8:$N$27,2,FALSE)),"",VLOOKUP($B15,'2 Feedstock database'!$B$8:$N$27,2,FALSE)))</f>
        <v>High</v>
      </c>
      <c r="E15" s="78" t="str">
        <f>IF(ISBLANK($B15),"",IF(ISERROR(VLOOKUP($B15,'2 Feedstock database'!$B$8:$N$27,3,FALSE)),"",VLOOKUP($B15,'2 Feedstock database'!$B$8:$N$27,3,FALSE)))</f>
        <v>Very high</v>
      </c>
      <c r="F15" s="227" t="str">
        <f>IF(ISBLANK($B15),"",IF(ISERROR(VLOOKUP($B15,'2 Feedstock database'!$B$8:$N$27,4,FALSE)),"",VLOOKUP($B15,'2 Feedstock database'!$B$8:$N$27,4,FALSE)))</f>
        <v>Medium</v>
      </c>
      <c r="G15" s="227" t="str">
        <f>IF(ISBLANK($B15),"",IF(ISERROR(VLOOKUP($B15,'2 Feedstock database'!$B$8:$N$27,5,FALSE)),"",VLOOKUP($B15,'2 Feedstock database'!$B$8:$N$27,5,FALSE)))</f>
        <v>Suitable</v>
      </c>
      <c r="H15" s="282"/>
      <c r="I15" s="282"/>
      <c r="J15" s="282"/>
      <c r="K15" s="282"/>
      <c r="L15" s="77">
        <f>IF(ISBLANK($B15),"",IF(ISERROR(VLOOKUP($B15,'2 Feedstock database'!$B$8:$N$27,6,FALSE)),"",VLOOKUP($B15,'2 Feedstock database'!$B$8:$N$27,6,FALSE)))</f>
        <v>0.77</v>
      </c>
      <c r="M15" s="78">
        <f>IF(ISBLANK($B15),"",IF(ISERROR(VLOOKUP($B15,'2 Feedstock database'!$B$8:$N$27,7,FALSE)),"",VLOOKUP($B15,'2 Feedstock database'!$B$8:$N$27,7,FALSE)))</f>
        <v>0.22999999999999998</v>
      </c>
      <c r="N15" s="78">
        <f>IF(ISBLANK($B15),"",IF(ISERROR(VLOOKUP($B15,'2 Feedstock database'!$B$8:$N$27,8,FALSE)),"",VLOOKUP($B15,'2 Feedstock database'!$B$8:$N$27,8,FALSE)))</f>
        <v>0.96399999999999997</v>
      </c>
      <c r="O15" s="78">
        <f>IF(ISBLANK($B15),"",IF(ISERROR(VLOOKUP($B15,'2 Feedstock database'!$B$8:$N$27,9,FALSE)),"",VLOOKUP($B15,'2 Feedstock database'!$B$8:$N$27,9,FALSE)))</f>
        <v>3.5999999999999997E-2</v>
      </c>
      <c r="P15" s="184">
        <f t="shared" ref="P15:P25" si="0">IF(ISERROR(C15*M15*N15),"",C15*M15*N15)</f>
        <v>44.344000000000001</v>
      </c>
      <c r="Q15" s="78">
        <f>IF(ISBLANK($B15),"",IF(ISERROR(VLOOKUP($B15,'2 Feedstock database'!$B$8:$N$27,10,FALSE)),"",VLOOKUP($B15,'2 Feedstock database'!$B$8:$N$27,10,FALSE)))</f>
        <v>0.36099999999999999</v>
      </c>
      <c r="R15" s="184">
        <f t="shared" ref="R15:R25" si="1">IF(ISERROR(P15*Q15),"",P15*Q15)</f>
        <v>16.008184</v>
      </c>
      <c r="S15" s="78">
        <f>IF(ISBLANK($B15),"",IF(ISERROR(VLOOKUP($B15,'2 Feedstock database'!$B$8:$N$27,11,FALSE)),"",VLOOKUP($B15,'2 Feedstock database'!$B$8:$N$27,11,FALSE)))</f>
        <v>0.5302</v>
      </c>
      <c r="T15" s="78">
        <f>IF(ISBLANK($B15),"",IF(ISERROR(VLOOKUP($B15,'2 Feedstock database'!$B$8:$N$27,12,FALSE)),"",VLOOKUP($B15,'2 Feedstock database'!$B$8:$N$27,12,FALSE)))</f>
        <v>2.1739130434782612E-2</v>
      </c>
      <c r="U15" s="78">
        <f>IF(ISBLANK($B15),"",IF(ISERROR(VLOOKUP($B15,'2 Feedstock database'!$B$8:$N$27,13,FALSE)),"",VLOOKUP($B15,'2 Feedstock database'!$B$8:$N$27,13,FALSE)))</f>
        <v>24.389199999999995</v>
      </c>
      <c r="V15" s="80">
        <f t="shared" ref="V15:V25" si="2">IF(ISERROR(C15*L15),"",C15*L15)</f>
        <v>154</v>
      </c>
      <c r="W15" s="80">
        <f t="shared" ref="W15:W25" si="3">IF(ISERROR(C15*M15),"",C15*M15)</f>
        <v>46</v>
      </c>
      <c r="X15" s="80">
        <f t="shared" ref="X15:X25" si="4">IF(ISERROR(W15*S15),"",W15*S15)</f>
        <v>24.389199999999999</v>
      </c>
      <c r="Y15" s="80">
        <f t="shared" ref="Y15:Y25" si="5">IF(ISERROR(W15*T15),"",W15*T15)</f>
        <v>1.0000000000000002</v>
      </c>
      <c r="Z15" s="141">
        <f t="shared" ref="Z15:Z25" si="6">IF(G15="Suitable",C15,0)</f>
        <v>200</v>
      </c>
      <c r="AA15" s="142">
        <f t="shared" ref="AA15:AA25" si="7">IF(G15="Can be added for structure",C15,0)</f>
        <v>0</v>
      </c>
    </row>
    <row r="16" spans="1:27" x14ac:dyDescent="0.35">
      <c r="A16" s="1"/>
      <c r="B16" s="310" t="str">
        <f>IF(ISBLANK(' 1 Technology_check'!B15),"",' 1 Technology_check'!B15)</f>
        <v/>
      </c>
      <c r="C16" s="311" t="str">
        <f>IF(ISBLANK(' 1 Technology_check'!C15),"",' 1 Technology_check'!C15)</f>
        <v/>
      </c>
      <c r="D16" s="77" t="str">
        <f>IF(ISBLANK($B16),"",IF(ISERROR(VLOOKUP($B16,'2 Feedstock database'!$B$8:$N$27,2,FALSE)),"",VLOOKUP($B16,'2 Feedstock database'!$B$8:$N$27,2,FALSE)))</f>
        <v/>
      </c>
      <c r="E16" s="78" t="str">
        <f>IF(ISBLANK($B16),"",IF(ISERROR(VLOOKUP($B16,'2 Feedstock database'!$B$8:$N$27,3,FALSE)),"",VLOOKUP($B16,'2 Feedstock database'!$B$8:$N$27,3,FALSE)))</f>
        <v/>
      </c>
      <c r="F16" s="227" t="str">
        <f>IF(ISBLANK($B16),"",IF(ISERROR(VLOOKUP($B16,'2 Feedstock database'!$B$8:$N$27,4,FALSE)),"",VLOOKUP($B16,'2 Feedstock database'!$B$8:$N$27,4,FALSE)))</f>
        <v/>
      </c>
      <c r="G16" s="227" t="str">
        <f>IF(ISBLANK($B16),"",IF(ISERROR(VLOOKUP($B16,'2 Feedstock database'!$B$8:$N$27,5,FALSE)),"",VLOOKUP($B16,'2 Feedstock database'!$B$8:$N$27,5,FALSE)))</f>
        <v/>
      </c>
      <c r="H16" s="282"/>
      <c r="I16" s="282"/>
      <c r="J16" s="282"/>
      <c r="K16" s="282"/>
      <c r="L16" s="77" t="str">
        <f>IF(ISBLANK($B16),"",IF(ISERROR(VLOOKUP($B16,'2 Feedstock database'!$B$8:$N$27,6,FALSE)),"",VLOOKUP($B16,'2 Feedstock database'!$B$8:$N$27,6,FALSE)))</f>
        <v/>
      </c>
      <c r="M16" s="78" t="str">
        <f>IF(ISBLANK($B16),"",IF(ISERROR(VLOOKUP($B16,'2 Feedstock database'!$B$8:$N$27,7,FALSE)),"",VLOOKUP($B16,'2 Feedstock database'!$B$8:$N$27,7,FALSE)))</f>
        <v/>
      </c>
      <c r="N16" s="78" t="str">
        <f>IF(ISBLANK($B16),"",IF(ISERROR(VLOOKUP($B16,'2 Feedstock database'!$B$8:$N$27,8,FALSE)),"",VLOOKUP($B16,'2 Feedstock database'!$B$8:$N$27,8,FALSE)))</f>
        <v/>
      </c>
      <c r="O16" s="78" t="str">
        <f>IF(ISBLANK($B16),"",IF(ISERROR(VLOOKUP($B16,'2 Feedstock database'!$B$8:$N$27,9,FALSE)),"",VLOOKUP($B16,'2 Feedstock database'!$B$8:$N$27,9,FALSE)))</f>
        <v/>
      </c>
      <c r="P16" s="184" t="str">
        <f t="shared" si="0"/>
        <v/>
      </c>
      <c r="Q16" s="78" t="str">
        <f>IF(ISBLANK($B16),"",IF(ISERROR(VLOOKUP($B16,'2 Feedstock database'!$B$8:$N$27,10,FALSE)),"",VLOOKUP($B16,'2 Feedstock database'!$B$8:$N$27,10,FALSE)))</f>
        <v/>
      </c>
      <c r="R16" s="184" t="str">
        <f t="shared" si="1"/>
        <v/>
      </c>
      <c r="S16" s="78" t="str">
        <f>IF(ISBLANK($B16),"",IF(ISERROR(VLOOKUP($B16,'2 Feedstock database'!$B$8:$N$27,11,FALSE)),"",VLOOKUP($B16,'2 Feedstock database'!$B$8:$N$27,11,FALSE)))</f>
        <v/>
      </c>
      <c r="T16" s="78" t="str">
        <f>IF(ISBLANK($B16),"",IF(ISERROR(VLOOKUP($B16,'2 Feedstock database'!$B$8:$N$27,12,FALSE)),"",VLOOKUP($B16,'2 Feedstock database'!$B$8:$N$27,12,FALSE)))</f>
        <v/>
      </c>
      <c r="U16" s="78" t="str">
        <f>IF(ISBLANK($B16),"",IF(ISERROR(VLOOKUP($B16,'2 Feedstock database'!$B$8:$N$27,13,FALSE)),"",VLOOKUP($B16,'2 Feedstock database'!$B$8:$N$27,13,FALSE)))</f>
        <v/>
      </c>
      <c r="V16" s="80" t="str">
        <f t="shared" si="2"/>
        <v/>
      </c>
      <c r="W16" s="80" t="str">
        <f t="shared" si="3"/>
        <v/>
      </c>
      <c r="X16" s="80" t="str">
        <f t="shared" si="4"/>
        <v/>
      </c>
      <c r="Y16" s="80" t="str">
        <f t="shared" si="5"/>
        <v/>
      </c>
      <c r="Z16" s="141">
        <f t="shared" si="6"/>
        <v>0</v>
      </c>
      <c r="AA16" s="142">
        <f t="shared" si="7"/>
        <v>0</v>
      </c>
    </row>
    <row r="17" spans="1:27" x14ac:dyDescent="0.35">
      <c r="A17" s="1"/>
      <c r="B17" s="310" t="str">
        <f>IF(ISBLANK(' 1 Technology_check'!B16),"",' 1 Technology_check'!B16)</f>
        <v/>
      </c>
      <c r="C17" s="311" t="str">
        <f>IF(ISBLANK(' 1 Technology_check'!C16),"",' 1 Technology_check'!C16)</f>
        <v/>
      </c>
      <c r="D17" s="77" t="str">
        <f>IF(ISBLANK($B17),"",IF(ISERROR(VLOOKUP($B17,'2 Feedstock database'!$B$8:$N$27,2,FALSE)),"",VLOOKUP($B17,'2 Feedstock database'!$B$8:$N$27,2,FALSE)))</f>
        <v/>
      </c>
      <c r="E17" s="78" t="str">
        <f>IF(ISBLANK($B17),"",IF(ISERROR(VLOOKUP($B17,'2 Feedstock database'!$B$8:$N$27,3,FALSE)),"",VLOOKUP($B17,'2 Feedstock database'!$B$8:$N$27,3,FALSE)))</f>
        <v/>
      </c>
      <c r="F17" s="227" t="str">
        <f>IF(ISBLANK($B17),"",IF(ISERROR(VLOOKUP($B17,'2 Feedstock database'!$B$8:$N$27,4,FALSE)),"",VLOOKUP($B17,'2 Feedstock database'!$B$8:$N$27,4,FALSE)))</f>
        <v/>
      </c>
      <c r="G17" s="227" t="str">
        <f>IF(ISBLANK($B17),"",IF(ISERROR(VLOOKUP($B17,'2 Feedstock database'!$B$8:$N$27,5,FALSE)),"",VLOOKUP($B17,'2 Feedstock database'!$B$8:$N$27,5,FALSE)))</f>
        <v/>
      </c>
      <c r="H17" s="282"/>
      <c r="I17" s="282"/>
      <c r="J17" s="282"/>
      <c r="K17" s="282"/>
      <c r="L17" s="77" t="str">
        <f>IF(ISBLANK($B17),"",IF(ISERROR(VLOOKUP($B17,'2 Feedstock database'!$B$8:$N$27,6,FALSE)),"",VLOOKUP($B17,'2 Feedstock database'!$B$8:$N$27,6,FALSE)))</f>
        <v/>
      </c>
      <c r="M17" s="78" t="str">
        <f>IF(ISBLANK($B17),"",IF(ISERROR(VLOOKUP($B17,'2 Feedstock database'!$B$8:$N$27,7,FALSE)),"",VLOOKUP($B17,'2 Feedstock database'!$B$8:$N$27,7,FALSE)))</f>
        <v/>
      </c>
      <c r="N17" s="78" t="str">
        <f>IF(ISBLANK($B17),"",IF(ISERROR(VLOOKUP($B17,'2 Feedstock database'!$B$8:$N$27,8,FALSE)),"",VLOOKUP($B17,'2 Feedstock database'!$B$8:$N$27,8,FALSE)))</f>
        <v/>
      </c>
      <c r="O17" s="78" t="str">
        <f>IF(ISBLANK($B17),"",IF(ISERROR(VLOOKUP($B17,'2 Feedstock database'!$B$8:$N$27,9,FALSE)),"",VLOOKUP($B17,'2 Feedstock database'!$B$8:$N$27,9,FALSE)))</f>
        <v/>
      </c>
      <c r="P17" s="184" t="str">
        <f t="shared" si="0"/>
        <v/>
      </c>
      <c r="Q17" s="78" t="str">
        <f>IF(ISBLANK($B17),"",IF(ISERROR(VLOOKUP($B17,'2 Feedstock database'!$B$8:$N$27,10,FALSE)),"",VLOOKUP($B17,'2 Feedstock database'!$B$8:$N$27,10,FALSE)))</f>
        <v/>
      </c>
      <c r="R17" s="184" t="str">
        <f t="shared" si="1"/>
        <v/>
      </c>
      <c r="S17" s="78" t="str">
        <f>IF(ISBLANK($B17),"",IF(ISERROR(VLOOKUP($B17,'2 Feedstock database'!$B$8:$N$27,11,FALSE)),"",VLOOKUP($B17,'2 Feedstock database'!$B$8:$N$27,11,FALSE)))</f>
        <v/>
      </c>
      <c r="T17" s="78" t="str">
        <f>IF(ISBLANK($B17),"",IF(ISERROR(VLOOKUP($B17,'2 Feedstock database'!$B$8:$N$27,12,FALSE)),"",VLOOKUP($B17,'2 Feedstock database'!$B$8:$N$27,12,FALSE)))</f>
        <v/>
      </c>
      <c r="U17" s="78" t="str">
        <f>IF(ISBLANK($B17),"",IF(ISERROR(VLOOKUP($B17,'2 Feedstock database'!$B$8:$N$27,13,FALSE)),"",VLOOKUP($B17,'2 Feedstock database'!$B$8:$N$27,13,FALSE)))</f>
        <v/>
      </c>
      <c r="V17" s="80" t="str">
        <f t="shared" si="2"/>
        <v/>
      </c>
      <c r="W17" s="80" t="str">
        <f t="shared" si="3"/>
        <v/>
      </c>
      <c r="X17" s="80" t="str">
        <f t="shared" si="4"/>
        <v/>
      </c>
      <c r="Y17" s="80" t="str">
        <f t="shared" si="5"/>
        <v/>
      </c>
      <c r="Z17" s="141">
        <f t="shared" si="6"/>
        <v>0</v>
      </c>
      <c r="AA17" s="142">
        <f t="shared" si="7"/>
        <v>0</v>
      </c>
    </row>
    <row r="18" spans="1:27" x14ac:dyDescent="0.35">
      <c r="A18" s="1"/>
      <c r="B18" s="310" t="str">
        <f>IF(ISBLANK(' 1 Technology_check'!B17),"",' 1 Technology_check'!B17)</f>
        <v/>
      </c>
      <c r="C18" s="311" t="str">
        <f>IF(ISBLANK(' 1 Technology_check'!C17),"",' 1 Technology_check'!C17)</f>
        <v/>
      </c>
      <c r="D18" s="77" t="str">
        <f>IF(ISBLANK($B18),"",IF(ISERROR(VLOOKUP($B18,'2 Feedstock database'!$B$8:$N$27,2,FALSE)),"",VLOOKUP($B18,'2 Feedstock database'!$B$8:$N$27,2,FALSE)))</f>
        <v/>
      </c>
      <c r="E18" s="78" t="str">
        <f>IF(ISBLANK($B18),"",IF(ISERROR(VLOOKUP($B18,'2 Feedstock database'!$B$8:$N$27,3,FALSE)),"",VLOOKUP($B18,'2 Feedstock database'!$B$8:$N$27,3,FALSE)))</f>
        <v/>
      </c>
      <c r="F18" s="227" t="str">
        <f>IF(ISBLANK($B18),"",IF(ISERROR(VLOOKUP($B18,'2 Feedstock database'!$B$8:$N$27,4,FALSE)),"",VLOOKUP($B18,'2 Feedstock database'!$B$8:$N$27,4,FALSE)))</f>
        <v/>
      </c>
      <c r="G18" s="227" t="str">
        <f>IF(ISBLANK($B18),"",IF(ISERROR(VLOOKUP($B18,'2 Feedstock database'!$B$8:$N$27,5,FALSE)),"",VLOOKUP($B18,'2 Feedstock database'!$B$8:$N$27,5,FALSE)))</f>
        <v/>
      </c>
      <c r="H18" s="282"/>
      <c r="I18" s="282"/>
      <c r="J18" s="282"/>
      <c r="K18" s="282"/>
      <c r="L18" s="77" t="str">
        <f>IF(ISBLANK($B18),"",IF(ISERROR(VLOOKUP($B18,'2 Feedstock database'!$B$8:$N$27,6,FALSE)),"",VLOOKUP($B18,'2 Feedstock database'!$B$8:$N$27,6,FALSE)))</f>
        <v/>
      </c>
      <c r="M18" s="78" t="str">
        <f>IF(ISBLANK($B18),"",IF(ISERROR(VLOOKUP($B18,'2 Feedstock database'!$B$8:$N$27,7,FALSE)),"",VLOOKUP($B18,'2 Feedstock database'!$B$8:$N$27,7,FALSE)))</f>
        <v/>
      </c>
      <c r="N18" s="78" t="str">
        <f>IF(ISBLANK($B18),"",IF(ISERROR(VLOOKUP($B18,'2 Feedstock database'!$B$8:$N$27,8,FALSE)),"",VLOOKUP($B18,'2 Feedstock database'!$B$8:$N$27,8,FALSE)))</f>
        <v/>
      </c>
      <c r="O18" s="78" t="str">
        <f>IF(ISBLANK($B18),"",IF(ISERROR(VLOOKUP($B18,'2 Feedstock database'!$B$8:$N$27,9,FALSE)),"",VLOOKUP($B18,'2 Feedstock database'!$B$8:$N$27,9,FALSE)))</f>
        <v/>
      </c>
      <c r="P18" s="184" t="str">
        <f t="shared" si="0"/>
        <v/>
      </c>
      <c r="Q18" s="78" t="str">
        <f>IF(ISBLANK($B18),"",IF(ISERROR(VLOOKUP($B18,'2 Feedstock database'!$B$8:$N$27,10,FALSE)),"",VLOOKUP($B18,'2 Feedstock database'!$B$8:$N$27,10,FALSE)))</f>
        <v/>
      </c>
      <c r="R18" s="184" t="str">
        <f t="shared" si="1"/>
        <v/>
      </c>
      <c r="S18" s="78" t="str">
        <f>IF(ISBLANK($B18),"",IF(ISERROR(VLOOKUP($B18,'2 Feedstock database'!$B$8:$N$27,11,FALSE)),"",VLOOKUP($B18,'2 Feedstock database'!$B$8:$N$27,11,FALSE)))</f>
        <v/>
      </c>
      <c r="T18" s="78" t="str">
        <f>IF(ISBLANK($B18),"",IF(ISERROR(VLOOKUP($B18,'2 Feedstock database'!$B$8:$N$27,12,FALSE)),"",VLOOKUP($B18,'2 Feedstock database'!$B$8:$N$27,12,FALSE)))</f>
        <v/>
      </c>
      <c r="U18" s="78" t="str">
        <f>IF(ISBLANK($B18),"",IF(ISERROR(VLOOKUP($B18,'2 Feedstock database'!$B$8:$N$27,13,FALSE)),"",VLOOKUP($B18,'2 Feedstock database'!$B$8:$N$27,13,FALSE)))</f>
        <v/>
      </c>
      <c r="V18" s="80" t="str">
        <f t="shared" si="2"/>
        <v/>
      </c>
      <c r="W18" s="80" t="str">
        <f t="shared" si="3"/>
        <v/>
      </c>
      <c r="X18" s="80" t="str">
        <f t="shared" si="4"/>
        <v/>
      </c>
      <c r="Y18" s="80" t="str">
        <f t="shared" si="5"/>
        <v/>
      </c>
      <c r="Z18" s="141">
        <f t="shared" si="6"/>
        <v>0</v>
      </c>
      <c r="AA18" s="142">
        <f t="shared" si="7"/>
        <v>0</v>
      </c>
    </row>
    <row r="19" spans="1:27" x14ac:dyDescent="0.35">
      <c r="A19" s="1"/>
      <c r="B19" s="310" t="str">
        <f>IF(ISBLANK(' 1 Technology_check'!B18),"",' 1 Technology_check'!B18)</f>
        <v/>
      </c>
      <c r="C19" s="311" t="str">
        <f>IF(ISBLANK(' 1 Technology_check'!C18),"",' 1 Technology_check'!C18)</f>
        <v/>
      </c>
      <c r="D19" s="77" t="str">
        <f>IF(ISBLANK($B19),"",IF(ISERROR(VLOOKUP($B19,'2 Feedstock database'!$B$8:$N$27,2,FALSE)),"",VLOOKUP($B19,'2 Feedstock database'!$B$8:$N$27,2,FALSE)))</f>
        <v/>
      </c>
      <c r="E19" s="78" t="str">
        <f>IF(ISBLANK($B19),"",IF(ISERROR(VLOOKUP($B19,'2 Feedstock database'!$B$8:$N$27,3,FALSE)),"",VLOOKUP($B19,'2 Feedstock database'!$B$8:$N$27,3,FALSE)))</f>
        <v/>
      </c>
      <c r="F19" s="227" t="str">
        <f>IF(ISBLANK($B19),"",IF(ISERROR(VLOOKUP($B19,'2 Feedstock database'!$B$8:$N$27,4,FALSE)),"",VLOOKUP($B19,'2 Feedstock database'!$B$8:$N$27,4,FALSE)))</f>
        <v/>
      </c>
      <c r="G19" s="227" t="str">
        <f>IF(ISBLANK($B19),"",IF(ISERROR(VLOOKUP($B19,'2 Feedstock database'!$B$8:$N$27,5,FALSE)),"",VLOOKUP($B19,'2 Feedstock database'!$B$8:$N$27,5,FALSE)))</f>
        <v/>
      </c>
      <c r="H19" s="282"/>
      <c r="I19" s="282"/>
      <c r="J19" s="282"/>
      <c r="K19" s="282"/>
      <c r="L19" s="77" t="str">
        <f>IF(ISBLANK($B19),"",IF(ISERROR(VLOOKUP($B19,'2 Feedstock database'!$B$8:$N$27,6,FALSE)),"",VLOOKUP($B19,'2 Feedstock database'!$B$8:$N$27,6,FALSE)))</f>
        <v/>
      </c>
      <c r="M19" s="78" t="str">
        <f>IF(ISBLANK($B19),"",IF(ISERROR(VLOOKUP($B19,'2 Feedstock database'!$B$8:$N$27,7,FALSE)),"",VLOOKUP($B19,'2 Feedstock database'!$B$8:$N$27,7,FALSE)))</f>
        <v/>
      </c>
      <c r="N19" s="78" t="str">
        <f>IF(ISBLANK($B19),"",IF(ISERROR(VLOOKUP($B19,'2 Feedstock database'!$B$8:$N$27,8,FALSE)),"",VLOOKUP($B19,'2 Feedstock database'!$B$8:$N$27,8,FALSE)))</f>
        <v/>
      </c>
      <c r="O19" s="78" t="str">
        <f>IF(ISBLANK($B19),"",IF(ISERROR(VLOOKUP($B19,'2 Feedstock database'!$B$8:$N$27,9,FALSE)),"",VLOOKUP($B19,'2 Feedstock database'!$B$8:$N$27,9,FALSE)))</f>
        <v/>
      </c>
      <c r="P19" s="184" t="str">
        <f t="shared" si="0"/>
        <v/>
      </c>
      <c r="Q19" s="78" t="str">
        <f>IF(ISBLANK($B19),"",IF(ISERROR(VLOOKUP($B19,'2 Feedstock database'!$B$8:$N$27,10,FALSE)),"",VLOOKUP($B19,'2 Feedstock database'!$B$8:$N$27,10,FALSE)))</f>
        <v/>
      </c>
      <c r="R19" s="184" t="str">
        <f t="shared" si="1"/>
        <v/>
      </c>
      <c r="S19" s="78" t="str">
        <f>IF(ISBLANK($B19),"",IF(ISERROR(VLOOKUP($B19,'2 Feedstock database'!$B$8:$N$27,11,FALSE)),"",VLOOKUP($B19,'2 Feedstock database'!$B$8:$N$27,11,FALSE)))</f>
        <v/>
      </c>
      <c r="T19" s="78" t="str">
        <f>IF(ISBLANK($B19),"",IF(ISERROR(VLOOKUP($B19,'2 Feedstock database'!$B$8:$N$27,12,FALSE)),"",VLOOKUP($B19,'2 Feedstock database'!$B$8:$N$27,12,FALSE)))</f>
        <v/>
      </c>
      <c r="U19" s="78" t="str">
        <f>IF(ISBLANK($B19),"",IF(ISERROR(VLOOKUP($B19,'2 Feedstock database'!$B$8:$N$27,13,FALSE)),"",VLOOKUP($B19,'2 Feedstock database'!$B$8:$N$27,13,FALSE)))</f>
        <v/>
      </c>
      <c r="V19" s="80" t="str">
        <f t="shared" si="2"/>
        <v/>
      </c>
      <c r="W19" s="80" t="str">
        <f t="shared" si="3"/>
        <v/>
      </c>
      <c r="X19" s="80" t="str">
        <f t="shared" si="4"/>
        <v/>
      </c>
      <c r="Y19" s="80" t="str">
        <f t="shared" si="5"/>
        <v/>
      </c>
      <c r="Z19" s="141">
        <f t="shared" si="6"/>
        <v>0</v>
      </c>
      <c r="AA19" s="142">
        <f t="shared" si="7"/>
        <v>0</v>
      </c>
    </row>
    <row r="20" spans="1:27" x14ac:dyDescent="0.35">
      <c r="A20" s="1"/>
      <c r="B20" s="310" t="str">
        <f>IF(ISBLANK(' 1 Technology_check'!B19),"",' 1 Technology_check'!B19)</f>
        <v/>
      </c>
      <c r="C20" s="311" t="str">
        <f>IF(ISBLANK(' 1 Technology_check'!C19),"",' 1 Technology_check'!C19)</f>
        <v/>
      </c>
      <c r="D20" s="77" t="str">
        <f>IF(ISBLANK($B20),"",IF(ISERROR(VLOOKUP($B20,'2 Feedstock database'!$B$8:$N$27,2,FALSE)),"",VLOOKUP($B20,'2 Feedstock database'!$B$8:$N$27,2,FALSE)))</f>
        <v/>
      </c>
      <c r="E20" s="78" t="str">
        <f>IF(ISBLANK($B20),"",IF(ISERROR(VLOOKUP($B20,'2 Feedstock database'!$B$8:$N$27,3,FALSE)),"",VLOOKUP($B20,'2 Feedstock database'!$B$8:$N$27,3,FALSE)))</f>
        <v/>
      </c>
      <c r="F20" s="227" t="str">
        <f>IF(ISBLANK($B20),"",IF(ISERROR(VLOOKUP($B20,'2 Feedstock database'!$B$8:$N$27,4,FALSE)),"",VLOOKUP($B20,'2 Feedstock database'!$B$8:$N$27,4,FALSE)))</f>
        <v/>
      </c>
      <c r="G20" s="227" t="str">
        <f>IF(ISBLANK($B20),"",IF(ISERROR(VLOOKUP($B20,'2 Feedstock database'!$B$8:$N$27,5,FALSE)),"",VLOOKUP($B20,'2 Feedstock database'!$B$8:$N$27,5,FALSE)))</f>
        <v/>
      </c>
      <c r="H20" s="282"/>
      <c r="I20" s="282"/>
      <c r="J20" s="282"/>
      <c r="K20" s="282"/>
      <c r="L20" s="77" t="str">
        <f>IF(ISBLANK($B20),"",IF(ISERROR(VLOOKUP($B20,'2 Feedstock database'!$B$8:$N$27,6,FALSE)),"",VLOOKUP($B20,'2 Feedstock database'!$B$8:$N$27,6,FALSE)))</f>
        <v/>
      </c>
      <c r="M20" s="78" t="str">
        <f>IF(ISBLANK($B20),"",IF(ISERROR(VLOOKUP($B20,'2 Feedstock database'!$B$8:$N$27,7,FALSE)),"",VLOOKUP($B20,'2 Feedstock database'!$B$8:$N$27,7,FALSE)))</f>
        <v/>
      </c>
      <c r="N20" s="78" t="str">
        <f>IF(ISBLANK($B20),"",IF(ISERROR(VLOOKUP($B20,'2 Feedstock database'!$B$8:$N$27,8,FALSE)),"",VLOOKUP($B20,'2 Feedstock database'!$B$8:$N$27,8,FALSE)))</f>
        <v/>
      </c>
      <c r="O20" s="78" t="str">
        <f>IF(ISBLANK($B20),"",IF(ISERROR(VLOOKUP($B20,'2 Feedstock database'!$B$8:$N$27,9,FALSE)),"",VLOOKUP($B20,'2 Feedstock database'!$B$8:$N$27,9,FALSE)))</f>
        <v/>
      </c>
      <c r="P20" s="184" t="str">
        <f t="shared" si="0"/>
        <v/>
      </c>
      <c r="Q20" s="78" t="str">
        <f>IF(ISBLANK($B20),"",IF(ISERROR(VLOOKUP($B20,'2 Feedstock database'!$B$8:$N$27,10,FALSE)),"",VLOOKUP($B20,'2 Feedstock database'!$B$8:$N$27,10,FALSE)))</f>
        <v/>
      </c>
      <c r="R20" s="184" t="str">
        <f t="shared" si="1"/>
        <v/>
      </c>
      <c r="S20" s="78" t="str">
        <f>IF(ISBLANK($B20),"",IF(ISERROR(VLOOKUP($B20,'2 Feedstock database'!$B$8:$N$27,11,FALSE)),"",VLOOKUP($B20,'2 Feedstock database'!$B$8:$N$27,11,FALSE)))</f>
        <v/>
      </c>
      <c r="T20" s="78" t="str">
        <f>IF(ISBLANK($B20),"",IF(ISERROR(VLOOKUP($B20,'2 Feedstock database'!$B$8:$N$27,12,FALSE)),"",VLOOKUP($B20,'2 Feedstock database'!$B$8:$N$27,12,FALSE)))</f>
        <v/>
      </c>
      <c r="U20" s="78" t="str">
        <f>IF(ISBLANK($B20),"",IF(ISERROR(VLOOKUP($B20,'2 Feedstock database'!$B$8:$N$27,13,FALSE)),"",VLOOKUP($B20,'2 Feedstock database'!$B$8:$N$27,13,FALSE)))</f>
        <v/>
      </c>
      <c r="V20" s="80" t="str">
        <f t="shared" si="2"/>
        <v/>
      </c>
      <c r="W20" s="80" t="str">
        <f t="shared" si="3"/>
        <v/>
      </c>
      <c r="X20" s="80" t="str">
        <f t="shared" si="4"/>
        <v/>
      </c>
      <c r="Y20" s="80" t="str">
        <f t="shared" si="5"/>
        <v/>
      </c>
      <c r="Z20" s="141">
        <f t="shared" si="6"/>
        <v>0</v>
      </c>
      <c r="AA20" s="142">
        <f t="shared" si="7"/>
        <v>0</v>
      </c>
    </row>
    <row r="21" spans="1:27" x14ac:dyDescent="0.35">
      <c r="A21" s="1"/>
      <c r="B21" s="310" t="str">
        <f>IF(ISBLANK(' 1 Technology_check'!B20),"",' 1 Technology_check'!B20)</f>
        <v/>
      </c>
      <c r="C21" s="311" t="str">
        <f>IF(ISBLANK(' 1 Technology_check'!C20),"",' 1 Technology_check'!C20)</f>
        <v/>
      </c>
      <c r="D21" s="77" t="str">
        <f>IF(ISBLANK($B21),"",IF(ISERROR(VLOOKUP($B21,'2 Feedstock database'!$B$8:$N$27,2,FALSE)),"",VLOOKUP($B21,'2 Feedstock database'!$B$8:$N$27,2,FALSE)))</f>
        <v/>
      </c>
      <c r="E21" s="78" t="str">
        <f>IF(ISBLANK($B21),"",IF(ISERROR(VLOOKUP($B21,'2 Feedstock database'!$B$8:$N$27,3,FALSE)),"",VLOOKUP($B21,'2 Feedstock database'!$B$8:$N$27,3,FALSE)))</f>
        <v/>
      </c>
      <c r="F21" s="227" t="str">
        <f>IF(ISBLANK($B21),"",IF(ISERROR(VLOOKUP($B21,'2 Feedstock database'!$B$8:$N$27,4,FALSE)),"",VLOOKUP($B21,'2 Feedstock database'!$B$8:$N$27,4,FALSE)))</f>
        <v/>
      </c>
      <c r="G21" s="227" t="str">
        <f>IF(ISBLANK($B21),"",IF(ISERROR(VLOOKUP($B21,'2 Feedstock database'!$B$8:$N$27,5,FALSE)),"",VLOOKUP($B21,'2 Feedstock database'!$B$8:$N$27,5,FALSE)))</f>
        <v/>
      </c>
      <c r="H21" s="282"/>
      <c r="I21" s="282"/>
      <c r="J21" s="282"/>
      <c r="K21" s="282"/>
      <c r="L21" s="77" t="str">
        <f>IF(ISBLANK($B21),"",IF(ISERROR(VLOOKUP($B21,'2 Feedstock database'!$B$8:$N$27,6,FALSE)),"",VLOOKUP($B21,'2 Feedstock database'!$B$8:$N$27,6,FALSE)))</f>
        <v/>
      </c>
      <c r="M21" s="78" t="str">
        <f>IF(ISBLANK($B21),"",IF(ISERROR(VLOOKUP($B21,'2 Feedstock database'!$B$8:$N$27,7,FALSE)),"",VLOOKUP($B21,'2 Feedstock database'!$B$8:$N$27,7,FALSE)))</f>
        <v/>
      </c>
      <c r="N21" s="78" t="str">
        <f>IF(ISBLANK($B21),"",IF(ISERROR(VLOOKUP($B21,'2 Feedstock database'!$B$8:$N$27,8,FALSE)),"",VLOOKUP($B21,'2 Feedstock database'!$B$8:$N$27,8,FALSE)))</f>
        <v/>
      </c>
      <c r="O21" s="78" t="str">
        <f>IF(ISBLANK($B21),"",IF(ISERROR(VLOOKUP($B21,'2 Feedstock database'!$B$8:$N$27,9,FALSE)),"",VLOOKUP($B21,'2 Feedstock database'!$B$8:$N$27,9,FALSE)))</f>
        <v/>
      </c>
      <c r="P21" s="184" t="str">
        <f t="shared" si="0"/>
        <v/>
      </c>
      <c r="Q21" s="78" t="str">
        <f>IF(ISBLANK($B21),"",IF(ISERROR(VLOOKUP($B21,'2 Feedstock database'!$B$8:$N$27,10,FALSE)),"",VLOOKUP($B21,'2 Feedstock database'!$B$8:$N$27,10,FALSE)))</f>
        <v/>
      </c>
      <c r="R21" s="184" t="str">
        <f t="shared" si="1"/>
        <v/>
      </c>
      <c r="S21" s="78" t="str">
        <f>IF(ISBLANK($B21),"",IF(ISERROR(VLOOKUP($B21,'2 Feedstock database'!$B$8:$N$27,11,FALSE)),"",VLOOKUP($B21,'2 Feedstock database'!$B$8:$N$27,11,FALSE)))</f>
        <v/>
      </c>
      <c r="T21" s="78" t="str">
        <f>IF(ISBLANK($B21),"",IF(ISERROR(VLOOKUP($B21,'2 Feedstock database'!$B$8:$N$27,12,FALSE)),"",VLOOKUP($B21,'2 Feedstock database'!$B$8:$N$27,12,FALSE)))</f>
        <v/>
      </c>
      <c r="U21" s="78" t="str">
        <f>IF(ISBLANK($B21),"",IF(ISERROR(VLOOKUP($B21,'2 Feedstock database'!$B$8:$N$27,13,FALSE)),"",VLOOKUP($B21,'2 Feedstock database'!$B$8:$N$27,13,FALSE)))</f>
        <v/>
      </c>
      <c r="V21" s="80" t="str">
        <f t="shared" si="2"/>
        <v/>
      </c>
      <c r="W21" s="80" t="str">
        <f t="shared" si="3"/>
        <v/>
      </c>
      <c r="X21" s="80" t="str">
        <f t="shared" si="4"/>
        <v/>
      </c>
      <c r="Y21" s="80" t="str">
        <f t="shared" si="5"/>
        <v/>
      </c>
      <c r="Z21" s="141">
        <f t="shared" si="6"/>
        <v>0</v>
      </c>
      <c r="AA21" s="142">
        <f t="shared" si="7"/>
        <v>0</v>
      </c>
    </row>
    <row r="22" spans="1:27" x14ac:dyDescent="0.35">
      <c r="A22" s="1"/>
      <c r="B22" s="310" t="str">
        <f>IF(ISBLANK(' 1 Technology_check'!B21),"",' 1 Technology_check'!B21)</f>
        <v/>
      </c>
      <c r="C22" s="311" t="str">
        <f>IF(ISBLANK(' 1 Technology_check'!C21),"",' 1 Technology_check'!C21)</f>
        <v/>
      </c>
      <c r="D22" s="77" t="str">
        <f>IF(ISBLANK($B22),"",IF(ISERROR(VLOOKUP($B22,'2 Feedstock database'!$B$8:$N$27,2,FALSE)),"",VLOOKUP($B22,'2 Feedstock database'!$B$8:$N$27,2,FALSE)))</f>
        <v/>
      </c>
      <c r="E22" s="78" t="str">
        <f>IF(ISBLANK($B22),"",IF(ISERROR(VLOOKUP($B22,'2 Feedstock database'!$B$8:$N$27,3,FALSE)),"",VLOOKUP($B22,'2 Feedstock database'!$B$8:$N$27,3,FALSE)))</f>
        <v/>
      </c>
      <c r="F22" s="227" t="str">
        <f>IF(ISBLANK($B22),"",IF(ISERROR(VLOOKUP($B22,'2 Feedstock database'!$B$8:$N$27,4,FALSE)),"",VLOOKUP($B22,'2 Feedstock database'!$B$8:$N$27,4,FALSE)))</f>
        <v/>
      </c>
      <c r="G22" s="227" t="str">
        <f>IF(ISBLANK($B22),"",IF(ISERROR(VLOOKUP($B22,'2 Feedstock database'!$B$8:$N$27,5,FALSE)),"",VLOOKUP($B22,'2 Feedstock database'!$B$8:$N$27,5,FALSE)))</f>
        <v/>
      </c>
      <c r="H22" s="282"/>
      <c r="I22" s="282"/>
      <c r="J22" s="282"/>
      <c r="K22" s="282"/>
      <c r="L22" s="77" t="str">
        <f>IF(ISBLANK($B22),"",IF(ISERROR(VLOOKUP($B22,'2 Feedstock database'!$B$8:$N$27,6,FALSE)),"",VLOOKUP($B22,'2 Feedstock database'!$B$8:$N$27,6,FALSE)))</f>
        <v/>
      </c>
      <c r="M22" s="78" t="str">
        <f>IF(ISBLANK($B22),"",IF(ISERROR(VLOOKUP($B22,'2 Feedstock database'!$B$8:$N$27,7,FALSE)),"",VLOOKUP($B22,'2 Feedstock database'!$B$8:$N$27,7,FALSE)))</f>
        <v/>
      </c>
      <c r="N22" s="78" t="str">
        <f>IF(ISBLANK($B22),"",IF(ISERROR(VLOOKUP($B22,'2 Feedstock database'!$B$8:$N$27,8,FALSE)),"",VLOOKUP($B22,'2 Feedstock database'!$B$8:$N$27,8,FALSE)))</f>
        <v/>
      </c>
      <c r="O22" s="78" t="str">
        <f>IF(ISBLANK($B22),"",IF(ISERROR(VLOOKUP($B22,'2 Feedstock database'!$B$8:$N$27,9,FALSE)),"",VLOOKUP($B22,'2 Feedstock database'!$B$8:$N$27,9,FALSE)))</f>
        <v/>
      </c>
      <c r="P22" s="184" t="str">
        <f t="shared" si="0"/>
        <v/>
      </c>
      <c r="Q22" s="78" t="str">
        <f>IF(ISBLANK($B22),"",IF(ISERROR(VLOOKUP($B22,'2 Feedstock database'!$B$8:$N$27,10,FALSE)),"",VLOOKUP($B22,'2 Feedstock database'!$B$8:$N$27,10,FALSE)))</f>
        <v/>
      </c>
      <c r="R22" s="184" t="str">
        <f t="shared" si="1"/>
        <v/>
      </c>
      <c r="S22" s="78" t="str">
        <f>IF(ISBLANK($B22),"",IF(ISERROR(VLOOKUP($B22,'2 Feedstock database'!$B$8:$N$27,11,FALSE)),"",VLOOKUP($B22,'2 Feedstock database'!$B$8:$N$27,11,FALSE)))</f>
        <v/>
      </c>
      <c r="T22" s="78" t="str">
        <f>IF(ISBLANK($B22),"",IF(ISERROR(VLOOKUP($B22,'2 Feedstock database'!$B$8:$N$27,12,FALSE)),"",VLOOKUP($B22,'2 Feedstock database'!$B$8:$N$27,12,FALSE)))</f>
        <v/>
      </c>
      <c r="U22" s="78" t="str">
        <f>IF(ISBLANK($B22),"",IF(ISERROR(VLOOKUP($B22,'2 Feedstock database'!$B$8:$N$27,13,FALSE)),"",VLOOKUP($B22,'2 Feedstock database'!$B$8:$N$27,13,FALSE)))</f>
        <v/>
      </c>
      <c r="V22" s="80" t="str">
        <f t="shared" si="2"/>
        <v/>
      </c>
      <c r="W22" s="80" t="str">
        <f t="shared" si="3"/>
        <v/>
      </c>
      <c r="X22" s="80" t="str">
        <f t="shared" si="4"/>
        <v/>
      </c>
      <c r="Y22" s="80" t="str">
        <f t="shared" si="5"/>
        <v/>
      </c>
      <c r="Z22" s="141">
        <f t="shared" si="6"/>
        <v>0</v>
      </c>
      <c r="AA22" s="142">
        <f t="shared" si="7"/>
        <v>0</v>
      </c>
    </row>
    <row r="23" spans="1:27" x14ac:dyDescent="0.35">
      <c r="A23" s="1"/>
      <c r="B23" s="310" t="str">
        <f>IF(ISBLANK(' 1 Technology_check'!B22),"",' 1 Technology_check'!B22)</f>
        <v/>
      </c>
      <c r="C23" s="311" t="str">
        <f>IF(ISBLANK(' 1 Technology_check'!C22),"",' 1 Technology_check'!C22)</f>
        <v/>
      </c>
      <c r="D23" s="77" t="str">
        <f>IF(ISBLANK($B23),"",IF(ISERROR(VLOOKUP($B23,'2 Feedstock database'!$B$8:$N$27,2,FALSE)),"",VLOOKUP($B23,'2 Feedstock database'!$B$8:$N$27,2,FALSE)))</f>
        <v/>
      </c>
      <c r="E23" s="78" t="str">
        <f>IF(ISBLANK($B23),"",IF(ISERROR(VLOOKUP($B23,'2 Feedstock database'!$B$8:$N$27,3,FALSE)),"",VLOOKUP($B23,'2 Feedstock database'!$B$8:$N$27,3,FALSE)))</f>
        <v/>
      </c>
      <c r="F23" s="227" t="str">
        <f>IF(ISBLANK($B23),"",IF(ISERROR(VLOOKUP($B23,'2 Feedstock database'!$B$8:$N$27,4,FALSE)),"",VLOOKUP($B23,'2 Feedstock database'!$B$8:$N$27,4,FALSE)))</f>
        <v/>
      </c>
      <c r="G23" s="227" t="str">
        <f>IF(ISBLANK($B23),"",IF(ISERROR(VLOOKUP($B23,'2 Feedstock database'!$B$8:$N$27,5,FALSE)),"",VLOOKUP($B23,'2 Feedstock database'!$B$8:$N$27,5,FALSE)))</f>
        <v/>
      </c>
      <c r="H23" s="282"/>
      <c r="I23" s="282"/>
      <c r="J23" s="282"/>
      <c r="K23" s="282"/>
      <c r="L23" s="77" t="str">
        <f>IF(ISBLANK($B23),"",IF(ISERROR(VLOOKUP($B23,'2 Feedstock database'!$B$8:$N$27,6,FALSE)),"",VLOOKUP($B23,'2 Feedstock database'!$B$8:$N$27,6,FALSE)))</f>
        <v/>
      </c>
      <c r="M23" s="78" t="str">
        <f>IF(ISBLANK($B23),"",IF(ISERROR(VLOOKUP($B23,'2 Feedstock database'!$B$8:$N$27,7,FALSE)),"",VLOOKUP($B23,'2 Feedstock database'!$B$8:$N$27,7,FALSE)))</f>
        <v/>
      </c>
      <c r="N23" s="78" t="str">
        <f>IF(ISBLANK($B23),"",IF(ISERROR(VLOOKUP($B23,'2 Feedstock database'!$B$8:$N$27,8,FALSE)),"",VLOOKUP($B23,'2 Feedstock database'!$B$8:$N$27,8,FALSE)))</f>
        <v/>
      </c>
      <c r="O23" s="78" t="str">
        <f>IF(ISBLANK($B23),"",IF(ISERROR(VLOOKUP($B23,'2 Feedstock database'!$B$8:$N$27,9,FALSE)),"",VLOOKUP($B23,'2 Feedstock database'!$B$8:$N$27,9,FALSE)))</f>
        <v/>
      </c>
      <c r="P23" s="184" t="str">
        <f t="shared" si="0"/>
        <v/>
      </c>
      <c r="Q23" s="78" t="str">
        <f>IF(ISBLANK($B23),"",IF(ISERROR(VLOOKUP($B23,'2 Feedstock database'!$B$8:$N$27,10,FALSE)),"",VLOOKUP($B23,'2 Feedstock database'!$B$8:$N$27,10,FALSE)))</f>
        <v/>
      </c>
      <c r="R23" s="184" t="str">
        <f t="shared" si="1"/>
        <v/>
      </c>
      <c r="S23" s="78" t="str">
        <f>IF(ISBLANK($B23),"",IF(ISERROR(VLOOKUP($B23,'2 Feedstock database'!$B$8:$N$27,11,FALSE)),"",VLOOKUP($B23,'2 Feedstock database'!$B$8:$N$27,11,FALSE)))</f>
        <v/>
      </c>
      <c r="T23" s="78" t="str">
        <f>IF(ISBLANK($B23),"",IF(ISERROR(VLOOKUP($B23,'2 Feedstock database'!$B$8:$N$27,12,FALSE)),"",VLOOKUP($B23,'2 Feedstock database'!$B$8:$N$27,12,FALSE)))</f>
        <v/>
      </c>
      <c r="U23" s="78" t="str">
        <f>IF(ISBLANK($B23),"",IF(ISERROR(VLOOKUP($B23,'2 Feedstock database'!$B$8:$N$27,13,FALSE)),"",VLOOKUP($B23,'2 Feedstock database'!$B$8:$N$27,13,FALSE)))</f>
        <v/>
      </c>
      <c r="V23" s="80" t="str">
        <f t="shared" si="2"/>
        <v/>
      </c>
      <c r="W23" s="80" t="str">
        <f t="shared" si="3"/>
        <v/>
      </c>
      <c r="X23" s="80" t="str">
        <f t="shared" si="4"/>
        <v/>
      </c>
      <c r="Y23" s="80" t="str">
        <f t="shared" si="5"/>
        <v/>
      </c>
      <c r="Z23" s="141">
        <f t="shared" si="6"/>
        <v>0</v>
      </c>
      <c r="AA23" s="142">
        <f t="shared" si="7"/>
        <v>0</v>
      </c>
    </row>
    <row r="24" spans="1:27" x14ac:dyDescent="0.35">
      <c r="A24" s="1"/>
      <c r="B24" s="310" t="str">
        <f>IF(ISBLANK(' 1 Technology_check'!B23),"",' 1 Technology_check'!B23)</f>
        <v/>
      </c>
      <c r="C24" s="311" t="str">
        <f>IF(ISBLANK(' 1 Technology_check'!C23),"",' 1 Technology_check'!C23)</f>
        <v/>
      </c>
      <c r="D24" s="77" t="str">
        <f>IF(ISBLANK($B24),"",IF(ISERROR(VLOOKUP($B24,'2 Feedstock database'!$B$8:$N$27,2,FALSE)),"",VLOOKUP($B24,'2 Feedstock database'!$B$8:$N$27,2,FALSE)))</f>
        <v/>
      </c>
      <c r="E24" s="78" t="str">
        <f>IF(ISBLANK($B24),"",IF(ISERROR(VLOOKUP($B24,'2 Feedstock database'!$B$8:$N$27,3,FALSE)),"",VLOOKUP($B24,'2 Feedstock database'!$B$8:$N$27,3,FALSE)))</f>
        <v/>
      </c>
      <c r="F24" s="227" t="str">
        <f>IF(ISBLANK($B24),"",IF(ISERROR(VLOOKUP($B24,'2 Feedstock database'!$B$8:$N$27,4,FALSE)),"",VLOOKUP($B24,'2 Feedstock database'!$B$8:$N$27,4,FALSE)))</f>
        <v/>
      </c>
      <c r="G24" s="227" t="str">
        <f>IF(ISBLANK($B24),"",IF(ISERROR(VLOOKUP($B24,'2 Feedstock database'!$B$8:$N$27,5,FALSE)),"",VLOOKUP($B24,'2 Feedstock database'!$B$8:$N$27,5,FALSE)))</f>
        <v/>
      </c>
      <c r="H24" s="282"/>
      <c r="I24" s="282"/>
      <c r="J24" s="282"/>
      <c r="K24" s="282"/>
      <c r="L24" s="77" t="str">
        <f>IF(ISBLANK($B24),"",IF(ISERROR(VLOOKUP($B24,'2 Feedstock database'!$B$8:$N$27,6,FALSE)),"",VLOOKUP($B24,'2 Feedstock database'!$B$8:$N$27,6,FALSE)))</f>
        <v/>
      </c>
      <c r="M24" s="78" t="str">
        <f>IF(ISBLANK($B24),"",IF(ISERROR(VLOOKUP($B24,'2 Feedstock database'!$B$8:$N$27,7,FALSE)),"",VLOOKUP($B24,'2 Feedstock database'!$B$8:$N$27,7,FALSE)))</f>
        <v/>
      </c>
      <c r="N24" s="78" t="str">
        <f>IF(ISBLANK($B24),"",IF(ISERROR(VLOOKUP($B24,'2 Feedstock database'!$B$8:$N$27,8,FALSE)),"",VLOOKUP($B24,'2 Feedstock database'!$B$8:$N$27,8,FALSE)))</f>
        <v/>
      </c>
      <c r="O24" s="78" t="str">
        <f>IF(ISBLANK($B24),"",IF(ISERROR(VLOOKUP($B24,'2 Feedstock database'!$B$8:$N$27,9,FALSE)),"",VLOOKUP($B24,'2 Feedstock database'!$B$8:$N$27,9,FALSE)))</f>
        <v/>
      </c>
      <c r="P24" s="184" t="str">
        <f t="shared" si="0"/>
        <v/>
      </c>
      <c r="Q24" s="78" t="str">
        <f>IF(ISBLANK($B24),"",IF(ISERROR(VLOOKUP($B24,'2 Feedstock database'!$B$8:$N$27,10,FALSE)),"",VLOOKUP($B24,'2 Feedstock database'!$B$8:$N$27,10,FALSE)))</f>
        <v/>
      </c>
      <c r="R24" s="184" t="str">
        <f t="shared" si="1"/>
        <v/>
      </c>
      <c r="S24" s="78" t="str">
        <f>IF(ISBLANK($B24),"",IF(ISERROR(VLOOKUP($B24,'2 Feedstock database'!$B$8:$N$27,11,FALSE)),"",VLOOKUP($B24,'2 Feedstock database'!$B$8:$N$27,11,FALSE)))</f>
        <v/>
      </c>
      <c r="T24" s="78" t="str">
        <f>IF(ISBLANK($B24),"",IF(ISERROR(VLOOKUP($B24,'2 Feedstock database'!$B$8:$N$27,12,FALSE)),"",VLOOKUP($B24,'2 Feedstock database'!$B$8:$N$27,12,FALSE)))</f>
        <v/>
      </c>
      <c r="U24" s="78" t="str">
        <f>IF(ISBLANK($B24),"",IF(ISERROR(VLOOKUP($B24,'2 Feedstock database'!$B$8:$N$27,13,FALSE)),"",VLOOKUP($B24,'2 Feedstock database'!$B$8:$N$27,13,FALSE)))</f>
        <v/>
      </c>
      <c r="V24" s="80" t="str">
        <f t="shared" si="2"/>
        <v/>
      </c>
      <c r="W24" s="80" t="str">
        <f t="shared" si="3"/>
        <v/>
      </c>
      <c r="X24" s="80" t="str">
        <f t="shared" si="4"/>
        <v/>
      </c>
      <c r="Y24" s="80" t="str">
        <f t="shared" si="5"/>
        <v/>
      </c>
      <c r="Z24" s="141">
        <f t="shared" si="6"/>
        <v>0</v>
      </c>
      <c r="AA24" s="142">
        <f t="shared" si="7"/>
        <v>0</v>
      </c>
    </row>
    <row r="25" spans="1:27" ht="15" thickBot="1" x14ac:dyDescent="0.4">
      <c r="A25" s="1"/>
      <c r="B25" s="312" t="str">
        <f>IF(ISBLANK(' 1 Technology_check'!B24),"",' 1 Technology_check'!B24)</f>
        <v/>
      </c>
      <c r="C25" s="313" t="str">
        <f>IF(ISBLANK(' 1 Technology_check'!C24),"",' 1 Technology_check'!C24)</f>
        <v/>
      </c>
      <c r="D25" s="82" t="str">
        <f>IF(ISBLANK($B25),"",IF(ISERROR(VLOOKUP($B25,'2 Feedstock database'!$B$8:$N$27,2,FALSE)),"",VLOOKUP($B25,'2 Feedstock database'!$B$8:$N$27,2,FALSE)))</f>
        <v/>
      </c>
      <c r="E25" s="83" t="str">
        <f>IF(ISBLANK($B25),"",IF(ISERROR(VLOOKUP($B25,'2 Feedstock database'!$B$8:$N$27,3,FALSE)),"",VLOOKUP($B25,'2 Feedstock database'!$B$8:$N$27,3,FALSE)))</f>
        <v/>
      </c>
      <c r="F25" s="228" t="str">
        <f>IF(ISBLANK($B25),"",IF(ISERROR(VLOOKUP($B25,'2 Feedstock database'!$B$8:$N$27,4,FALSE)),"",VLOOKUP($B25,'2 Feedstock database'!$B$8:$N$27,4,FALSE)))</f>
        <v/>
      </c>
      <c r="G25" s="228" t="str">
        <f>IF(ISBLANK($B25),"",IF(ISERROR(VLOOKUP($B25,'2 Feedstock database'!$B$8:$N$27,5,FALSE)),"",VLOOKUP($B25,'2 Feedstock database'!$B$8:$N$27,5,FALSE)))</f>
        <v/>
      </c>
      <c r="H25" s="282"/>
      <c r="I25" s="282"/>
      <c r="J25" s="282"/>
      <c r="K25" s="282"/>
      <c r="L25" s="82" t="str">
        <f>IF(ISBLANK($B25),"",IF(ISERROR(VLOOKUP($B25,'2 Feedstock database'!$B$8:$N$27,6,FALSE)),"",VLOOKUP($B25,'2 Feedstock database'!$B$8:$N$27,6,FALSE)))</f>
        <v/>
      </c>
      <c r="M25" s="83" t="str">
        <f>IF(ISBLANK($B25),"",IF(ISERROR(VLOOKUP($B25,'2 Feedstock database'!$B$8:$N$27,7,FALSE)),"",VLOOKUP($B25,'2 Feedstock database'!$B$8:$N$27,7,FALSE)))</f>
        <v/>
      </c>
      <c r="N25" s="83" t="str">
        <f>IF(ISBLANK($B25),"",IF(ISERROR(VLOOKUP($B25,'2 Feedstock database'!$B$8:$N$27,8,FALSE)),"",VLOOKUP($B25,'2 Feedstock database'!$B$8:$N$27,8,FALSE)))</f>
        <v/>
      </c>
      <c r="O25" s="83" t="str">
        <f>IF(ISBLANK($B25),"",IF(ISERROR(VLOOKUP($B25,'2 Feedstock database'!$B$8:$N$27,9,FALSE)),"",VLOOKUP($B25,'2 Feedstock database'!$B$8:$N$27,9,FALSE)))</f>
        <v/>
      </c>
      <c r="P25" s="185" t="str">
        <f t="shared" si="0"/>
        <v/>
      </c>
      <c r="Q25" s="83" t="str">
        <f>IF(ISBLANK($B25),"",IF(ISERROR(VLOOKUP($B25,'2 Feedstock database'!$B$8:$N$27,10,FALSE)),"",VLOOKUP($B25,'2 Feedstock database'!$B$8:$N$27,10,FALSE)))</f>
        <v/>
      </c>
      <c r="R25" s="185" t="str">
        <f t="shared" si="1"/>
        <v/>
      </c>
      <c r="S25" s="83" t="str">
        <f>IF(ISBLANK($B25),"",IF(ISERROR(VLOOKUP($B25,'2 Feedstock database'!$B$8:$N$27,11,FALSE)),"",VLOOKUP($B25,'2 Feedstock database'!$B$8:$N$27,11,FALSE)))</f>
        <v/>
      </c>
      <c r="T25" s="83" t="str">
        <f>IF(ISBLANK($B25),"",IF(ISERROR(VLOOKUP($B25,'2 Feedstock database'!$B$8:$N$27,12,FALSE)),"",VLOOKUP($B25,'2 Feedstock database'!$B$8:$N$27,12,FALSE)))</f>
        <v/>
      </c>
      <c r="U25" s="83" t="str">
        <f>IF(ISBLANK($B25),"",IF(ISERROR(VLOOKUP($B25,'2 Feedstock database'!$B$8:$N$27,13,FALSE)),"",VLOOKUP($B25,'2 Feedstock database'!$B$8:$N$27,13,FALSE)))</f>
        <v/>
      </c>
      <c r="V25" s="87" t="str">
        <f t="shared" si="2"/>
        <v/>
      </c>
      <c r="W25" s="87" t="str">
        <f t="shared" si="3"/>
        <v/>
      </c>
      <c r="X25" s="87" t="str">
        <f t="shared" si="4"/>
        <v/>
      </c>
      <c r="Y25" s="87" t="str">
        <f t="shared" si="5"/>
        <v/>
      </c>
      <c r="Z25" s="58">
        <f t="shared" si="6"/>
        <v>0</v>
      </c>
      <c r="AA25" s="147">
        <f t="shared" si="7"/>
        <v>0</v>
      </c>
    </row>
    <row r="26" spans="1:27" x14ac:dyDescent="0.35">
      <c r="A26" s="1"/>
      <c r="B26" s="186"/>
      <c r="C26" s="89"/>
      <c r="D26" s="90"/>
      <c r="E26" s="90"/>
      <c r="F26" s="90"/>
      <c r="G26" s="90"/>
      <c r="H26" s="285"/>
      <c r="I26" s="285"/>
      <c r="J26" s="285"/>
      <c r="K26" s="290"/>
      <c r="L26" s="92"/>
      <c r="M26" s="91"/>
      <c r="N26" s="90"/>
      <c r="O26" s="90"/>
      <c r="P26" s="90"/>
      <c r="Q26" s="89"/>
      <c r="R26" s="89"/>
      <c r="S26" s="89"/>
      <c r="T26" s="89"/>
    </row>
    <row r="27" spans="1:27" ht="23.5" x14ac:dyDescent="0.55000000000000004">
      <c r="A27" s="1"/>
      <c r="B27" s="379" t="s">
        <v>101</v>
      </c>
      <c r="C27" s="379"/>
      <c r="D27" s="90"/>
      <c r="E27" s="90"/>
      <c r="F27" s="90"/>
      <c r="G27" s="90"/>
      <c r="H27" s="90"/>
      <c r="I27" s="90"/>
      <c r="J27" s="90"/>
      <c r="K27" s="91"/>
      <c r="L27" s="92"/>
      <c r="M27" s="91"/>
      <c r="N27" s="90"/>
      <c r="O27" s="90"/>
      <c r="P27" s="90"/>
      <c r="Q27" s="89"/>
      <c r="R27" s="89"/>
      <c r="S27" s="89"/>
      <c r="T27" s="89"/>
    </row>
    <row r="28" spans="1:27" ht="18.5" x14ac:dyDescent="0.35">
      <c r="A28" s="1"/>
      <c r="B28" s="303" t="s">
        <v>280</v>
      </c>
      <c r="C28" s="89"/>
      <c r="D28" s="90"/>
      <c r="E28" s="90"/>
      <c r="F28" s="90"/>
      <c r="G28" s="90"/>
      <c r="H28" s="90"/>
      <c r="I28" s="90"/>
      <c r="J28" s="90"/>
      <c r="K28" s="91"/>
      <c r="L28" s="92"/>
      <c r="M28" s="91"/>
      <c r="N28" s="90"/>
      <c r="O28" s="90"/>
      <c r="P28" s="90"/>
      <c r="Q28" s="89"/>
      <c r="R28" s="89"/>
      <c r="S28" s="89"/>
      <c r="T28" s="89"/>
    </row>
    <row r="29" spans="1:27" ht="19" thickBot="1" x14ac:dyDescent="0.4">
      <c r="A29" s="1"/>
      <c r="B29" s="93"/>
      <c r="C29" s="89"/>
      <c r="D29" s="90"/>
      <c r="E29" s="90"/>
      <c r="F29" s="90"/>
      <c r="G29" s="90"/>
      <c r="H29" s="90"/>
      <c r="I29" s="90"/>
      <c r="J29" s="90"/>
      <c r="K29" s="91"/>
      <c r="L29" s="92"/>
      <c r="M29" s="91"/>
      <c r="N29" s="90"/>
      <c r="O29" s="90"/>
      <c r="P29" s="90"/>
      <c r="Q29" s="89"/>
      <c r="R29" s="89"/>
      <c r="S29" s="89"/>
      <c r="T29" s="89"/>
    </row>
    <row r="30" spans="1:27" x14ac:dyDescent="0.35">
      <c r="A30" s="1"/>
      <c r="B30" s="381" t="s">
        <v>19</v>
      </c>
      <c r="C30" s="384" t="str">
        <f>IF(D66&gt;'1.3 BSF'!D83,CONCATENATE("Your mixture is way too wet you need to reduce moisture to have less than ",'1.3 BSF'!D83," water content for BSF to be an option. Current: ",ROUND(D66,3)), IF(D66&gt;'1.3 BSF'!E85,CONCATENATE("Your mixture is very wet, BSF can work with a pretreatment step or add dry material"), IF(D66&gt;='1.3 BSF'!D85,"Optimal", IF(D66&lt;'1.3 BSF'!D85,CONCATENATE("Your mixture is too dry, you should add water or increase wet feedstock in the mixture to reach at least ",'1.3 BSF'!D85," water content. Current: ",ROUND(D66,3))))))</f>
        <v>Optimal</v>
      </c>
      <c r="D30" s="384"/>
      <c r="E30" s="384"/>
      <c r="F30" s="384"/>
      <c r="G30" s="384"/>
      <c r="H30" s="384"/>
      <c r="I30" s="384"/>
      <c r="J30" s="385"/>
      <c r="K30" s="91"/>
      <c r="L30" s="92"/>
      <c r="M30" s="91"/>
      <c r="N30" s="90"/>
      <c r="O30" s="90"/>
      <c r="P30" s="90"/>
      <c r="Q30" s="89"/>
      <c r="R30" s="89"/>
      <c r="S30" s="89"/>
      <c r="T30" s="89"/>
    </row>
    <row r="31" spans="1:27" x14ac:dyDescent="0.35">
      <c r="A31" s="1"/>
      <c r="B31" s="382"/>
      <c r="C31" s="386"/>
      <c r="D31" s="386"/>
      <c r="E31" s="386"/>
      <c r="F31" s="386"/>
      <c r="G31" s="386"/>
      <c r="H31" s="386"/>
      <c r="I31" s="386"/>
      <c r="J31" s="387"/>
      <c r="K31" s="91"/>
      <c r="L31" s="92"/>
      <c r="M31" s="91"/>
      <c r="N31" s="90"/>
      <c r="O31" s="90"/>
      <c r="P31" s="90"/>
      <c r="Q31" s="89"/>
      <c r="R31" s="89"/>
      <c r="S31" s="89"/>
      <c r="T31" s="89"/>
    </row>
    <row r="32" spans="1:27" x14ac:dyDescent="0.35">
      <c r="A32" s="1"/>
      <c r="B32" s="382"/>
      <c r="C32" s="428" t="str">
        <f>IF(D78&lt;(D85),CONCATENATE("Add ",ROUNDUP(((D85)*SUM(C15:C25)-SUM(V15:V25))/(1-D85),0)," L of water to your feedstock"),IF(D78&gt;(E85),CONCATENATE("Reduce water by ",ROUNDUP(((E85)*SUM(C15:C25)-SUM(V15:V25))/(1-E85),0)," L"),""))</f>
        <v/>
      </c>
      <c r="D32" s="428"/>
      <c r="E32" s="428"/>
      <c r="F32" s="428"/>
      <c r="G32" s="428"/>
      <c r="H32" s="428"/>
      <c r="I32" s="428"/>
      <c r="J32" s="429"/>
      <c r="K32" s="91"/>
      <c r="L32" s="92"/>
      <c r="M32" s="91"/>
      <c r="N32" s="90"/>
      <c r="O32" s="90"/>
      <c r="P32" s="90"/>
      <c r="Q32" s="89"/>
      <c r="R32" s="89"/>
      <c r="S32" s="89"/>
      <c r="T32" s="89"/>
    </row>
    <row r="33" spans="1:20" ht="15" thickBot="1" x14ac:dyDescent="0.4">
      <c r="A33" s="1"/>
      <c r="B33" s="383"/>
      <c r="C33" s="430"/>
      <c r="D33" s="430"/>
      <c r="E33" s="430"/>
      <c r="F33" s="430"/>
      <c r="G33" s="430"/>
      <c r="H33" s="430"/>
      <c r="I33" s="430"/>
      <c r="J33" s="431"/>
      <c r="K33" s="91"/>
      <c r="L33" s="92"/>
      <c r="M33" s="91"/>
      <c r="N33" s="90"/>
      <c r="O33" s="90"/>
      <c r="P33" s="90"/>
      <c r="Q33" s="89"/>
      <c r="R33" s="89"/>
      <c r="S33" s="89"/>
      <c r="T33" s="89"/>
    </row>
    <row r="34" spans="1:20" ht="16" thickBot="1" x14ac:dyDescent="0.4">
      <c r="A34" s="1"/>
      <c r="B34" s="94"/>
      <c r="C34" s="95"/>
      <c r="D34" s="95"/>
      <c r="E34" s="95"/>
      <c r="F34" s="95"/>
      <c r="G34" s="95"/>
      <c r="H34" s="95"/>
      <c r="I34" s="96"/>
      <c r="J34" s="96"/>
      <c r="K34" s="91"/>
      <c r="L34" s="92"/>
      <c r="M34" s="91"/>
      <c r="N34" s="90"/>
      <c r="O34" s="90"/>
      <c r="P34" s="90"/>
      <c r="Q34" s="89"/>
      <c r="R34" s="89"/>
      <c r="S34" s="89"/>
      <c r="T34" s="89"/>
    </row>
    <row r="35" spans="1:20" ht="14.5" customHeight="1" x14ac:dyDescent="0.35">
      <c r="A35" s="1"/>
      <c r="B35" s="381" t="s">
        <v>97</v>
      </c>
      <c r="C35" s="384" t="str">
        <f>IF(SUM(Z15:Z25)/(SUM(C15:C25)-_xlfn.IFNA(VLOOKUP("Water",B15:C25,2,FALSE),0))&gt;0.5, "Your mixture is more than 50% suitable", "Your mixture is mostly not suitable")</f>
        <v>Your mixture is more than 50% suitable</v>
      </c>
      <c r="D35" s="412" t="str">
        <f>CONCATENATE("Current percentage of suitable substrate: ",ROUND(100*SUM(Z15:Z25)/(SUM(C15:C25)-_xlfn.IFNA(VLOOKUP("Water",B15:C25,2,FALSE),0)),2), " %")</f>
        <v>Current percentage of suitable substrate: 100 %</v>
      </c>
      <c r="E35" s="412"/>
      <c r="F35" s="412"/>
      <c r="G35" s="412" t="str">
        <f>CONCATENATE("Current percentage of structural substrate: ",ROUND(100*SUM(AA15:AA25)/SUM(C15:C25),2), " %")</f>
        <v>Current percentage of structural substrate: 0 %</v>
      </c>
      <c r="H35" s="412"/>
      <c r="I35" s="412"/>
      <c r="J35" s="414"/>
      <c r="K35" s="91"/>
      <c r="L35" s="92"/>
      <c r="M35" s="91"/>
      <c r="N35" s="90"/>
      <c r="O35" s="90"/>
      <c r="P35" s="90"/>
      <c r="Q35" s="89"/>
      <c r="R35" s="89"/>
      <c r="S35" s="89"/>
      <c r="T35" s="89"/>
    </row>
    <row r="36" spans="1:20" ht="15" customHeight="1" thickBot="1" x14ac:dyDescent="0.4">
      <c r="A36" s="1"/>
      <c r="B36" s="383"/>
      <c r="C36" s="388"/>
      <c r="D36" s="413"/>
      <c r="E36" s="413"/>
      <c r="F36" s="413"/>
      <c r="G36" s="413"/>
      <c r="H36" s="413"/>
      <c r="I36" s="413"/>
      <c r="J36" s="415"/>
      <c r="K36" s="91"/>
      <c r="L36" s="92"/>
      <c r="M36" s="91"/>
      <c r="N36" s="90"/>
      <c r="O36" s="90"/>
      <c r="P36" s="90"/>
      <c r="Q36" s="89"/>
      <c r="R36" s="89"/>
      <c r="S36" s="89"/>
      <c r="T36" s="89"/>
    </row>
    <row r="37" spans="1:20" ht="16" thickBot="1" x14ac:dyDescent="0.4">
      <c r="A37" s="1"/>
      <c r="B37" s="97"/>
      <c r="C37" s="98"/>
      <c r="D37" s="96"/>
      <c r="E37" s="96"/>
      <c r="F37" s="96"/>
      <c r="G37" s="96"/>
      <c r="H37" s="96"/>
      <c r="I37" s="96"/>
      <c r="J37" s="96"/>
      <c r="K37" s="91"/>
      <c r="L37" s="92"/>
      <c r="M37" s="91"/>
      <c r="N37" s="90"/>
      <c r="O37" s="90"/>
      <c r="P37" s="90"/>
      <c r="Q37" s="89"/>
      <c r="R37" s="89"/>
      <c r="S37" s="89"/>
      <c r="T37" s="89"/>
    </row>
    <row r="38" spans="1:20" ht="15.5" x14ac:dyDescent="0.35">
      <c r="A38" s="1"/>
      <c r="B38" s="370" t="s">
        <v>93</v>
      </c>
      <c r="C38" s="373" t="str">
        <f>IF(C35="Your mixture is more than 50% suitable",IF(C30="Optimal","Yes",IF(C30="Your mixture is very wet, BSF can work with a pretreatment step or add dry material","Yes, with pretreatment for dewatering","No")),"No")</f>
        <v>Yes</v>
      </c>
      <c r="D38" s="374"/>
      <c r="E38" s="99"/>
      <c r="F38" s="370" t="s">
        <v>200</v>
      </c>
      <c r="G38" s="416" t="str">
        <f>IF(AND(G165="",G166="",G167=""),"None",CONCATENATE(G165,CHAR(10),G166,CHAR(10),G167))</f>
        <v>None</v>
      </c>
      <c r="H38" s="417"/>
      <c r="I38" s="99"/>
      <c r="J38" s="99"/>
      <c r="K38" s="91"/>
      <c r="L38" s="92"/>
      <c r="M38" s="91"/>
      <c r="N38" s="90"/>
      <c r="O38" s="90"/>
      <c r="P38" s="90"/>
      <c r="Q38" s="89"/>
      <c r="R38" s="89"/>
      <c r="S38" s="89"/>
      <c r="T38" s="89"/>
    </row>
    <row r="39" spans="1:20" ht="15.5" x14ac:dyDescent="0.35">
      <c r="A39" s="1"/>
      <c r="B39" s="371"/>
      <c r="C39" s="375"/>
      <c r="D39" s="376"/>
      <c r="E39" s="99"/>
      <c r="F39" s="371"/>
      <c r="G39" s="418"/>
      <c r="H39" s="419"/>
      <c r="I39" s="99"/>
      <c r="J39" s="99"/>
      <c r="K39" s="91"/>
      <c r="L39" s="92"/>
      <c r="M39" s="91"/>
      <c r="N39" s="90"/>
      <c r="O39" s="90"/>
      <c r="P39" s="90"/>
      <c r="Q39" s="89"/>
      <c r="R39" s="89"/>
      <c r="S39" s="89"/>
      <c r="T39" s="89"/>
    </row>
    <row r="40" spans="1:20" ht="15.5" x14ac:dyDescent="0.35">
      <c r="A40" s="1"/>
      <c r="B40" s="371"/>
      <c r="C40" s="375"/>
      <c r="D40" s="376"/>
      <c r="E40" s="99"/>
      <c r="F40" s="371"/>
      <c r="G40" s="418"/>
      <c r="H40" s="419"/>
      <c r="I40" s="99"/>
      <c r="J40" s="99"/>
      <c r="K40" s="91"/>
      <c r="L40" s="92"/>
      <c r="M40" s="91"/>
      <c r="N40" s="90"/>
      <c r="O40" s="90"/>
      <c r="P40" s="90"/>
      <c r="Q40" s="89"/>
      <c r="R40" s="89"/>
      <c r="S40" s="89"/>
      <c r="T40" s="89"/>
    </row>
    <row r="41" spans="1:20" ht="16" thickBot="1" x14ac:dyDescent="0.4">
      <c r="A41" s="1"/>
      <c r="B41" s="372"/>
      <c r="C41" s="377"/>
      <c r="D41" s="378"/>
      <c r="E41" s="99"/>
      <c r="F41" s="372"/>
      <c r="G41" s="420"/>
      <c r="H41" s="421"/>
      <c r="I41" s="99"/>
      <c r="J41" s="99"/>
      <c r="K41" s="91"/>
      <c r="L41" s="92"/>
      <c r="M41" s="91"/>
      <c r="N41" s="90"/>
      <c r="O41" s="90"/>
      <c r="P41" s="90"/>
      <c r="Q41" s="89"/>
      <c r="R41" s="89"/>
      <c r="S41" s="89"/>
      <c r="T41" s="89"/>
    </row>
    <row r="42" spans="1:20" x14ac:dyDescent="0.35">
      <c r="A42" s="1"/>
      <c r="B42" s="65"/>
      <c r="C42" s="1"/>
      <c r="D42" s="1"/>
      <c r="E42" s="1"/>
      <c r="F42" s="1"/>
      <c r="G42" s="1"/>
      <c r="H42" s="44"/>
      <c r="I42" s="1"/>
      <c r="J42" s="1"/>
      <c r="K42" s="91"/>
      <c r="L42" s="92"/>
      <c r="M42" s="91"/>
      <c r="N42" s="90"/>
      <c r="O42" s="90"/>
      <c r="P42" s="90"/>
      <c r="Q42" s="89"/>
      <c r="R42" s="89"/>
      <c r="S42" s="89"/>
      <c r="T42" s="89"/>
    </row>
    <row r="43" spans="1:20" ht="23.5" x14ac:dyDescent="0.55000000000000004">
      <c r="A43" s="1"/>
      <c r="B43" s="379" t="s">
        <v>102</v>
      </c>
      <c r="C43" s="379"/>
      <c r="D43" s="1"/>
      <c r="E43" s="1"/>
      <c r="F43" s="1"/>
      <c r="G43" s="1"/>
      <c r="H43" s="44"/>
      <c r="I43" s="1"/>
      <c r="J43" s="1"/>
      <c r="K43" s="91"/>
      <c r="L43" s="92"/>
      <c r="M43" s="91"/>
      <c r="N43" s="90"/>
      <c r="O43" s="90"/>
      <c r="P43" s="90"/>
      <c r="Q43" s="89"/>
      <c r="R43" s="89"/>
      <c r="S43" s="89"/>
      <c r="T43" s="89"/>
    </row>
    <row r="44" spans="1:20" ht="23.5" x14ac:dyDescent="0.55000000000000004">
      <c r="A44" s="1"/>
      <c r="B44" s="72" t="s">
        <v>103</v>
      </c>
      <c r="C44" s="70"/>
      <c r="D44" s="1"/>
      <c r="E44" s="1"/>
      <c r="F44" s="1"/>
      <c r="G44" s="1"/>
      <c r="H44" s="44"/>
      <c r="I44" s="1"/>
      <c r="J44" s="1"/>
      <c r="K44" s="91"/>
      <c r="L44" s="92"/>
      <c r="M44" s="91"/>
      <c r="N44" s="90"/>
      <c r="O44" s="90"/>
      <c r="P44" s="90"/>
      <c r="Q44" s="89"/>
      <c r="R44" s="89"/>
      <c r="S44" s="89"/>
      <c r="T44" s="89"/>
    </row>
    <row r="45" spans="1:20" ht="15" thickBot="1" x14ac:dyDescent="0.4">
      <c r="A45" s="1"/>
      <c r="B45" s="1"/>
      <c r="C45" s="1"/>
      <c r="D45" s="1"/>
      <c r="E45" s="1"/>
      <c r="F45" s="1"/>
      <c r="G45" s="1"/>
      <c r="H45" s="188"/>
      <c r="I45" s="1"/>
      <c r="J45" s="1"/>
      <c r="K45" s="1"/>
      <c r="L45" s="1"/>
      <c r="M45" s="91"/>
      <c r="N45" s="90"/>
      <c r="O45" s="90"/>
      <c r="P45" s="90"/>
      <c r="Q45" s="89"/>
      <c r="R45" s="89"/>
      <c r="S45" s="89"/>
      <c r="T45" s="89"/>
    </row>
    <row r="46" spans="1:20" ht="21" x14ac:dyDescent="0.5">
      <c r="A46" s="1"/>
      <c r="B46" s="356" t="s">
        <v>104</v>
      </c>
      <c r="C46" s="357"/>
      <c r="D46" s="357"/>
      <c r="E46" s="357"/>
      <c r="F46" s="380"/>
      <c r="G46" s="357" t="s">
        <v>105</v>
      </c>
      <c r="H46" s="357"/>
      <c r="I46" s="380"/>
      <c r="J46" s="1"/>
      <c r="K46" s="1"/>
      <c r="L46" s="1"/>
      <c r="M46" s="1"/>
      <c r="N46" s="90"/>
      <c r="O46" s="90"/>
      <c r="P46" s="90"/>
      <c r="Q46" s="89"/>
      <c r="R46" s="89"/>
      <c r="S46" s="89"/>
      <c r="T46" s="89"/>
    </row>
    <row r="47" spans="1:20" ht="15.5" x14ac:dyDescent="0.35">
      <c r="A47" s="1"/>
      <c r="B47" s="114"/>
      <c r="C47" s="317"/>
      <c r="D47" s="318" t="s">
        <v>106</v>
      </c>
      <c r="E47" s="318" t="s">
        <v>107</v>
      </c>
      <c r="F47" s="105"/>
      <c r="G47" s="229"/>
      <c r="H47" s="103"/>
      <c r="I47" s="105"/>
      <c r="J47" s="1"/>
      <c r="K47" s="1"/>
      <c r="L47" s="1"/>
      <c r="M47" s="1"/>
      <c r="N47" s="90"/>
      <c r="O47" s="90"/>
      <c r="P47" s="90"/>
      <c r="Q47" s="89"/>
      <c r="R47" s="89"/>
      <c r="S47" s="89"/>
      <c r="T47" s="89"/>
    </row>
    <row r="48" spans="1:20" x14ac:dyDescent="0.35">
      <c r="A48" s="1"/>
      <c r="B48" s="114"/>
      <c r="C48" s="319" t="s">
        <v>108</v>
      </c>
      <c r="D48" s="320">
        <f>(C78/1000)*D106</f>
        <v>18</v>
      </c>
      <c r="E48" s="320">
        <f>(C78/1000)*E106</f>
        <v>21</v>
      </c>
      <c r="F48" s="105"/>
      <c r="G48" s="107" t="s">
        <v>201</v>
      </c>
      <c r="H48" s="102">
        <f>D93*C78</f>
        <v>34</v>
      </c>
      <c r="I48" s="111"/>
      <c r="J48" s="1"/>
      <c r="K48" s="282"/>
      <c r="L48" s="282"/>
      <c r="M48" s="1"/>
      <c r="N48" s="90"/>
      <c r="O48" s="90"/>
      <c r="P48" s="90"/>
      <c r="Q48" s="89"/>
      <c r="R48" s="89"/>
      <c r="S48" s="89"/>
      <c r="T48" s="89"/>
    </row>
    <row r="49" spans="1:20" x14ac:dyDescent="0.35">
      <c r="A49" s="1"/>
      <c r="B49" s="114"/>
      <c r="C49" s="319" t="s">
        <v>111</v>
      </c>
      <c r="D49" s="318">
        <f>IF(C78=0,0,IF(ROUNDUP(C78/1000,0)=1,D103,D103+D104*(ROUNDUP(C78/1000,0)-1)+D105*ROUNDDOWN(C78/5000,0)))</f>
        <v>3</v>
      </c>
      <c r="E49" s="318">
        <f>IF(C78=0,0,IF(ROUNDUP(C78/1000,0)=1,D103,D103+E104*(ROUNDUP(C78/1000,0)-1)+D105*ROUNDDOWN(C78/5000,0)))</f>
        <v>3</v>
      </c>
      <c r="F49" s="105"/>
      <c r="G49" s="107" t="s">
        <v>202</v>
      </c>
      <c r="H49" s="108">
        <f>D73</f>
        <v>0</v>
      </c>
      <c r="I49" s="111"/>
      <c r="J49" s="1"/>
      <c r="K49" s="282"/>
      <c r="L49" s="282"/>
      <c r="M49" s="1"/>
      <c r="N49" s="90"/>
      <c r="O49" s="90"/>
      <c r="P49" s="90"/>
      <c r="Q49" s="89"/>
      <c r="R49" s="89"/>
      <c r="S49" s="89"/>
      <c r="T49" s="89"/>
    </row>
    <row r="50" spans="1:20" x14ac:dyDescent="0.35">
      <c r="A50" s="1"/>
      <c r="B50" s="114"/>
      <c r="C50" s="319" t="s">
        <v>160</v>
      </c>
      <c r="D50" s="318">
        <f>IFERROR(VLOOKUP("Water",B15:C25,2,FALSE),0)</f>
        <v>0</v>
      </c>
      <c r="E50" s="321"/>
      <c r="F50" s="322" t="s">
        <v>161</v>
      </c>
      <c r="G50" s="103"/>
      <c r="H50" s="102" t="s">
        <v>106</v>
      </c>
      <c r="I50" s="111" t="s">
        <v>107</v>
      </c>
      <c r="J50" s="1"/>
      <c r="K50" s="282"/>
      <c r="L50" s="282"/>
      <c r="M50" s="1"/>
      <c r="N50" s="90"/>
      <c r="O50" s="90"/>
      <c r="P50" s="90"/>
      <c r="Q50" s="89"/>
      <c r="R50" s="89"/>
      <c r="S50" s="89"/>
      <c r="T50" s="89"/>
    </row>
    <row r="51" spans="1:20" ht="21.75" customHeight="1" thickBot="1" x14ac:dyDescent="0.4">
      <c r="A51" s="1"/>
      <c r="B51" s="124"/>
      <c r="C51" s="121"/>
      <c r="D51" s="192"/>
      <c r="E51" s="123"/>
      <c r="F51" s="125"/>
      <c r="G51" s="269" t="s">
        <v>203</v>
      </c>
      <c r="H51" s="323">
        <f>C78*D95</f>
        <v>50</v>
      </c>
      <c r="I51" s="324">
        <f>C78*E95</f>
        <v>80</v>
      </c>
      <c r="J51" s="1"/>
      <c r="K51" s="282"/>
      <c r="L51" s="282"/>
      <c r="M51" s="1"/>
      <c r="N51" s="90"/>
      <c r="O51" s="90"/>
      <c r="P51" s="90"/>
      <c r="Q51" s="89"/>
      <c r="R51" s="89"/>
      <c r="S51" s="89"/>
      <c r="T51" s="89"/>
    </row>
    <row r="52" spans="1:20" ht="21" x14ac:dyDescent="0.5">
      <c r="A52" s="1"/>
      <c r="B52" s="356" t="s">
        <v>115</v>
      </c>
      <c r="C52" s="357"/>
      <c r="D52" s="357"/>
      <c r="E52" s="357"/>
      <c r="F52" s="380"/>
      <c r="G52" s="357" t="s">
        <v>162</v>
      </c>
      <c r="H52" s="357"/>
      <c r="I52" s="380"/>
      <c r="J52" s="1"/>
      <c r="K52" s="282"/>
      <c r="L52" s="282"/>
      <c r="M52" s="91"/>
      <c r="N52" s="90"/>
      <c r="O52" s="90"/>
      <c r="P52" s="90"/>
      <c r="Q52" s="89"/>
      <c r="R52" s="89"/>
      <c r="S52" s="89"/>
      <c r="T52" s="89"/>
    </row>
    <row r="53" spans="1:20" x14ac:dyDescent="0.35">
      <c r="A53" s="1"/>
      <c r="B53" s="114"/>
      <c r="C53" s="107" t="s">
        <v>204</v>
      </c>
      <c r="D53" s="107">
        <f>D99</f>
        <v>50</v>
      </c>
      <c r="E53" s="103"/>
      <c r="F53" s="105"/>
      <c r="G53" s="107" t="s">
        <v>205</v>
      </c>
      <c r="H53" s="102">
        <f>H48*D97</f>
        <v>17</v>
      </c>
      <c r="I53" s="105"/>
      <c r="J53" s="1"/>
      <c r="K53" s="286"/>
      <c r="L53" s="282"/>
      <c r="M53" s="91"/>
      <c r="N53" s="90"/>
      <c r="O53" s="90"/>
      <c r="P53" s="90"/>
      <c r="Q53" s="187"/>
      <c r="R53" s="89"/>
      <c r="S53" s="89"/>
      <c r="T53" s="89"/>
    </row>
    <row r="54" spans="1:20" ht="15" thickBot="1" x14ac:dyDescent="0.4">
      <c r="A54" s="1"/>
      <c r="B54" s="124"/>
      <c r="C54" s="121" t="s">
        <v>206</v>
      </c>
      <c r="D54" s="122">
        <f>C78*D100/1000</f>
        <v>20</v>
      </c>
      <c r="E54" s="123"/>
      <c r="F54" s="125"/>
      <c r="G54" s="121"/>
      <c r="H54" s="122"/>
      <c r="I54" s="125"/>
      <c r="J54" s="1"/>
      <c r="K54" s="282"/>
      <c r="L54" s="282"/>
      <c r="M54" s="91"/>
      <c r="N54" s="90"/>
      <c r="O54" s="90"/>
      <c r="P54" s="90"/>
      <c r="Q54" s="89"/>
      <c r="R54" s="89"/>
      <c r="S54" s="89"/>
      <c r="T54" s="89"/>
    </row>
    <row r="55" spans="1:20" x14ac:dyDescent="0.35">
      <c r="A55" s="1"/>
      <c r="B55" s="1"/>
      <c r="C55" s="230"/>
      <c r="D55" s="201"/>
      <c r="E55" s="1"/>
      <c r="F55" s="1"/>
      <c r="G55" s="1"/>
      <c r="H55" s="1"/>
      <c r="I55" s="1"/>
      <c r="J55" s="231"/>
      <c r="K55" s="282"/>
      <c r="L55" s="282"/>
      <c r="M55" s="91"/>
      <c r="N55" s="90"/>
      <c r="O55" s="90"/>
      <c r="P55" s="90"/>
      <c r="Q55" s="89"/>
      <c r="R55" s="89"/>
      <c r="S55" s="89"/>
      <c r="T55" s="89"/>
    </row>
    <row r="56" spans="1:20" ht="18.5" x14ac:dyDescent="0.45">
      <c r="A56" s="1"/>
      <c r="B56" s="1"/>
      <c r="C56" s="232" t="s">
        <v>285</v>
      </c>
      <c r="D56" s="233" t="s">
        <v>207</v>
      </c>
      <c r="E56" s="1"/>
      <c r="F56" s="1"/>
      <c r="G56" s="1"/>
      <c r="H56" s="1"/>
      <c r="I56" s="1"/>
      <c r="J56" s="1"/>
      <c r="K56" s="282"/>
      <c r="L56" s="282"/>
      <c r="M56" s="91"/>
      <c r="N56" s="90"/>
      <c r="O56" s="90"/>
      <c r="P56" s="90"/>
      <c r="Q56" s="89"/>
      <c r="R56" s="89"/>
      <c r="S56" s="89"/>
      <c r="T56" s="89"/>
    </row>
    <row r="57" spans="1:20" x14ac:dyDescent="0.35">
      <c r="A57" s="1"/>
      <c r="B57" s="1"/>
      <c r="C57" s="200"/>
      <c r="D57" s="201"/>
      <c r="E57" s="1"/>
      <c r="F57" s="188"/>
      <c r="G57" s="9"/>
      <c r="H57" s="1"/>
      <c r="I57" s="1"/>
      <c r="J57" s="1"/>
      <c r="K57" s="282"/>
      <c r="L57" s="282"/>
      <c r="M57" s="91"/>
      <c r="N57" s="90"/>
      <c r="O57" s="90"/>
      <c r="P57" s="90"/>
      <c r="Q57" s="89"/>
      <c r="R57" s="89"/>
      <c r="S57" s="89"/>
      <c r="T57" s="89"/>
    </row>
    <row r="58" spans="1:20" s="126" customFormat="1" x14ac:dyDescent="0.35">
      <c r="C58" s="196"/>
      <c r="D58" s="197"/>
      <c r="K58" s="287"/>
      <c r="L58" s="287"/>
      <c r="M58" s="234"/>
      <c r="N58" s="127"/>
      <c r="O58" s="127"/>
      <c r="P58" s="127"/>
      <c r="Q58" s="128"/>
      <c r="R58" s="128"/>
      <c r="S58" s="128"/>
      <c r="T58" s="128"/>
    </row>
    <row r="59" spans="1:20" ht="15" thickBot="1" x14ac:dyDescent="0.4">
      <c r="A59" s="1"/>
      <c r="B59" s="1"/>
      <c r="C59" s="200"/>
      <c r="D59" s="201"/>
      <c r="E59" s="1"/>
      <c r="F59" s="1"/>
      <c r="G59" s="1"/>
      <c r="H59" s="1"/>
      <c r="I59" s="1"/>
      <c r="J59" s="1"/>
      <c r="K59" s="1"/>
      <c r="L59" s="1"/>
      <c r="M59" s="91"/>
      <c r="N59" s="90"/>
      <c r="O59" s="90"/>
      <c r="P59" s="90"/>
      <c r="Q59" s="89"/>
      <c r="R59" s="89"/>
      <c r="S59" s="89"/>
      <c r="T59" s="89"/>
    </row>
    <row r="60" spans="1:20" ht="21.5" thickBot="1" x14ac:dyDescent="0.4">
      <c r="A60" s="1"/>
      <c r="B60" s="365" t="s">
        <v>263</v>
      </c>
      <c r="C60" s="366"/>
      <c r="D60" s="366"/>
      <c r="E60" s="366"/>
      <c r="F60" s="366"/>
      <c r="G60" s="275"/>
      <c r="H60" s="276" t="s">
        <v>264</v>
      </c>
      <c r="I60" s="1"/>
      <c r="J60" s="1"/>
      <c r="K60" s="1"/>
      <c r="L60" s="1"/>
      <c r="M60" s="91"/>
      <c r="N60" s="90"/>
      <c r="O60" s="90"/>
      <c r="P60" s="90"/>
      <c r="Q60" s="89"/>
      <c r="R60" s="89"/>
      <c r="S60" s="89"/>
      <c r="T60" s="89"/>
    </row>
    <row r="61" spans="1:20" x14ac:dyDescent="0.35">
      <c r="A61" s="1"/>
      <c r="B61" s="65"/>
      <c r="C61" s="1"/>
      <c r="D61" s="1"/>
      <c r="E61" s="1"/>
      <c r="F61" s="1"/>
      <c r="G61" s="1"/>
      <c r="H61" s="1"/>
      <c r="I61" s="1"/>
      <c r="J61" s="1"/>
      <c r="K61" s="130"/>
      <c r="L61" s="130"/>
      <c r="M61" s="130"/>
      <c r="N61" s="1"/>
      <c r="O61" s="1"/>
      <c r="P61" s="1"/>
      <c r="Q61" s="131"/>
      <c r="R61" s="131"/>
      <c r="S61" s="131"/>
      <c r="T61" s="131"/>
    </row>
    <row r="62" spans="1:20" ht="21" x14ac:dyDescent="0.5">
      <c r="A62" s="1"/>
      <c r="B62" s="367" t="s">
        <v>286</v>
      </c>
      <c r="C62" s="367"/>
      <c r="D62" s="367"/>
      <c r="E62" s="367"/>
      <c r="F62" s="367"/>
      <c r="G62" s="367"/>
      <c r="H62" s="367"/>
      <c r="I62" s="1"/>
      <c r="J62" s="1"/>
      <c r="K62" s="130"/>
      <c r="L62" s="130"/>
      <c r="M62" s="130"/>
      <c r="N62" s="1"/>
      <c r="O62" s="1"/>
      <c r="P62" s="1"/>
      <c r="Q62" s="131"/>
      <c r="R62" s="131"/>
      <c r="S62" s="131"/>
      <c r="T62" s="131"/>
    </row>
    <row r="63" spans="1:20" ht="15" thickBot="1" x14ac:dyDescent="0.4">
      <c r="A63" s="1"/>
      <c r="B63" s="65"/>
      <c r="C63" s="1"/>
      <c r="D63" s="1"/>
      <c r="E63" s="1"/>
      <c r="F63" s="1"/>
      <c r="G63" s="1"/>
      <c r="H63" s="1"/>
      <c r="I63" s="1"/>
      <c r="J63" s="1"/>
      <c r="K63" s="130"/>
      <c r="L63" s="130"/>
      <c r="M63" s="130"/>
      <c r="N63" s="1"/>
      <c r="O63" s="1"/>
      <c r="P63" s="1"/>
      <c r="Q63" s="131"/>
      <c r="R63" s="131"/>
      <c r="S63" s="131"/>
      <c r="T63" s="131"/>
    </row>
    <row r="64" spans="1:20" x14ac:dyDescent="0.35">
      <c r="A64" s="1"/>
      <c r="B64" s="51"/>
      <c r="C64" s="132"/>
      <c r="D64" s="132" t="s">
        <v>87</v>
      </c>
      <c r="E64" s="132" t="s">
        <v>88</v>
      </c>
      <c r="F64" s="133"/>
      <c r="G64" s="1"/>
      <c r="H64" s="1"/>
      <c r="I64" s="1"/>
      <c r="J64" s="1"/>
      <c r="K64" s="130"/>
      <c r="L64" s="130"/>
      <c r="M64" s="130"/>
      <c r="N64" s="1"/>
      <c r="O64" s="1"/>
      <c r="P64" s="1"/>
      <c r="Q64" s="131"/>
      <c r="R64" s="131"/>
      <c r="S64" s="131"/>
      <c r="T64" s="131"/>
    </row>
    <row r="65" spans="1:20" x14ac:dyDescent="0.35">
      <c r="A65" s="1"/>
      <c r="B65" s="134"/>
      <c r="C65" s="42" t="s">
        <v>68</v>
      </c>
      <c r="D65" s="42" t="s">
        <v>90</v>
      </c>
      <c r="E65" s="42" t="s">
        <v>91</v>
      </c>
      <c r="F65" s="135" t="s">
        <v>30</v>
      </c>
      <c r="G65" s="1"/>
      <c r="H65" s="1"/>
      <c r="I65" s="1"/>
      <c r="J65" s="1"/>
      <c r="K65" s="130"/>
      <c r="L65" s="130"/>
      <c r="M65" s="130"/>
      <c r="N65" s="1"/>
      <c r="O65" s="1"/>
      <c r="P65" s="1"/>
      <c r="Q65" s="131"/>
      <c r="R65" s="131"/>
      <c r="S65" s="131"/>
      <c r="T65" s="131"/>
    </row>
    <row r="66" spans="1:20" ht="15" thickBot="1" x14ac:dyDescent="0.4">
      <c r="A66" s="1"/>
      <c r="B66" s="136" t="str">
        <f>IF(D70="Yes","Untreated feedstock mix", "Feedstock mix")</f>
        <v>Feedstock mix</v>
      </c>
      <c r="C66" s="137">
        <f>SUM(C15:C25)</f>
        <v>200</v>
      </c>
      <c r="D66" s="138">
        <f>SUM(V15:V25)/C66</f>
        <v>0.77</v>
      </c>
      <c r="E66" s="138">
        <f>SUM(W15:W25)/C66</f>
        <v>0.23</v>
      </c>
      <c r="F66" s="207">
        <f>SUM(X15:X25)/SUM(Y15:Y25)</f>
        <v>24.389199999999992</v>
      </c>
      <c r="G66" s="1"/>
      <c r="H66" s="1"/>
      <c r="I66" s="1"/>
      <c r="J66" s="1"/>
      <c r="K66" s="130"/>
      <c r="L66" s="130"/>
      <c r="M66" s="130"/>
      <c r="N66" s="1"/>
      <c r="O66" s="1"/>
      <c r="P66" s="1"/>
      <c r="Q66" s="131"/>
      <c r="R66" s="131"/>
      <c r="S66" s="131"/>
      <c r="T66" s="131"/>
    </row>
    <row r="67" spans="1:20" ht="17.5" customHeight="1" thickBot="1" x14ac:dyDescent="0.4">
      <c r="A67" s="1"/>
      <c r="B67" s="65"/>
      <c r="C67" s="1"/>
      <c r="D67" s="1"/>
      <c r="E67" s="1"/>
      <c r="F67" s="1"/>
      <c r="G67" s="1"/>
      <c r="H67" s="1"/>
      <c r="I67" s="1"/>
      <c r="J67" s="1"/>
      <c r="K67" s="130"/>
      <c r="L67" s="130"/>
      <c r="M67" s="130"/>
      <c r="N67" s="1"/>
      <c r="O67" s="1"/>
      <c r="P67" s="1"/>
      <c r="Q67" s="131"/>
      <c r="R67" s="131"/>
      <c r="S67" s="131"/>
      <c r="T67" s="131"/>
    </row>
    <row r="68" spans="1:20" x14ac:dyDescent="0.35">
      <c r="A68" s="1"/>
      <c r="B68" s="51" t="s">
        <v>117</v>
      </c>
      <c r="C68" s="52"/>
      <c r="D68" s="52"/>
      <c r="E68" s="52"/>
      <c r="F68" s="52"/>
      <c r="G68" s="52"/>
      <c r="H68" s="52"/>
      <c r="I68" s="53"/>
      <c r="J68" s="1"/>
      <c r="K68" s="1"/>
      <c r="L68" s="1"/>
      <c r="M68" s="1"/>
      <c r="N68" s="1"/>
      <c r="O68" s="1"/>
      <c r="P68" s="1"/>
    </row>
    <row r="69" spans="1:20" x14ac:dyDescent="0.35">
      <c r="A69" s="1"/>
      <c r="B69" s="54"/>
      <c r="C69" s="55"/>
      <c r="D69" s="55"/>
      <c r="E69" s="55"/>
      <c r="F69" s="55"/>
      <c r="G69" s="55"/>
      <c r="H69" s="55"/>
      <c r="I69" s="56"/>
      <c r="J69" s="1"/>
      <c r="K69" s="1"/>
      <c r="L69" s="1"/>
      <c r="M69" s="1"/>
      <c r="N69" s="1"/>
      <c r="O69" s="1"/>
      <c r="P69" s="1"/>
    </row>
    <row r="70" spans="1:20" x14ac:dyDescent="0.35">
      <c r="A70" s="1"/>
      <c r="B70" s="134"/>
      <c r="C70" s="141" t="s">
        <v>118</v>
      </c>
      <c r="D70" s="141" t="str">
        <f>IF(C38="With pretreatment", "Yes", "No")</f>
        <v>No</v>
      </c>
      <c r="E70" s="141"/>
      <c r="F70" s="141"/>
      <c r="G70" s="141"/>
      <c r="H70" s="141"/>
      <c r="I70" s="142"/>
      <c r="J70" s="1"/>
      <c r="K70" s="1"/>
      <c r="L70" s="1"/>
      <c r="M70" s="1"/>
      <c r="N70" s="1"/>
      <c r="O70" s="1"/>
      <c r="P70" s="1"/>
    </row>
    <row r="71" spans="1:20" x14ac:dyDescent="0.35">
      <c r="A71" s="1"/>
      <c r="B71" s="134"/>
      <c r="C71" s="141" t="s">
        <v>119</v>
      </c>
      <c r="D71" s="143">
        <v>0.8</v>
      </c>
      <c r="E71" s="141"/>
      <c r="F71" s="141"/>
      <c r="G71" s="141"/>
      <c r="H71" s="141"/>
      <c r="I71" s="142"/>
      <c r="J71" s="1"/>
      <c r="K71" s="1"/>
      <c r="L71" s="1"/>
      <c r="M71" s="1"/>
      <c r="N71" s="1"/>
      <c r="O71" s="1"/>
      <c r="P71" s="1"/>
    </row>
    <row r="72" spans="1:20" x14ac:dyDescent="0.35">
      <c r="A72" s="1"/>
      <c r="B72" s="134"/>
      <c r="C72" s="141" t="s">
        <v>87</v>
      </c>
      <c r="D72" s="144">
        <f>IF(D70="Yes",D71,D66)</f>
        <v>0.77</v>
      </c>
      <c r="E72" s="141"/>
      <c r="F72" s="161"/>
      <c r="G72" s="161" t="s">
        <v>208</v>
      </c>
      <c r="H72" s="141"/>
      <c r="I72" s="142"/>
      <c r="J72" s="1"/>
      <c r="K72" s="1"/>
      <c r="L72" s="1"/>
      <c r="M72" s="1"/>
      <c r="N72" s="1"/>
      <c r="O72" s="1"/>
      <c r="P72" s="1"/>
    </row>
    <row r="73" spans="1:20" x14ac:dyDescent="0.35">
      <c r="A73" s="1"/>
      <c r="B73" s="134"/>
      <c r="C73" s="141" t="s">
        <v>121</v>
      </c>
      <c r="D73" s="145">
        <f>C66-C78</f>
        <v>0</v>
      </c>
      <c r="E73" s="141"/>
      <c r="F73" s="141"/>
      <c r="G73" s="141"/>
      <c r="H73" s="141"/>
      <c r="I73" s="142"/>
      <c r="J73" s="1"/>
      <c r="K73" s="1"/>
      <c r="L73" s="1"/>
      <c r="M73" s="1"/>
      <c r="N73" s="1"/>
      <c r="O73" s="1"/>
      <c r="P73" s="1"/>
    </row>
    <row r="74" spans="1:20" ht="15" thickBot="1" x14ac:dyDescent="0.4">
      <c r="A74" s="1"/>
      <c r="B74" s="146"/>
      <c r="C74" s="58"/>
      <c r="D74" s="58"/>
      <c r="E74" s="58"/>
      <c r="F74" s="58"/>
      <c r="G74" s="58"/>
      <c r="H74" s="58"/>
      <c r="I74" s="147"/>
      <c r="J74" s="1"/>
      <c r="K74" s="1"/>
      <c r="L74" s="1"/>
      <c r="M74" s="1"/>
      <c r="N74" s="1"/>
      <c r="O74" s="1"/>
      <c r="P74" s="1"/>
    </row>
    <row r="75" spans="1:20" ht="15" thickBot="1" x14ac:dyDescent="0.4">
      <c r="A75" s="1"/>
      <c r="B75" s="1"/>
      <c r="C75" s="1"/>
      <c r="D75" s="1"/>
      <c r="E75" s="1"/>
      <c r="F75" s="1"/>
      <c r="G75" s="1"/>
      <c r="H75" s="1"/>
      <c r="I75" s="1"/>
      <c r="J75" s="1"/>
      <c r="K75" s="1"/>
      <c r="L75" s="1"/>
      <c r="M75" s="1"/>
      <c r="N75" s="1"/>
      <c r="O75" s="1"/>
      <c r="P75" s="1"/>
    </row>
    <row r="76" spans="1:20" x14ac:dyDescent="0.35">
      <c r="A76" s="1"/>
      <c r="B76" s="51"/>
      <c r="C76" s="52"/>
      <c r="D76" s="52" t="s">
        <v>87</v>
      </c>
      <c r="E76" s="52" t="s">
        <v>88</v>
      </c>
      <c r="F76" s="53"/>
      <c r="G76" s="1"/>
      <c r="H76" s="1"/>
      <c r="I76" s="1"/>
      <c r="J76" s="1"/>
      <c r="K76" s="1"/>
      <c r="L76" s="1"/>
      <c r="M76" s="1"/>
      <c r="N76" s="1"/>
      <c r="O76" s="1"/>
      <c r="P76" s="1"/>
    </row>
    <row r="77" spans="1:20" x14ac:dyDescent="0.35">
      <c r="A77" s="1"/>
      <c r="B77" s="134"/>
      <c r="C77" s="148" t="s">
        <v>89</v>
      </c>
      <c r="D77" s="141" t="s">
        <v>90</v>
      </c>
      <c r="E77" s="141" t="s">
        <v>91</v>
      </c>
      <c r="F77" s="142" t="s">
        <v>30</v>
      </c>
      <c r="G77" s="1"/>
      <c r="H77" s="1"/>
      <c r="I77" s="1"/>
      <c r="J77" s="1"/>
      <c r="K77" s="1"/>
      <c r="L77" s="1"/>
      <c r="M77" s="1"/>
      <c r="N77" s="1"/>
      <c r="O77" s="1"/>
      <c r="P77" s="1"/>
    </row>
    <row r="78" spans="1:20" ht="15" thickBot="1" x14ac:dyDescent="0.4">
      <c r="A78" s="1"/>
      <c r="B78" s="136" t="str">
        <f>IF(D70="Yes","Dewatered feedstock mix", "Feedstock mix")</f>
        <v>Feedstock mix</v>
      </c>
      <c r="C78" s="149">
        <f>D72*C66/D66</f>
        <v>200</v>
      </c>
      <c r="D78" s="59">
        <f>D72</f>
        <v>0.77</v>
      </c>
      <c r="E78" s="59">
        <f>1-D78</f>
        <v>0.22999999999999998</v>
      </c>
      <c r="F78" s="60">
        <f>SUM(X15:X25)/SUM(Y15:Y25)</f>
        <v>24.389199999999992</v>
      </c>
      <c r="G78" s="1"/>
      <c r="H78" s="1"/>
      <c r="I78" s="1"/>
      <c r="J78" s="1"/>
      <c r="K78" s="1"/>
      <c r="L78" s="1"/>
      <c r="M78" s="1"/>
      <c r="N78" s="1"/>
      <c r="O78" s="1"/>
      <c r="P78" s="1"/>
    </row>
    <row r="79" spans="1:20" ht="15" thickBot="1" x14ac:dyDescent="0.4">
      <c r="A79" s="1"/>
      <c r="B79" s="1"/>
      <c r="C79" s="1"/>
      <c r="D79" s="1"/>
      <c r="E79" s="1"/>
      <c r="F79" s="1"/>
      <c r="G79" s="1"/>
      <c r="H79" s="1"/>
      <c r="I79" s="1"/>
      <c r="J79" s="1"/>
      <c r="K79" s="1"/>
      <c r="L79" s="1"/>
      <c r="M79" s="1"/>
      <c r="N79" s="1"/>
      <c r="O79" s="1"/>
      <c r="P79" s="1"/>
    </row>
    <row r="80" spans="1:20" ht="15.5" x14ac:dyDescent="0.35">
      <c r="A80" s="1"/>
      <c r="B80" s="150"/>
      <c r="C80" s="151" t="s">
        <v>122</v>
      </c>
      <c r="D80" s="152"/>
      <c r="E80" s="153"/>
      <c r="F80" s="152"/>
      <c r="G80" s="152"/>
      <c r="H80" s="152"/>
      <c r="I80" s="152"/>
      <c r="J80" s="152"/>
      <c r="K80" s="152"/>
      <c r="L80" s="154"/>
      <c r="M80" s="1"/>
      <c r="N80" s="1"/>
      <c r="O80" s="1"/>
      <c r="P80" s="1"/>
    </row>
    <row r="81" spans="1:16" ht="15.5" x14ac:dyDescent="0.35">
      <c r="A81" s="1"/>
      <c r="B81" s="134"/>
      <c r="C81" s="155"/>
      <c r="D81" s="141"/>
      <c r="E81" s="156"/>
      <c r="F81" s="141"/>
      <c r="G81" s="141" t="s">
        <v>123</v>
      </c>
      <c r="H81" s="141"/>
      <c r="I81" s="141"/>
      <c r="J81" s="141"/>
      <c r="K81" s="141"/>
      <c r="L81" s="142"/>
      <c r="M81" s="1"/>
      <c r="N81" s="1"/>
      <c r="O81" s="1"/>
      <c r="P81" s="1"/>
    </row>
    <row r="82" spans="1:16" x14ac:dyDescent="0.35">
      <c r="A82" s="1"/>
      <c r="B82" s="134"/>
      <c r="C82" s="141" t="s">
        <v>124</v>
      </c>
      <c r="D82" s="141"/>
      <c r="E82" s="141"/>
      <c r="F82" s="141"/>
      <c r="G82" s="141"/>
      <c r="H82" s="141"/>
      <c r="I82" s="141"/>
      <c r="J82" s="141"/>
      <c r="K82" s="141"/>
      <c r="L82" s="142"/>
      <c r="M82" s="1"/>
      <c r="N82" s="1"/>
      <c r="O82" s="1"/>
      <c r="P82" s="1"/>
    </row>
    <row r="83" spans="1:16" x14ac:dyDescent="0.35">
      <c r="A83" s="1"/>
      <c r="B83" s="134"/>
      <c r="C83" s="157" t="s">
        <v>125</v>
      </c>
      <c r="D83" s="158">
        <v>0.9</v>
      </c>
      <c r="E83" s="141"/>
      <c r="F83" s="141"/>
      <c r="G83" s="159" t="s">
        <v>126</v>
      </c>
      <c r="H83" s="141"/>
      <c r="I83" s="141"/>
      <c r="J83" s="141"/>
      <c r="K83" s="141"/>
      <c r="L83" s="142"/>
      <c r="M83" s="1"/>
      <c r="N83" s="1"/>
      <c r="O83" s="1"/>
      <c r="P83" s="1"/>
    </row>
    <row r="84" spans="1:16" x14ac:dyDescent="0.35">
      <c r="A84" s="1"/>
      <c r="B84" s="134"/>
      <c r="C84" s="141"/>
      <c r="D84" s="42" t="s">
        <v>127</v>
      </c>
      <c r="E84" s="42" t="s">
        <v>128</v>
      </c>
      <c r="F84" s="141"/>
      <c r="G84" s="141"/>
      <c r="H84" s="141"/>
      <c r="I84" s="141"/>
      <c r="J84" s="141"/>
      <c r="K84" s="141"/>
      <c r="L84" s="142"/>
      <c r="M84" s="1"/>
      <c r="N84" s="1"/>
      <c r="O84" s="1"/>
      <c r="P84" s="1"/>
    </row>
    <row r="85" spans="1:16" x14ac:dyDescent="0.35">
      <c r="A85" s="1"/>
      <c r="B85" s="134"/>
      <c r="C85" s="141" t="s">
        <v>209</v>
      </c>
      <c r="D85" s="158">
        <v>0.7</v>
      </c>
      <c r="E85" s="158">
        <v>0.8</v>
      </c>
      <c r="F85" s="141"/>
      <c r="G85" s="141" t="s">
        <v>130</v>
      </c>
      <c r="H85" s="141"/>
      <c r="I85" s="141"/>
      <c r="J85" s="141"/>
      <c r="K85" s="141"/>
      <c r="L85" s="142"/>
      <c r="M85" s="1"/>
      <c r="N85" s="1"/>
      <c r="O85" s="1"/>
      <c r="P85" s="1"/>
    </row>
    <row r="86" spans="1:16" x14ac:dyDescent="0.35">
      <c r="A86" s="1"/>
      <c r="B86" s="134"/>
      <c r="C86" s="141" t="s">
        <v>210</v>
      </c>
      <c r="D86" s="42" t="s">
        <v>211</v>
      </c>
      <c r="E86" s="141"/>
      <c r="F86" s="141"/>
      <c r="G86" s="141" t="s">
        <v>130</v>
      </c>
      <c r="H86" s="141"/>
      <c r="I86" s="141"/>
      <c r="J86" s="141"/>
      <c r="K86" s="141"/>
      <c r="L86" s="142"/>
      <c r="M86" s="1"/>
      <c r="N86" s="1"/>
      <c r="O86" s="1"/>
      <c r="P86" s="1"/>
    </row>
    <row r="87" spans="1:16" x14ac:dyDescent="0.35">
      <c r="A87" s="1"/>
      <c r="B87" s="134"/>
      <c r="C87" s="141"/>
      <c r="D87" s="141"/>
      <c r="E87" s="141"/>
      <c r="F87" s="141"/>
      <c r="G87" s="141"/>
      <c r="H87" s="141"/>
      <c r="I87" s="141"/>
      <c r="J87" s="141"/>
      <c r="K87" s="141"/>
      <c r="L87" s="142"/>
      <c r="M87" s="1"/>
      <c r="N87" s="1"/>
      <c r="O87" s="1"/>
      <c r="P87" s="1"/>
    </row>
    <row r="88" spans="1:16" x14ac:dyDescent="0.35">
      <c r="A88" s="1"/>
      <c r="B88" s="134"/>
      <c r="C88" s="141" t="s">
        <v>134</v>
      </c>
      <c r="D88" s="42">
        <v>4.5</v>
      </c>
      <c r="E88" s="42">
        <v>8.9</v>
      </c>
      <c r="F88" s="235"/>
      <c r="G88" s="398" t="s">
        <v>212</v>
      </c>
      <c r="H88" s="398"/>
      <c r="I88" s="398"/>
      <c r="J88" s="398"/>
      <c r="K88" s="398"/>
      <c r="L88" s="142"/>
      <c r="M88" s="1"/>
      <c r="N88" s="1"/>
      <c r="O88" s="1"/>
      <c r="P88" s="1"/>
    </row>
    <row r="89" spans="1:16" x14ac:dyDescent="0.35">
      <c r="A89" s="1"/>
      <c r="B89" s="134"/>
      <c r="C89" s="141" t="s">
        <v>135</v>
      </c>
      <c r="D89" s="42">
        <v>15</v>
      </c>
      <c r="E89" s="42">
        <v>47</v>
      </c>
      <c r="F89" s="161"/>
      <c r="G89" s="141" t="s">
        <v>213</v>
      </c>
      <c r="H89" s="141"/>
      <c r="I89" s="141"/>
      <c r="J89" s="141"/>
      <c r="K89" s="141"/>
      <c r="L89" s="142"/>
      <c r="M89" s="1"/>
      <c r="N89" s="1"/>
      <c r="O89" s="1"/>
      <c r="P89" s="1"/>
    </row>
    <row r="90" spans="1:16" x14ac:dyDescent="0.35">
      <c r="A90" s="1"/>
      <c r="B90" s="134"/>
      <c r="C90" s="141"/>
      <c r="D90" s="141"/>
      <c r="E90" s="141"/>
      <c r="F90" s="141"/>
      <c r="G90" s="141"/>
      <c r="H90" s="141"/>
      <c r="I90" s="141"/>
      <c r="J90" s="141"/>
      <c r="K90" s="141"/>
      <c r="L90" s="142"/>
      <c r="M90" s="1"/>
      <c r="N90" s="1"/>
      <c r="O90" s="1"/>
      <c r="P90" s="1"/>
    </row>
    <row r="91" spans="1:16" x14ac:dyDescent="0.35">
      <c r="A91" s="1"/>
      <c r="B91" s="134"/>
      <c r="C91" s="141" t="s">
        <v>137</v>
      </c>
      <c r="D91" s="157"/>
      <c r="E91" s="141"/>
      <c r="F91" s="141"/>
      <c r="G91" s="141"/>
      <c r="H91" s="141"/>
      <c r="I91" s="141"/>
      <c r="J91" s="141"/>
      <c r="K91" s="141"/>
      <c r="L91" s="142"/>
      <c r="M91" s="1"/>
      <c r="N91" s="1"/>
      <c r="O91" s="1"/>
      <c r="P91" s="1"/>
    </row>
    <row r="92" spans="1:16" x14ac:dyDescent="0.35">
      <c r="A92" s="1"/>
      <c r="B92" s="134"/>
      <c r="C92" s="157"/>
      <c r="D92" s="148"/>
      <c r="E92" s="141"/>
      <c r="F92" s="141"/>
      <c r="G92" s="141"/>
      <c r="H92" s="141"/>
      <c r="I92" s="141"/>
      <c r="J92" s="141"/>
      <c r="K92" s="141"/>
      <c r="L92" s="142"/>
      <c r="M92" s="1"/>
      <c r="N92" s="1"/>
      <c r="O92" s="1"/>
      <c r="P92" s="1"/>
    </row>
    <row r="93" spans="1:16" x14ac:dyDescent="0.35">
      <c r="A93" s="1"/>
      <c r="B93" s="134"/>
      <c r="C93" s="141" t="s">
        <v>214</v>
      </c>
      <c r="D93" s="143">
        <v>0.17</v>
      </c>
      <c r="E93" s="141"/>
      <c r="F93" s="141"/>
      <c r="G93" s="141" t="s">
        <v>215</v>
      </c>
      <c r="H93" s="141"/>
      <c r="I93" s="141"/>
      <c r="J93" s="141"/>
      <c r="K93" s="141"/>
      <c r="L93" s="142"/>
      <c r="M93" s="1"/>
      <c r="N93" s="1"/>
      <c r="O93" s="1"/>
      <c r="P93" s="1"/>
    </row>
    <row r="94" spans="1:16" x14ac:dyDescent="0.35">
      <c r="A94" s="1"/>
      <c r="B94" s="134"/>
      <c r="C94" s="141"/>
      <c r="D94" s="42" t="s">
        <v>127</v>
      </c>
      <c r="E94" s="42" t="s">
        <v>128</v>
      </c>
      <c r="F94" s="141"/>
      <c r="G94" s="141"/>
      <c r="H94" s="141"/>
      <c r="I94" s="141"/>
      <c r="J94" s="141"/>
      <c r="K94" s="141"/>
      <c r="L94" s="142"/>
      <c r="M94" s="1"/>
      <c r="N94" s="1"/>
      <c r="O94" s="1"/>
      <c r="P94" s="1"/>
    </row>
    <row r="95" spans="1:16" x14ac:dyDescent="0.35">
      <c r="A95" s="1"/>
      <c r="B95" s="134"/>
      <c r="C95" s="141" t="s">
        <v>216</v>
      </c>
      <c r="D95" s="236">
        <v>0.25</v>
      </c>
      <c r="E95" s="236">
        <v>0.4</v>
      </c>
      <c r="F95" s="141"/>
      <c r="G95" s="141" t="s">
        <v>217</v>
      </c>
      <c r="H95" s="141"/>
      <c r="I95" s="141"/>
      <c r="J95" s="141"/>
      <c r="K95" s="141"/>
      <c r="L95" s="142"/>
      <c r="M95" s="1"/>
      <c r="N95" s="1"/>
      <c r="O95" s="1"/>
      <c r="P95" s="1"/>
    </row>
    <row r="96" spans="1:16" x14ac:dyDescent="0.35">
      <c r="A96" s="1"/>
      <c r="B96" s="134"/>
      <c r="C96" s="141" t="s">
        <v>218</v>
      </c>
      <c r="D96" s="42">
        <v>14</v>
      </c>
      <c r="E96" s="42"/>
      <c r="F96" s="141"/>
      <c r="G96" s="141" t="s">
        <v>130</v>
      </c>
      <c r="H96" s="141"/>
      <c r="I96" s="141"/>
      <c r="J96" s="141"/>
      <c r="K96" s="141"/>
      <c r="L96" s="142"/>
      <c r="M96" s="1"/>
      <c r="N96" s="1"/>
      <c r="O96" s="1"/>
      <c r="P96" s="1"/>
    </row>
    <row r="97" spans="1:16" x14ac:dyDescent="0.35">
      <c r="A97" s="1"/>
      <c r="B97" s="134"/>
      <c r="C97" s="237" t="s">
        <v>219</v>
      </c>
      <c r="D97" s="42">
        <v>0.5</v>
      </c>
      <c r="E97" s="42"/>
      <c r="F97" s="141"/>
      <c r="G97" s="141" t="s">
        <v>220</v>
      </c>
      <c r="H97" s="141"/>
      <c r="I97" s="141"/>
      <c r="J97" s="141"/>
      <c r="K97" s="141"/>
      <c r="L97" s="142"/>
      <c r="M97" s="1"/>
      <c r="N97" s="1"/>
      <c r="O97" s="1"/>
      <c r="P97" s="1"/>
    </row>
    <row r="98" spans="1:16" x14ac:dyDescent="0.35">
      <c r="A98" s="1"/>
      <c r="B98" s="134"/>
      <c r="C98" s="141"/>
      <c r="D98" s="42"/>
      <c r="E98" s="42"/>
      <c r="F98" s="141"/>
      <c r="G98" s="141"/>
      <c r="H98" s="141"/>
      <c r="I98" s="141"/>
      <c r="J98" s="141"/>
      <c r="K98" s="141"/>
      <c r="L98" s="142"/>
      <c r="M98" s="1"/>
      <c r="N98" s="1"/>
      <c r="O98" s="1"/>
      <c r="P98" s="1"/>
    </row>
    <row r="99" spans="1:16" x14ac:dyDescent="0.35">
      <c r="A99" s="1"/>
      <c r="B99" s="134"/>
      <c r="C99" s="141" t="s">
        <v>221</v>
      </c>
      <c r="D99" s="42">
        <v>50</v>
      </c>
      <c r="E99" s="42"/>
      <c r="F99" s="141"/>
      <c r="G99" s="141" t="s">
        <v>130</v>
      </c>
      <c r="H99" s="141"/>
      <c r="I99" s="141"/>
      <c r="J99" s="141"/>
      <c r="K99" s="141"/>
      <c r="L99" s="142"/>
      <c r="M99" s="1"/>
      <c r="N99" s="1"/>
      <c r="O99" s="1"/>
      <c r="P99" s="1"/>
    </row>
    <row r="100" spans="1:16" ht="29" x14ac:dyDescent="0.35">
      <c r="A100" s="1"/>
      <c r="B100" s="134"/>
      <c r="C100" s="157" t="s">
        <v>222</v>
      </c>
      <c r="D100" s="42">
        <v>100</v>
      </c>
      <c r="E100" s="42"/>
      <c r="F100" s="141"/>
      <c r="G100" s="141" t="s">
        <v>130</v>
      </c>
      <c r="H100" s="141"/>
      <c r="I100" s="141"/>
      <c r="J100" s="141"/>
      <c r="K100" s="141"/>
      <c r="L100" s="142"/>
      <c r="M100" s="1"/>
      <c r="N100" s="1"/>
      <c r="O100" s="1"/>
      <c r="P100" s="1"/>
    </row>
    <row r="101" spans="1:16" x14ac:dyDescent="0.35">
      <c r="A101" s="1"/>
      <c r="B101" s="134"/>
      <c r="C101" s="141"/>
      <c r="D101" s="141"/>
      <c r="E101" s="141"/>
      <c r="F101" s="141"/>
      <c r="G101" s="141"/>
      <c r="H101" s="141"/>
      <c r="I101" s="141"/>
      <c r="J101" s="141"/>
      <c r="K101" s="141"/>
      <c r="L101" s="142"/>
      <c r="M101" s="1"/>
      <c r="N101" s="1"/>
      <c r="O101" s="1"/>
      <c r="P101" s="1"/>
    </row>
    <row r="102" spans="1:16" x14ac:dyDescent="0.35">
      <c r="A102" s="1"/>
      <c r="B102" s="134"/>
      <c r="C102" s="141"/>
      <c r="D102" s="42" t="s">
        <v>106</v>
      </c>
      <c r="E102" s="42" t="s">
        <v>107</v>
      </c>
      <c r="F102" s="141"/>
      <c r="G102" s="141"/>
      <c r="H102" s="141"/>
      <c r="I102" s="141"/>
      <c r="J102" s="141"/>
      <c r="K102" s="141"/>
      <c r="L102" s="142"/>
      <c r="M102" s="1"/>
      <c r="N102" s="1"/>
      <c r="O102" s="1"/>
      <c r="P102" s="1"/>
    </row>
    <row r="103" spans="1:16" x14ac:dyDescent="0.35">
      <c r="A103" s="1"/>
      <c r="B103" s="134"/>
      <c r="C103" s="157" t="s">
        <v>146</v>
      </c>
      <c r="D103" s="158">
        <v>3</v>
      </c>
      <c r="E103" s="42"/>
      <c r="F103" s="141"/>
      <c r="G103" s="141" t="s">
        <v>130</v>
      </c>
      <c r="H103" s="141"/>
      <c r="I103" s="141"/>
      <c r="J103" s="141"/>
      <c r="K103" s="141"/>
      <c r="L103" s="142"/>
      <c r="M103" s="1"/>
      <c r="N103" s="1"/>
      <c r="O103" s="1"/>
      <c r="P103" s="1"/>
    </row>
    <row r="104" spans="1:16" ht="29" x14ac:dyDescent="0.35">
      <c r="A104" s="1"/>
      <c r="B104" s="134"/>
      <c r="C104" s="157" t="s">
        <v>147</v>
      </c>
      <c r="D104" s="158">
        <v>1</v>
      </c>
      <c r="E104" s="158">
        <v>2</v>
      </c>
      <c r="F104" s="141"/>
      <c r="G104" s="141" t="s">
        <v>130</v>
      </c>
      <c r="H104" s="141"/>
      <c r="I104" s="141"/>
      <c r="J104" s="141"/>
      <c r="K104" s="141"/>
      <c r="L104" s="142"/>
      <c r="M104" s="1"/>
      <c r="N104" s="1"/>
      <c r="O104" s="1"/>
      <c r="P104" s="1"/>
    </row>
    <row r="105" spans="1:16" ht="29" x14ac:dyDescent="0.35">
      <c r="A105" s="1"/>
      <c r="B105" s="134"/>
      <c r="C105" s="157" t="s">
        <v>223</v>
      </c>
      <c r="D105" s="164">
        <v>1</v>
      </c>
      <c r="E105" s="42"/>
      <c r="F105" s="141"/>
      <c r="G105" s="141" t="s">
        <v>130</v>
      </c>
      <c r="H105" s="141"/>
      <c r="I105" s="141"/>
      <c r="J105" s="141"/>
      <c r="K105" s="141"/>
      <c r="L105" s="142"/>
      <c r="M105" s="1"/>
      <c r="N105" s="1"/>
      <c r="O105" s="1"/>
      <c r="P105" s="1"/>
    </row>
    <row r="106" spans="1:16" x14ac:dyDescent="0.35">
      <c r="A106" s="1"/>
      <c r="B106" s="134"/>
      <c r="C106" s="157" t="s">
        <v>149</v>
      </c>
      <c r="D106" s="158">
        <v>90</v>
      </c>
      <c r="E106" s="158">
        <v>105</v>
      </c>
      <c r="F106" s="141"/>
      <c r="G106" s="141" t="s">
        <v>130</v>
      </c>
      <c r="H106" s="141"/>
      <c r="I106" s="141"/>
      <c r="J106" s="141"/>
      <c r="K106" s="141"/>
      <c r="L106" s="142"/>
      <c r="M106" s="1"/>
      <c r="N106" s="1"/>
      <c r="O106" s="1"/>
      <c r="P106" s="1"/>
    </row>
    <row r="107" spans="1:16" x14ac:dyDescent="0.35">
      <c r="A107" s="1"/>
      <c r="B107" s="134"/>
      <c r="C107" s="157"/>
      <c r="D107" s="141"/>
      <c r="E107" s="141"/>
      <c r="F107" s="165"/>
      <c r="G107" s="141"/>
      <c r="H107" s="141"/>
      <c r="I107" s="141"/>
      <c r="J107" s="141"/>
      <c r="K107" s="141"/>
      <c r="L107" s="142"/>
      <c r="M107" s="1"/>
      <c r="N107" s="1"/>
      <c r="O107" s="1"/>
      <c r="P107" s="1"/>
    </row>
    <row r="108" spans="1:16" ht="15" thickBot="1" x14ac:dyDescent="0.4">
      <c r="A108" s="1"/>
      <c r="B108" s="146"/>
      <c r="C108" s="58"/>
      <c r="D108" s="58"/>
      <c r="E108" s="58"/>
      <c r="F108" s="58"/>
      <c r="G108" s="58"/>
      <c r="H108" s="58"/>
      <c r="I108" s="58"/>
      <c r="J108" s="58"/>
      <c r="K108" s="58"/>
      <c r="L108" s="147"/>
      <c r="M108" s="1"/>
      <c r="N108" s="1"/>
      <c r="O108" s="1"/>
      <c r="P108" s="1"/>
    </row>
    <row r="109" spans="1:16" s="1" customFormat="1" x14ac:dyDescent="0.35"/>
    <row r="110" spans="1:16" s="1" customFormat="1" hidden="1" x14ac:dyDescent="0.35"/>
    <row r="111" spans="1:16" s="1" customFormat="1" hidden="1" x14ac:dyDescent="0.35"/>
    <row r="112" spans="1:16"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row r="145" spans="3:3" s="1" customFormat="1" hidden="1" x14ac:dyDescent="0.35"/>
    <row r="146" spans="3:3" s="1" customFormat="1" hidden="1" x14ac:dyDescent="0.35">
      <c r="C146" s="238"/>
    </row>
    <row r="147" spans="3:3" s="1" customFormat="1" hidden="1" x14ac:dyDescent="0.35"/>
    <row r="148" spans="3:3" s="1" customFormat="1" hidden="1" x14ac:dyDescent="0.35"/>
    <row r="149" spans="3:3" s="1" customFormat="1" hidden="1" x14ac:dyDescent="0.35"/>
    <row r="150" spans="3:3" s="1" customFormat="1" hidden="1" x14ac:dyDescent="0.35"/>
    <row r="151" spans="3:3" s="1" customFormat="1" hidden="1" x14ac:dyDescent="0.35"/>
    <row r="152" spans="3:3" s="1" customFormat="1" hidden="1" x14ac:dyDescent="0.35"/>
    <row r="153" spans="3:3" s="1" customFormat="1" hidden="1" x14ac:dyDescent="0.35"/>
    <row r="154" spans="3:3" s="1" customFormat="1" hidden="1" x14ac:dyDescent="0.35"/>
    <row r="155" spans="3:3" s="1" customFormat="1" hidden="1" x14ac:dyDescent="0.35"/>
    <row r="156" spans="3:3" s="1" customFormat="1" hidden="1" x14ac:dyDescent="0.35"/>
    <row r="157" spans="3:3" s="1" customFormat="1" hidden="1" x14ac:dyDescent="0.35"/>
    <row r="158" spans="3:3" s="1" customFormat="1" hidden="1" x14ac:dyDescent="0.35"/>
    <row r="159" spans="3:3" s="1" customFormat="1" hidden="1" x14ac:dyDescent="0.35"/>
    <row r="160" spans="3:3" s="1" customFormat="1" hidden="1" x14ac:dyDescent="0.35"/>
    <row r="161" spans="1:16" hidden="1" x14ac:dyDescent="0.35">
      <c r="A161" s="1"/>
      <c r="B161" s="1"/>
      <c r="C161" s="1"/>
      <c r="D161" s="1"/>
      <c r="E161" s="1"/>
      <c r="F161" s="1"/>
      <c r="G161" s="1"/>
      <c r="H161" s="1"/>
      <c r="I161" s="1"/>
      <c r="J161" s="1"/>
      <c r="K161" s="1"/>
      <c r="L161" s="1"/>
      <c r="M161" s="1"/>
      <c r="N161" s="1"/>
      <c r="O161" s="1"/>
      <c r="P161" s="1"/>
    </row>
    <row r="162" spans="1:16" hidden="1" x14ac:dyDescent="0.35">
      <c r="A162" s="1"/>
      <c r="B162" s="1"/>
      <c r="C162" s="1"/>
      <c r="D162" s="1"/>
      <c r="E162" s="1"/>
      <c r="F162" s="1"/>
      <c r="G162" s="1"/>
      <c r="H162" s="1"/>
      <c r="I162" s="1"/>
      <c r="J162" s="1"/>
      <c r="K162" s="1"/>
      <c r="L162" s="1"/>
      <c r="M162" s="1"/>
      <c r="N162" s="1"/>
      <c r="O162" s="1"/>
      <c r="P162" s="1"/>
    </row>
    <row r="163" spans="1:16" hidden="1" x14ac:dyDescent="0.35">
      <c r="A163" s="1"/>
      <c r="B163" s="1"/>
      <c r="C163" s="1"/>
      <c r="D163" s="1"/>
      <c r="E163" s="1"/>
      <c r="F163" s="1"/>
      <c r="G163" s="1"/>
      <c r="H163" s="1"/>
      <c r="I163" s="1"/>
      <c r="J163" s="1"/>
      <c r="K163" s="1"/>
      <c r="L163" s="1"/>
      <c r="M163" s="1"/>
      <c r="N163" s="1"/>
      <c r="O163" s="1"/>
      <c r="P163" s="1"/>
    </row>
    <row r="164" spans="1:16" hidden="1" x14ac:dyDescent="0.35">
      <c r="F164" t="s">
        <v>224</v>
      </c>
    </row>
    <row r="165" spans="1:16" hidden="1" x14ac:dyDescent="0.35">
      <c r="F165" s="288" t="s">
        <v>33</v>
      </c>
      <c r="G165" s="288" t="str">
        <f>IF(COUNTIF(B15:B25,"Water"), "Water can be added only if the mixture is too dry","")</f>
        <v/>
      </c>
    </row>
    <row r="166" spans="1:16" hidden="1" x14ac:dyDescent="0.35">
      <c r="F166" s="288" t="s">
        <v>44</v>
      </c>
      <c r="G166" s="288" t="str">
        <f>IF(COUNTIF(B15:B25,"Human excreta"), "Special care has to be taken with excreta because of the pathogens","")</f>
        <v/>
      </c>
    </row>
    <row r="167" spans="1:16" hidden="1" x14ac:dyDescent="0.35">
      <c r="F167" s="288" t="s">
        <v>48</v>
      </c>
      <c r="G167" s="288" t="str">
        <f>IF(COUNTIF(B15:B25,"Human urine"), "Urine is not a no go but its use is under research","")</f>
        <v/>
      </c>
    </row>
  </sheetData>
  <mergeCells count="30">
    <mergeCell ref="B27:C27"/>
    <mergeCell ref="B30:B33"/>
    <mergeCell ref="C30:J31"/>
    <mergeCell ref="C32:J33"/>
    <mergeCell ref="B35:B36"/>
    <mergeCell ref="Z13:Z14"/>
    <mergeCell ref="AA13:AA14"/>
    <mergeCell ref="B3:G4"/>
    <mergeCell ref="B8:H8"/>
    <mergeCell ref="B10:C10"/>
    <mergeCell ref="B11:E11"/>
    <mergeCell ref="B13:B14"/>
    <mergeCell ref="C13:C14"/>
    <mergeCell ref="D13:F13"/>
    <mergeCell ref="G13:G14"/>
    <mergeCell ref="C35:C36"/>
    <mergeCell ref="D35:F36"/>
    <mergeCell ref="G35:J36"/>
    <mergeCell ref="B38:B41"/>
    <mergeCell ref="C38:D41"/>
    <mergeCell ref="F38:F41"/>
    <mergeCell ref="G38:H41"/>
    <mergeCell ref="G88:K88"/>
    <mergeCell ref="B43:C43"/>
    <mergeCell ref="B46:F46"/>
    <mergeCell ref="G46:I46"/>
    <mergeCell ref="B52:F52"/>
    <mergeCell ref="G52:I52"/>
    <mergeCell ref="B62:H62"/>
    <mergeCell ref="B60:F60"/>
  </mergeCells>
  <conditionalFormatting sqref="B62:H62">
    <cfRule type="expression" dxfId="8" priority="2">
      <formula>$H$70="No"</formula>
    </cfRule>
    <cfRule type="expression" dxfId="7" priority="3">
      <formula>$H$59="No"</formula>
    </cfRule>
    <cfRule type="expression" dxfId="6" priority="4">
      <formula>$H$62="No"</formula>
    </cfRule>
  </conditionalFormatting>
  <conditionalFormatting sqref="B46:I54">
    <cfRule type="expression" dxfId="5" priority="1">
      <formula>$C$38="No"</formula>
    </cfRule>
  </conditionalFormatting>
  <conditionalFormatting sqref="C35:C36">
    <cfRule type="containsText" dxfId="4" priority="7" operator="containsText" text="Your mixture is more than 50% suitable">
      <formula>NOT(ISERROR(SEARCH("Your mixture is more than 50% suitable",C35)))</formula>
    </cfRule>
  </conditionalFormatting>
  <conditionalFormatting sqref="C38">
    <cfRule type="cellIs" dxfId="3" priority="12" operator="equal">
      <formula>"No"</formula>
    </cfRule>
  </conditionalFormatting>
  <conditionalFormatting sqref="C30:J31">
    <cfRule type="containsText" dxfId="2" priority="9" operator="containsText" text="Optimal">
      <formula>NOT(ISERROR(SEARCH("Optimal",C30)))</formula>
    </cfRule>
  </conditionalFormatting>
  <conditionalFormatting sqref="L14:Y14 L15:AA25 B62:L108">
    <cfRule type="expression" dxfId="1" priority="6">
      <formula>$H$60="No"</formula>
    </cfRule>
  </conditionalFormatting>
  <conditionalFormatting sqref="L13:AA13">
    <cfRule type="expression" dxfId="0" priority="5">
      <formula>$H$60="No"</formula>
    </cfRule>
  </conditionalFormatting>
  <dataValidations disablePrompts="1" count="1">
    <dataValidation type="list" allowBlank="1" showInputMessage="1" showErrorMessage="1" sqref="H60" xr:uid="{2766AAA7-25B3-4053-B9D8-6AA02615AB57}">
      <formula1>"Yes,No"</formula1>
    </dataValidation>
  </dataValidations>
  <hyperlinks>
    <hyperlink ref="D56" r:id="rId1" xr:uid="{00000000-0004-0000-0500-000001000000}"/>
  </hyperlinks>
  <pageMargins left="0.7" right="0.7" top="0.75" bottom="0.75" header="0.3" footer="0.3"/>
  <pageSetup paperSize="9" orientation="portrait"/>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'2 Feedstock database'!$B$8:$B$27</xm:f>
          </x14:formula1>
          <xm:sqref>B15:B25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O47"/>
  <sheetViews>
    <sheetView zoomScale="85" workbookViewId="0">
      <selection activeCell="G27" sqref="G27"/>
    </sheetView>
  </sheetViews>
  <sheetFormatPr defaultColWidth="9.1796875" defaultRowHeight="14.5" x14ac:dyDescent="0.35"/>
  <cols>
    <col min="1" max="7" width="9.1796875" style="1"/>
    <col min="8" max="8" width="40.7265625" style="1" customWidth="1"/>
    <col min="9" max="16384" width="9.1796875" style="1"/>
  </cols>
  <sheetData>
    <row r="2" spans="2:15" ht="18.5" x14ac:dyDescent="0.45">
      <c r="B2" s="239"/>
      <c r="C2" s="240" t="s">
        <v>94</v>
      </c>
      <c r="D2" s="241"/>
      <c r="E2" s="241"/>
      <c r="F2" s="241"/>
      <c r="G2" s="241"/>
      <c r="H2" s="241"/>
      <c r="I2" s="241"/>
      <c r="J2" s="241"/>
      <c r="K2" s="241"/>
      <c r="L2" s="241"/>
      <c r="M2" s="241"/>
      <c r="N2" s="241"/>
      <c r="O2" s="242"/>
    </row>
    <row r="3" spans="2:15" x14ac:dyDescent="0.35">
      <c r="B3" s="243"/>
      <c r="O3" s="244"/>
    </row>
    <row r="4" spans="2:15" x14ac:dyDescent="0.35">
      <c r="B4" s="243"/>
      <c r="C4" s="1" t="s">
        <v>225</v>
      </c>
      <c r="D4" s="231"/>
      <c r="O4" s="244"/>
    </row>
    <row r="5" spans="2:15" x14ac:dyDescent="0.35">
      <c r="B5" s="243"/>
      <c r="C5" s="1" t="s">
        <v>226</v>
      </c>
      <c r="D5" s="231"/>
      <c r="O5" s="244"/>
    </row>
    <row r="6" spans="2:15" x14ac:dyDescent="0.35">
      <c r="B6" s="243"/>
      <c r="C6" s="1" t="s">
        <v>227</v>
      </c>
      <c r="D6" s="231"/>
      <c r="O6" s="244"/>
    </row>
    <row r="7" spans="2:15" x14ac:dyDescent="0.35">
      <c r="B7" s="243"/>
      <c r="C7" s="1" t="s">
        <v>228</v>
      </c>
      <c r="D7" s="231"/>
      <c r="O7" s="244"/>
    </row>
    <row r="8" spans="2:15" x14ac:dyDescent="0.35">
      <c r="B8" s="243"/>
      <c r="C8" s="1" t="s">
        <v>229</v>
      </c>
      <c r="D8" s="231"/>
      <c r="O8" s="244"/>
    </row>
    <row r="9" spans="2:15" x14ac:dyDescent="0.35">
      <c r="B9" s="243"/>
      <c r="D9" s="231"/>
      <c r="O9" s="244"/>
    </row>
    <row r="10" spans="2:15" x14ac:dyDescent="0.35">
      <c r="B10" s="243"/>
      <c r="D10" s="231"/>
      <c r="O10" s="244"/>
    </row>
    <row r="11" spans="2:15" x14ac:dyDescent="0.35">
      <c r="B11" s="243"/>
      <c r="D11" s="231"/>
      <c r="O11" s="244"/>
    </row>
    <row r="12" spans="2:15" x14ac:dyDescent="0.35">
      <c r="B12" s="243"/>
      <c r="D12" s="231"/>
      <c r="O12" s="244"/>
    </row>
    <row r="13" spans="2:15" x14ac:dyDescent="0.35">
      <c r="B13" s="243"/>
      <c r="D13" s="231"/>
      <c r="O13" s="244"/>
    </row>
    <row r="14" spans="2:15" x14ac:dyDescent="0.35">
      <c r="B14" s="243"/>
      <c r="D14" s="231"/>
      <c r="O14" s="244"/>
    </row>
    <row r="15" spans="2:15" x14ac:dyDescent="0.35">
      <c r="B15" s="243"/>
      <c r="D15" s="231"/>
      <c r="O15" s="244"/>
    </row>
    <row r="16" spans="2:15" x14ac:dyDescent="0.35">
      <c r="B16" s="243"/>
      <c r="D16" s="231"/>
      <c r="O16" s="244"/>
    </row>
    <row r="17" spans="2:15" x14ac:dyDescent="0.35">
      <c r="B17" s="243"/>
      <c r="D17" s="231"/>
      <c r="O17" s="244"/>
    </row>
    <row r="18" spans="2:15" x14ac:dyDescent="0.35">
      <c r="B18" s="243"/>
      <c r="D18" s="231"/>
      <c r="O18" s="244"/>
    </row>
    <row r="19" spans="2:15" x14ac:dyDescent="0.35">
      <c r="B19" s="243"/>
      <c r="D19" s="231"/>
      <c r="O19" s="244"/>
    </row>
    <row r="20" spans="2:15" x14ac:dyDescent="0.35">
      <c r="B20" s="243"/>
      <c r="D20" s="231"/>
      <c r="O20" s="244"/>
    </row>
    <row r="21" spans="2:15" x14ac:dyDescent="0.35">
      <c r="B21" s="245"/>
      <c r="C21" s="246"/>
      <c r="D21" s="247"/>
      <c r="E21" s="246"/>
      <c r="F21" s="246"/>
      <c r="G21" s="246"/>
      <c r="H21" s="246"/>
      <c r="I21" s="246"/>
      <c r="J21" s="246"/>
      <c r="K21" s="246"/>
      <c r="L21" s="246"/>
      <c r="M21" s="246"/>
      <c r="N21" s="246"/>
      <c r="O21" s="248"/>
    </row>
    <row r="22" spans="2:15" x14ac:dyDescent="0.35">
      <c r="D22" s="231"/>
    </row>
    <row r="23" spans="2:15" x14ac:dyDescent="0.35">
      <c r="D23" s="231"/>
    </row>
    <row r="24" spans="2:15" x14ac:dyDescent="0.35">
      <c r="D24" s="231"/>
    </row>
    <row r="25" spans="2:15" x14ac:dyDescent="0.35">
      <c r="D25" s="231"/>
    </row>
    <row r="26" spans="2:15" x14ac:dyDescent="0.35">
      <c r="D26" s="231"/>
    </row>
    <row r="27" spans="2:15" x14ac:dyDescent="0.35">
      <c r="D27" s="231"/>
    </row>
    <row r="28" spans="2:15" x14ac:dyDescent="0.35">
      <c r="D28" s="231"/>
    </row>
    <row r="29" spans="2:15" x14ac:dyDescent="0.35">
      <c r="D29" s="231"/>
    </row>
    <row r="30" spans="2:15" x14ac:dyDescent="0.35">
      <c r="D30" s="231"/>
    </row>
    <row r="31" spans="2:15" x14ac:dyDescent="0.35">
      <c r="D31" s="231"/>
    </row>
    <row r="32" spans="2:15" x14ac:dyDescent="0.35">
      <c r="D32" s="231"/>
    </row>
    <row r="33" spans="4:4" x14ac:dyDescent="0.35">
      <c r="D33" s="231"/>
    </row>
    <row r="34" spans="4:4" x14ac:dyDescent="0.35">
      <c r="D34" s="231"/>
    </row>
    <row r="35" spans="4:4" x14ac:dyDescent="0.35">
      <c r="D35" s="231"/>
    </row>
    <row r="36" spans="4:4" x14ac:dyDescent="0.35">
      <c r="D36" s="231"/>
    </row>
    <row r="37" spans="4:4" x14ac:dyDescent="0.35">
      <c r="D37" s="231"/>
    </row>
    <row r="38" spans="4:4" x14ac:dyDescent="0.35">
      <c r="D38" s="231"/>
    </row>
    <row r="39" spans="4:4" x14ac:dyDescent="0.35">
      <c r="D39" s="231"/>
    </row>
    <row r="40" spans="4:4" x14ac:dyDescent="0.35">
      <c r="D40" s="231"/>
    </row>
    <row r="41" spans="4:4" x14ac:dyDescent="0.35">
      <c r="D41" s="231"/>
    </row>
    <row r="42" spans="4:4" x14ac:dyDescent="0.35">
      <c r="D42" s="231"/>
    </row>
    <row r="43" spans="4:4" x14ac:dyDescent="0.35">
      <c r="D43" s="231"/>
    </row>
    <row r="44" spans="4:4" x14ac:dyDescent="0.35">
      <c r="D44" s="231"/>
    </row>
    <row r="45" spans="4:4" x14ac:dyDescent="0.35">
      <c r="D45" s="231"/>
    </row>
    <row r="46" spans="4:4" x14ac:dyDescent="0.35">
      <c r="D46" s="231"/>
    </row>
    <row r="47" spans="4:4" x14ac:dyDescent="0.35">
      <c r="D47" s="231"/>
    </row>
  </sheetData>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workbookViewId="0">
      <selection activeCell="A2" sqref="A2"/>
    </sheetView>
  </sheetViews>
  <sheetFormatPr defaultRowHeight="14.5" x14ac:dyDescent="0.35"/>
  <sheetData>
    <row r="1" spans="1:1" x14ac:dyDescent="0.35">
      <c r="A1" t="s">
        <v>230</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sheetPr>
  <dimension ref="A1:Y99"/>
  <sheetViews>
    <sheetView topLeftCell="A2" zoomScale="55" workbookViewId="0">
      <selection activeCell="F21" sqref="F21"/>
    </sheetView>
  </sheetViews>
  <sheetFormatPr defaultColWidth="0" defaultRowHeight="14.5" zeroHeight="1" x14ac:dyDescent="0.35"/>
  <cols>
    <col min="1" max="1" width="9.1796875" style="1" customWidth="1"/>
    <col min="2" max="2" width="24" style="1" customWidth="1"/>
    <col min="3" max="3" width="12.81640625" style="1" bestFit="1" customWidth="1"/>
    <col min="4" max="4" width="13.81640625" style="1" bestFit="1" customWidth="1"/>
    <col min="5" max="5" width="14.81640625" style="1" bestFit="1" customWidth="1"/>
    <col min="6" max="6" width="14.81640625" style="1" customWidth="1"/>
    <col min="7" max="8" width="15.7265625" style="1" customWidth="1"/>
    <col min="9" max="9" width="17.1796875" style="1" customWidth="1"/>
    <col min="10" max="11" width="15.7265625" style="1" customWidth="1"/>
    <col min="12" max="14" width="9.1796875" style="1" customWidth="1"/>
    <col min="15" max="15" width="95.54296875" style="1" customWidth="1"/>
    <col min="16" max="16" width="26.54296875" style="1" customWidth="1"/>
    <col min="17" max="17" width="13.54296875" style="1" bestFit="1" customWidth="1"/>
    <col min="18" max="24" width="9.1796875" style="1" customWidth="1"/>
    <col min="25" max="25" width="0" style="1" hidden="1" customWidth="1"/>
    <col min="26" max="16384" width="9.1796875" style="1" hidden="1"/>
  </cols>
  <sheetData>
    <row r="1" spans="2:17" s="2" customFormat="1" x14ac:dyDescent="0.35"/>
    <row r="2" spans="2:17" s="2" customFormat="1" ht="26" x14ac:dyDescent="0.6">
      <c r="B2" s="8" t="s">
        <v>7</v>
      </c>
    </row>
    <row r="3" spans="2:17" s="2" customFormat="1" x14ac:dyDescent="0.35"/>
    <row r="4" spans="2:17" x14ac:dyDescent="0.35">
      <c r="B4" s="4" t="s">
        <v>8</v>
      </c>
    </row>
    <row r="5" spans="2:17" x14ac:dyDescent="0.35">
      <c r="B5" s="1" t="s">
        <v>9</v>
      </c>
      <c r="G5" s="9" t="s">
        <v>267</v>
      </c>
    </row>
    <row r="6" spans="2:17" ht="88.5" customHeight="1" x14ac:dyDescent="0.35">
      <c r="C6" s="10"/>
      <c r="D6" s="10"/>
      <c r="E6" s="10"/>
      <c r="F6" s="10"/>
      <c r="G6" s="11" t="s">
        <v>10</v>
      </c>
      <c r="H6" s="11" t="s">
        <v>11</v>
      </c>
      <c r="I6" s="11" t="s">
        <v>12</v>
      </c>
      <c r="J6" s="11" t="s">
        <v>13</v>
      </c>
      <c r="K6" s="11" t="s">
        <v>14</v>
      </c>
      <c r="L6" s="11" t="s">
        <v>15</v>
      </c>
      <c r="M6" s="11" t="s">
        <v>16</v>
      </c>
      <c r="N6" s="11" t="s">
        <v>17</v>
      </c>
    </row>
    <row r="7" spans="2:17" ht="29" x14ac:dyDescent="0.35">
      <c r="B7" s="11" t="s">
        <v>18</v>
      </c>
      <c r="C7" s="12" t="s">
        <v>19</v>
      </c>
      <c r="D7" s="12" t="s">
        <v>20</v>
      </c>
      <c r="E7" s="12" t="s">
        <v>21</v>
      </c>
      <c r="F7" s="12" t="s">
        <v>22</v>
      </c>
      <c r="G7" s="11" t="s">
        <v>23</v>
      </c>
      <c r="H7" s="11" t="s">
        <v>24</v>
      </c>
      <c r="I7" s="11" t="s">
        <v>25</v>
      </c>
      <c r="J7" s="11" t="s">
        <v>26</v>
      </c>
      <c r="K7" s="11" t="s">
        <v>27</v>
      </c>
      <c r="L7" s="11" t="s">
        <v>28</v>
      </c>
      <c r="M7" s="11" t="s">
        <v>29</v>
      </c>
      <c r="N7" s="11" t="s">
        <v>30</v>
      </c>
      <c r="O7" s="11" t="s">
        <v>31</v>
      </c>
      <c r="P7" s="11" t="s">
        <v>32</v>
      </c>
    </row>
    <row r="8" spans="2:17" s="13" customFormat="1" x14ac:dyDescent="0.35">
      <c r="B8" s="14" t="s">
        <v>33</v>
      </c>
      <c r="C8" s="15" t="str">
        <f t="shared" ref="C8:C21" si="0">IF(G8&gt;0.9,"Very high",IF(G8&gt;0.75,"High",IF(G8&gt;0.5,"Medium",IF(G8&gt;0.2,"Low","Very low"))))</f>
        <v>Very high</v>
      </c>
      <c r="D8" s="15" t="str">
        <f t="shared" ref="D8:D21" si="1">IF(L8*H8&gt;0.1,"Very high",IF(L8*H8&gt;0.05,"High",IF(L8*H8&gt;0.01,"Medium",IF(L8*H8&gt;0.005,"Low","Very low"))))</f>
        <v>Very low</v>
      </c>
      <c r="E8" s="15" t="str">
        <f t="shared" ref="E8:E21" si="2">IF(M8*H8&gt;0.01,"Very high",IF(M8*H8&gt;0.005,"High",IF(M8*H8&gt;0.001,"Medium",IF(M8*H8&gt;0.0005,"Low","Very low"))))</f>
        <v>Very low</v>
      </c>
      <c r="F8" s="15" t="s">
        <v>34</v>
      </c>
      <c r="G8" s="16">
        <v>1</v>
      </c>
      <c r="H8" s="16">
        <v>0</v>
      </c>
      <c r="I8" s="16">
        <v>0</v>
      </c>
      <c r="J8" s="16">
        <v>0</v>
      </c>
      <c r="K8" s="16">
        <v>0</v>
      </c>
      <c r="L8" s="16">
        <v>0</v>
      </c>
      <c r="M8" s="16">
        <v>0</v>
      </c>
      <c r="N8" s="16"/>
      <c r="O8" s="16"/>
      <c r="P8" s="16"/>
      <c r="Q8" s="15"/>
    </row>
    <row r="9" spans="2:17" s="13" customFormat="1" ht="43.5" x14ac:dyDescent="0.35">
      <c r="B9" s="14" t="s">
        <v>35</v>
      </c>
      <c r="C9" s="15" t="str">
        <f t="shared" si="0"/>
        <v>High</v>
      </c>
      <c r="D9" s="15" t="str">
        <f t="shared" si="1"/>
        <v>High</v>
      </c>
      <c r="E9" s="15" t="str">
        <f t="shared" si="2"/>
        <v>High</v>
      </c>
      <c r="F9" s="15" t="s">
        <v>36</v>
      </c>
      <c r="G9" s="17">
        <v>0.85</v>
      </c>
      <c r="H9" s="17">
        <f t="shared" ref="H9:H14" si="3">1-G9</f>
        <v>0.15000000000000002</v>
      </c>
      <c r="I9" s="17">
        <v>0.82941200000000004</v>
      </c>
      <c r="J9" s="17">
        <f>2.3319%/H9</f>
        <v>0.15545999999999999</v>
      </c>
      <c r="K9" s="17">
        <v>0.14799999999999999</v>
      </c>
      <c r="L9" s="18">
        <f t="shared" ref="L9:L11" si="4">0.55*I9</f>
        <v>0.45617660000000004</v>
      </c>
      <c r="M9" s="18">
        <f>0.599%/H9</f>
        <v>3.9933333333333328E-2</v>
      </c>
      <c r="N9" s="19">
        <f t="shared" ref="N9:N14" si="5">L9/M9</f>
        <v>11.423454090150253</v>
      </c>
      <c r="O9" s="20" t="s">
        <v>37</v>
      </c>
      <c r="P9" s="19" t="s">
        <v>38</v>
      </c>
      <c r="Q9" s="15"/>
    </row>
    <row r="10" spans="2:17" s="13" customFormat="1" ht="58" x14ac:dyDescent="0.35">
      <c r="B10" s="14" t="s">
        <v>39</v>
      </c>
      <c r="C10" s="15" t="str">
        <f t="shared" si="0"/>
        <v>High</v>
      </c>
      <c r="D10" s="15" t="str">
        <f t="shared" si="1"/>
        <v>Medium</v>
      </c>
      <c r="E10" s="15" t="str">
        <f t="shared" si="2"/>
        <v>High</v>
      </c>
      <c r="F10" s="15" t="s">
        <v>36</v>
      </c>
      <c r="G10" s="17">
        <v>0.9</v>
      </c>
      <c r="H10" s="17">
        <f t="shared" si="3"/>
        <v>9.9999999999999978E-2</v>
      </c>
      <c r="I10" s="17">
        <v>0.88815</v>
      </c>
      <c r="J10" s="17">
        <f>1.118%/H10</f>
        <v>0.11180000000000004</v>
      </c>
      <c r="K10" s="17">
        <v>0.33979999999999999</v>
      </c>
      <c r="L10" s="18">
        <f t="shared" si="4"/>
        <v>0.48848250000000004</v>
      </c>
      <c r="M10" s="18">
        <f>0.778%/H10</f>
        <v>7.7800000000000022E-2</v>
      </c>
      <c r="N10" s="19">
        <f t="shared" si="5"/>
        <v>6.2786953727506418</v>
      </c>
      <c r="O10" s="20" t="s">
        <v>40</v>
      </c>
      <c r="P10" s="19" t="s">
        <v>38</v>
      </c>
      <c r="Q10" s="15"/>
    </row>
    <row r="11" spans="2:17" s="13" customFormat="1" ht="43.5" x14ac:dyDescent="0.35">
      <c r="B11" s="14" t="s">
        <v>41</v>
      </c>
      <c r="C11" s="15" t="str">
        <f t="shared" si="0"/>
        <v>Medium</v>
      </c>
      <c r="D11" s="15" t="str">
        <f t="shared" si="1"/>
        <v>Very high</v>
      </c>
      <c r="E11" s="15" t="str">
        <f t="shared" si="2"/>
        <v>Very high</v>
      </c>
      <c r="F11" s="15" t="s">
        <v>36</v>
      </c>
      <c r="G11" s="17">
        <v>0.745</v>
      </c>
      <c r="H11" s="17">
        <f t="shared" si="3"/>
        <v>0.255</v>
      </c>
      <c r="I11" s="17">
        <v>0.75302999999999998</v>
      </c>
      <c r="J11" s="17">
        <f>6.288%/H11</f>
        <v>0.24658823529411766</v>
      </c>
      <c r="K11" s="17">
        <v>0.27600000000000002</v>
      </c>
      <c r="L11" s="18">
        <f t="shared" si="4"/>
        <v>0.41416650000000005</v>
      </c>
      <c r="M11" s="18">
        <f>1.484%/H11</f>
        <v>5.8196078431372547E-2</v>
      </c>
      <c r="N11" s="19">
        <f t="shared" si="5"/>
        <v>7.1167424191374673</v>
      </c>
      <c r="O11" s="20" t="s">
        <v>42</v>
      </c>
      <c r="P11" s="19" t="s">
        <v>38</v>
      </c>
      <c r="Q11" s="15"/>
    </row>
    <row r="12" spans="2:17" s="13" customFormat="1" ht="58" x14ac:dyDescent="0.35">
      <c r="B12" s="268" t="s">
        <v>253</v>
      </c>
      <c r="C12" s="262" t="s">
        <v>254</v>
      </c>
      <c r="D12" s="15" t="str">
        <f t="shared" ref="D12" si="6">IF(L12*H12&gt;0.1,"Very high",IF(L12*H12&gt;0.05,"High",IF(L12*H12&gt;0.01,"Medium",IF(L12*H12&gt;0.005,"Low","Very low"))))</f>
        <v>Very high</v>
      </c>
      <c r="E12" s="15" t="str">
        <f t="shared" ref="E12" si="7">IF(M12*H12&gt;0.01,"Very high",IF(M12*H12&gt;0.005,"High",IF(M12*H12&gt;0.001,"Medium",IF(M12*H12&gt;0.0005,"Low","Very low"))))</f>
        <v>Medium</v>
      </c>
      <c r="F12" s="262" t="s">
        <v>36</v>
      </c>
      <c r="G12" s="265">
        <v>0.77</v>
      </c>
      <c r="H12" s="265">
        <v>0.22999999999999998</v>
      </c>
      <c r="I12" s="265">
        <v>0.96399999999999997</v>
      </c>
      <c r="J12" s="265">
        <v>3.5999999999999997E-2</v>
      </c>
      <c r="K12" s="265">
        <v>0.36099999999999999</v>
      </c>
      <c r="L12" s="266">
        <v>0.5302</v>
      </c>
      <c r="M12" s="266">
        <v>2.1739130434782612E-2</v>
      </c>
      <c r="N12" s="267">
        <v>24.389199999999995</v>
      </c>
      <c r="O12" s="263" t="s">
        <v>255</v>
      </c>
      <c r="P12" s="264" t="s">
        <v>256</v>
      </c>
      <c r="Q12" s="15"/>
    </row>
    <row r="13" spans="2:17" s="13" customFormat="1" ht="58" x14ac:dyDescent="0.35">
      <c r="B13" s="14" t="s">
        <v>44</v>
      </c>
      <c r="C13" s="15" t="str">
        <f>IF(G13&gt;0.9,"Very high",IF(G13&gt;0.75,"High",IF(G13&gt;0.5,"Medium",IF(G13&gt;0.2,"Low","Very low"))))</f>
        <v>Very high</v>
      </c>
      <c r="D13" s="15" t="str">
        <f>IF(L13*H13&gt;0.1,"Very high",IF(L13*H13&gt;0.05,"High",IF(L13*H13&gt;0.01,"Medium",IF(L13*H13&gt;0.005,"Low","Very low"))))</f>
        <v>Medium</v>
      </c>
      <c r="E13" s="15" t="str">
        <f>IF(M13*H13&gt;0.01,"Very high",IF(M13*H13&gt;0.005,"High",IF(M13*H13&gt;0.001,"Medium",IF(M13*H13&gt;0.0005,"Low","Very low"))))</f>
        <v>Medium</v>
      </c>
      <c r="F13" s="15" t="s">
        <v>45</v>
      </c>
      <c r="G13" s="17">
        <v>0.95</v>
      </c>
      <c r="H13" s="17">
        <f t="shared" si="3"/>
        <v>5.0000000000000044E-2</v>
      </c>
      <c r="I13" s="17">
        <f>3.4%/H13</f>
        <v>0.67999999999999949</v>
      </c>
      <c r="J13" s="17">
        <f>1.6%/H13</f>
        <v>0.31999999999999973</v>
      </c>
      <c r="K13" s="17">
        <f>0.38/I13</f>
        <v>0.55882352941176516</v>
      </c>
      <c r="L13" s="18">
        <f>N13*M13</f>
        <v>0.45999999999999996</v>
      </c>
      <c r="M13" s="18">
        <f>AVERAGE(0.055,0.06)</f>
        <v>5.7499999999999996E-2</v>
      </c>
      <c r="N13" s="19">
        <f>AVERAGE(6,10)</f>
        <v>8</v>
      </c>
      <c r="O13" s="21" t="s">
        <v>46</v>
      </c>
      <c r="P13" s="19" t="s">
        <v>47</v>
      </c>
      <c r="Q13" s="15"/>
    </row>
    <row r="14" spans="2:17" s="13" customFormat="1" ht="43.5" x14ac:dyDescent="0.35">
      <c r="B14" s="22" t="s">
        <v>48</v>
      </c>
      <c r="C14" s="15" t="str">
        <f t="shared" si="0"/>
        <v>Very high</v>
      </c>
      <c r="D14" s="15" t="str">
        <f t="shared" si="1"/>
        <v>Low</v>
      </c>
      <c r="E14" s="15" t="str">
        <f t="shared" si="2"/>
        <v>High</v>
      </c>
      <c r="F14" s="15" t="s">
        <v>49</v>
      </c>
      <c r="G14" s="17">
        <f>AVERAGE(0.93,0.96)</f>
        <v>0.94500000000000006</v>
      </c>
      <c r="H14" s="17">
        <f t="shared" si="3"/>
        <v>5.4999999999999938E-2</v>
      </c>
      <c r="I14" s="17">
        <v>0</v>
      </c>
      <c r="J14" s="17">
        <v>0</v>
      </c>
      <c r="K14" s="17">
        <v>0</v>
      </c>
      <c r="L14" s="18">
        <f>AVERAGE(0.11,0.17)</f>
        <v>0.14000000000000001</v>
      </c>
      <c r="M14" s="18">
        <f>AVERAGE(0.15,0.19)</f>
        <v>0.16999999999999998</v>
      </c>
      <c r="N14" s="19">
        <f t="shared" si="5"/>
        <v>0.82352941176470607</v>
      </c>
      <c r="O14" s="21" t="s">
        <v>50</v>
      </c>
      <c r="P14" s="19" t="s">
        <v>51</v>
      </c>
      <c r="Q14" s="15"/>
    </row>
    <row r="15" spans="2:17" s="13" customFormat="1" x14ac:dyDescent="0.35">
      <c r="B15" s="14" t="s">
        <v>52</v>
      </c>
      <c r="C15" s="15" t="str">
        <f t="shared" si="0"/>
        <v>Very high</v>
      </c>
      <c r="D15" s="15" t="str">
        <f t="shared" si="1"/>
        <v>Very low</v>
      </c>
      <c r="E15" s="15" t="str">
        <f t="shared" si="2"/>
        <v>Very low</v>
      </c>
      <c r="F15" s="15" t="s">
        <v>34</v>
      </c>
      <c r="G15" s="17">
        <v>1</v>
      </c>
      <c r="H15" s="17">
        <v>0</v>
      </c>
      <c r="I15" s="17">
        <v>0</v>
      </c>
      <c r="J15" s="17">
        <v>0</v>
      </c>
      <c r="K15" s="17">
        <v>0</v>
      </c>
      <c r="L15" s="23">
        <v>0</v>
      </c>
      <c r="M15" s="23">
        <v>0</v>
      </c>
      <c r="N15" s="16"/>
      <c r="O15" s="24" t="s">
        <v>53</v>
      </c>
      <c r="P15" s="24"/>
      <c r="Q15" s="15"/>
    </row>
    <row r="16" spans="2:17" s="13" customFormat="1" ht="43.5" x14ac:dyDescent="0.35">
      <c r="B16" s="14" t="s">
        <v>54</v>
      </c>
      <c r="C16" s="15" t="str">
        <f t="shared" si="0"/>
        <v>Very low</v>
      </c>
      <c r="D16" s="15" t="str">
        <f t="shared" si="1"/>
        <v>Very high</v>
      </c>
      <c r="E16" s="15" t="str">
        <f t="shared" si="2"/>
        <v>High</v>
      </c>
      <c r="F16" s="15" t="s">
        <v>55</v>
      </c>
      <c r="G16" s="16">
        <v>0.122</v>
      </c>
      <c r="H16" s="17">
        <f t="shared" ref="H16:H21" si="8">1-G16</f>
        <v>0.878</v>
      </c>
      <c r="I16" s="16">
        <v>0.79600000000000004</v>
      </c>
      <c r="J16" s="17">
        <f>17.911%/H16</f>
        <v>0.20399772209567199</v>
      </c>
      <c r="K16" s="17">
        <v>0.48299999999999998</v>
      </c>
      <c r="L16" s="18">
        <f t="shared" ref="L16:L21" si="9">0.55*I16</f>
        <v>0.43780000000000008</v>
      </c>
      <c r="M16" s="18">
        <f>0.773%/H16</f>
        <v>8.8041002277904328E-3</v>
      </c>
      <c r="N16" s="19">
        <f t="shared" ref="N16:N21" si="10">L16/M16</f>
        <v>49.726830530401045</v>
      </c>
      <c r="O16" s="20" t="s">
        <v>43</v>
      </c>
      <c r="P16" s="19" t="s">
        <v>38</v>
      </c>
      <c r="Q16" s="15"/>
    </row>
    <row r="17" spans="2:18" s="13" customFormat="1" ht="58" x14ac:dyDescent="0.35">
      <c r="B17" s="14" t="s">
        <v>56</v>
      </c>
      <c r="C17" s="15" t="str">
        <f t="shared" si="0"/>
        <v>Low</v>
      </c>
      <c r="D17" s="15" t="str">
        <f t="shared" si="1"/>
        <v>Very high</v>
      </c>
      <c r="E17" s="15" t="str">
        <f t="shared" si="2"/>
        <v>High</v>
      </c>
      <c r="F17" s="15" t="s">
        <v>57</v>
      </c>
      <c r="G17" s="17">
        <v>0.22359999999999999</v>
      </c>
      <c r="H17" s="17">
        <f t="shared" si="8"/>
        <v>0.77639999999999998</v>
      </c>
      <c r="I17" s="17">
        <v>0.98980000000000001</v>
      </c>
      <c r="J17" s="17">
        <f>0.81%/H17</f>
        <v>1.0432766615146834E-2</v>
      </c>
      <c r="K17" s="17">
        <v>8.5000000000000006E-2</v>
      </c>
      <c r="L17" s="18">
        <f t="shared" si="9"/>
        <v>0.54439000000000004</v>
      </c>
      <c r="M17" s="18">
        <f>0.74%/H17</f>
        <v>9.5311695002576E-3</v>
      </c>
      <c r="N17" s="19">
        <f t="shared" si="10"/>
        <v>57.116810270270271</v>
      </c>
      <c r="O17" s="21" t="s">
        <v>58</v>
      </c>
      <c r="P17" s="19" t="s">
        <v>38</v>
      </c>
      <c r="Q17" s="15"/>
    </row>
    <row r="18" spans="2:18" s="13" customFormat="1" ht="43.5" x14ac:dyDescent="0.35">
      <c r="B18" s="14" t="s">
        <v>59</v>
      </c>
      <c r="C18" s="15" t="str">
        <f t="shared" si="0"/>
        <v>Very low</v>
      </c>
      <c r="D18" s="15" t="str">
        <f t="shared" si="1"/>
        <v>Very high</v>
      </c>
      <c r="E18" s="15" t="str">
        <f t="shared" si="2"/>
        <v>Medium</v>
      </c>
      <c r="F18" s="15" t="s">
        <v>60</v>
      </c>
      <c r="G18" s="15">
        <v>0.1</v>
      </c>
      <c r="H18" s="17">
        <f t="shared" si="8"/>
        <v>0.9</v>
      </c>
      <c r="I18" s="15">
        <v>0.96399999999999997</v>
      </c>
      <c r="J18" s="25">
        <f>3.02%/H18</f>
        <v>3.3555555555555554E-2</v>
      </c>
      <c r="K18" s="15">
        <v>1.1599999999999999E-2</v>
      </c>
      <c r="L18" s="26">
        <v>0.4975</v>
      </c>
      <c r="M18" s="26">
        <v>3.5000000000000001E-3</v>
      </c>
      <c r="N18" s="19">
        <f t="shared" si="10"/>
        <v>142.14285714285714</v>
      </c>
      <c r="O18" s="20" t="s">
        <v>61</v>
      </c>
      <c r="P18" s="16" t="s">
        <v>62</v>
      </c>
      <c r="Q18" s="15"/>
      <c r="R18" s="27"/>
    </row>
    <row r="19" spans="2:18" s="13" customFormat="1" ht="58" x14ac:dyDescent="0.35">
      <c r="B19" s="14" t="s">
        <v>63</v>
      </c>
      <c r="C19" s="15" t="str">
        <f t="shared" si="0"/>
        <v>Very low</v>
      </c>
      <c r="D19" s="15" t="str">
        <f t="shared" si="1"/>
        <v>Very high</v>
      </c>
      <c r="E19" s="15" t="str">
        <f t="shared" si="2"/>
        <v>Medium</v>
      </c>
      <c r="F19" s="15" t="s">
        <v>55</v>
      </c>
      <c r="G19" s="15">
        <v>0.1</v>
      </c>
      <c r="H19" s="15">
        <f t="shared" si="8"/>
        <v>0.9</v>
      </c>
      <c r="I19" s="25">
        <v>0.99180000000000001</v>
      </c>
      <c r="J19" s="25">
        <f>0.74/H19</f>
        <v>0.82222222222222219</v>
      </c>
      <c r="K19" s="15">
        <v>0.20799999999999999</v>
      </c>
      <c r="L19" s="18">
        <f t="shared" si="9"/>
        <v>0.54549000000000003</v>
      </c>
      <c r="M19" s="28">
        <f>0.2%/H19</f>
        <v>2.2222222222222222E-3</v>
      </c>
      <c r="N19" s="19">
        <f t="shared" si="10"/>
        <v>245.47050000000002</v>
      </c>
      <c r="O19" s="21" t="s">
        <v>58</v>
      </c>
      <c r="P19" s="19" t="s">
        <v>38</v>
      </c>
      <c r="Q19" s="15"/>
    </row>
    <row r="20" spans="2:18" s="13" customFormat="1" ht="58" x14ac:dyDescent="0.35">
      <c r="B20" s="14" t="s">
        <v>64</v>
      </c>
      <c r="C20" s="15" t="str">
        <f t="shared" si="0"/>
        <v>Low</v>
      </c>
      <c r="D20" s="15" t="str">
        <f t="shared" si="1"/>
        <v>Very high</v>
      </c>
      <c r="E20" s="15" t="str">
        <f t="shared" si="2"/>
        <v>High</v>
      </c>
      <c r="F20" s="15" t="s">
        <v>55</v>
      </c>
      <c r="G20" s="15">
        <v>0.38200000000000001</v>
      </c>
      <c r="H20" s="15">
        <f t="shared" si="8"/>
        <v>0.61799999999999999</v>
      </c>
      <c r="I20" s="25">
        <v>0.90200000000000002</v>
      </c>
      <c r="J20" s="25">
        <f>6.06%/H20</f>
        <v>9.8058252427184453E-2</v>
      </c>
      <c r="K20" s="29">
        <f>30.6/1000</f>
        <v>3.0600000000000002E-2</v>
      </c>
      <c r="L20" s="18">
        <f t="shared" si="9"/>
        <v>0.49610000000000004</v>
      </c>
      <c r="M20" s="28">
        <f t="shared" ref="M20:M21" si="11">0.9%/H20</f>
        <v>1.4563106796116507E-2</v>
      </c>
      <c r="N20" s="19">
        <f t="shared" si="10"/>
        <v>34.065533333333327</v>
      </c>
      <c r="O20" s="21" t="s">
        <v>58</v>
      </c>
      <c r="P20" s="19" t="s">
        <v>38</v>
      </c>
      <c r="Q20" s="15"/>
    </row>
    <row r="21" spans="2:18" s="13" customFormat="1" ht="58" x14ac:dyDescent="0.35">
      <c r="B21" s="14" t="s">
        <v>65</v>
      </c>
      <c r="C21" s="15" t="str">
        <f t="shared" si="0"/>
        <v>High</v>
      </c>
      <c r="D21" s="15" t="str">
        <f t="shared" si="1"/>
        <v>High</v>
      </c>
      <c r="E21" s="15" t="str">
        <f t="shared" si="2"/>
        <v>High</v>
      </c>
      <c r="F21" s="15" t="s">
        <v>55</v>
      </c>
      <c r="G21" s="15">
        <v>0.82</v>
      </c>
      <c r="H21" s="15">
        <f t="shared" si="8"/>
        <v>0.18000000000000005</v>
      </c>
      <c r="I21" s="15">
        <v>0.96599999999999997</v>
      </c>
      <c r="J21" s="25">
        <f>2.859%/H21</f>
        <v>0.1588333333333333</v>
      </c>
      <c r="K21" s="15">
        <v>0.13600000000000001</v>
      </c>
      <c r="L21" s="18">
        <f t="shared" si="9"/>
        <v>0.53129999999999999</v>
      </c>
      <c r="M21" s="28">
        <f t="shared" si="11"/>
        <v>4.9999999999999989E-2</v>
      </c>
      <c r="N21" s="19">
        <f t="shared" si="10"/>
        <v>10.626000000000003</v>
      </c>
      <c r="O21" s="21" t="s">
        <v>58</v>
      </c>
      <c r="P21" s="19" t="s">
        <v>38</v>
      </c>
      <c r="Q21" s="15"/>
    </row>
    <row r="22" spans="2:18" s="13" customFormat="1" x14ac:dyDescent="0.35">
      <c r="B22" s="15" t="s">
        <v>66</v>
      </c>
      <c r="C22" s="15"/>
      <c r="D22" s="15"/>
      <c r="E22" s="15"/>
      <c r="F22" s="15"/>
      <c r="G22" s="17"/>
      <c r="H22" s="17"/>
      <c r="I22" s="17"/>
      <c r="J22" s="17"/>
      <c r="K22" s="17"/>
      <c r="L22" s="16"/>
      <c r="M22" s="16"/>
      <c r="N22" s="16"/>
      <c r="O22" s="16"/>
      <c r="P22" s="16"/>
      <c r="Q22" s="15"/>
    </row>
    <row r="23" spans="2:18" s="13" customFormat="1" x14ac:dyDescent="0.35">
      <c r="B23" s="15" t="s">
        <v>66</v>
      </c>
      <c r="C23" s="15"/>
      <c r="D23" s="15"/>
      <c r="E23" s="15"/>
      <c r="F23" s="15"/>
      <c r="G23" s="15"/>
      <c r="H23" s="15"/>
      <c r="I23" s="15"/>
      <c r="J23" s="15"/>
      <c r="K23" s="15"/>
      <c r="L23" s="15"/>
      <c r="M23" s="30"/>
      <c r="N23" s="15"/>
      <c r="O23" s="15"/>
      <c r="P23" s="15"/>
      <c r="Q23" s="15"/>
    </row>
    <row r="24" spans="2:18" s="13" customFormat="1" x14ac:dyDescent="0.35">
      <c r="B24" s="15" t="s">
        <v>66</v>
      </c>
      <c r="C24" s="15"/>
      <c r="D24" s="15"/>
      <c r="E24" s="15"/>
      <c r="F24" s="15"/>
      <c r="G24" s="15"/>
      <c r="H24" s="15"/>
      <c r="I24" s="15"/>
      <c r="J24" s="15"/>
      <c r="K24" s="15"/>
      <c r="L24" s="15"/>
      <c r="M24" s="15"/>
      <c r="N24" s="15"/>
      <c r="O24" s="15"/>
      <c r="P24" s="15"/>
      <c r="Q24" s="15"/>
    </row>
    <row r="25" spans="2:18" s="13" customFormat="1" x14ac:dyDescent="0.35">
      <c r="B25" s="15" t="s">
        <v>66</v>
      </c>
      <c r="C25" s="15"/>
      <c r="D25" s="15"/>
      <c r="E25" s="15"/>
      <c r="F25" s="15"/>
      <c r="G25" s="15"/>
      <c r="H25" s="15"/>
      <c r="I25" s="15"/>
      <c r="J25" s="15"/>
      <c r="K25" s="15"/>
      <c r="L25" s="15"/>
      <c r="M25" s="15"/>
      <c r="N25" s="15"/>
      <c r="O25" s="15"/>
      <c r="P25" s="15"/>
      <c r="Q25" s="15"/>
    </row>
    <row r="26" spans="2:18" s="13" customFormat="1" x14ac:dyDescent="0.35">
      <c r="B26" s="15" t="s">
        <v>66</v>
      </c>
      <c r="C26" s="15"/>
      <c r="D26" s="15"/>
      <c r="E26" s="15"/>
      <c r="F26" s="15"/>
      <c r="G26" s="15"/>
      <c r="H26" s="15"/>
      <c r="I26" s="15"/>
      <c r="J26" s="15"/>
      <c r="K26" s="15"/>
      <c r="L26" s="15"/>
      <c r="M26" s="15"/>
      <c r="N26" s="15"/>
      <c r="O26" s="15"/>
      <c r="P26" s="15"/>
      <c r="Q26" s="15"/>
    </row>
    <row r="27" spans="2:18" s="13" customFormat="1" x14ac:dyDescent="0.35">
      <c r="B27" s="15" t="s">
        <v>66</v>
      </c>
      <c r="C27" s="15"/>
      <c r="D27" s="15"/>
      <c r="E27" s="15"/>
      <c r="F27" s="15"/>
      <c r="G27" s="15"/>
      <c r="H27" s="15"/>
      <c r="I27" s="15"/>
      <c r="J27" s="15"/>
      <c r="K27" s="15"/>
      <c r="L27" s="15"/>
      <c r="M27" s="15"/>
      <c r="N27" s="15"/>
      <c r="O27" s="15"/>
      <c r="P27" s="15"/>
      <c r="Q27" s="15"/>
    </row>
    <row r="28" spans="2:18" s="13" customFormat="1" x14ac:dyDescent="0.35"/>
    <row r="32" spans="2:18" x14ac:dyDescent="0.35"/>
    <row r="98" x14ac:dyDescent="0.35"/>
    <row r="99" x14ac:dyDescent="0.35"/>
  </sheetData>
  <hyperlinks>
    <hyperlink ref="G5" r:id="rId1" display="Tool link here" xr:uid="{00000000-0004-0000-0100-000000000000}"/>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59999389629810485"/>
  </sheetPr>
  <dimension ref="A1:J17"/>
  <sheetViews>
    <sheetView workbookViewId="0">
      <selection activeCell="B10" sqref="B10"/>
    </sheetView>
  </sheetViews>
  <sheetFormatPr defaultColWidth="0" defaultRowHeight="14.5" zeroHeight="1" x14ac:dyDescent="0.35"/>
  <cols>
    <col min="1" max="1" width="8.7265625" style="1" customWidth="1"/>
    <col min="2" max="2" width="86" style="1" customWidth="1"/>
    <col min="3" max="3" width="18.1796875" style="1" bestFit="1" customWidth="1"/>
    <col min="4" max="4" width="8.7265625" style="1" customWidth="1"/>
    <col min="5" max="10" width="0" style="1" hidden="1" customWidth="1"/>
    <col min="11" max="16384" width="8.7265625" style="1" hidden="1"/>
  </cols>
  <sheetData>
    <row r="1" spans="1:10" ht="21" x14ac:dyDescent="0.5">
      <c r="A1" s="249" t="s">
        <v>231</v>
      </c>
      <c r="B1" s="250"/>
      <c r="C1" s="250"/>
      <c r="D1" s="250"/>
    </row>
    <row r="2" spans="1:10" x14ac:dyDescent="0.35"/>
    <row r="3" spans="1:10" ht="29" x14ac:dyDescent="0.35">
      <c r="A3" s="251" t="s">
        <v>130</v>
      </c>
      <c r="B3" s="252" t="s">
        <v>232</v>
      </c>
    </row>
    <row r="4" spans="1:10" ht="29" x14ac:dyDescent="0.35">
      <c r="A4" s="251" t="s">
        <v>151</v>
      </c>
      <c r="B4" s="252" t="s">
        <v>233</v>
      </c>
    </row>
    <row r="5" spans="1:10" ht="29" x14ac:dyDescent="0.35">
      <c r="A5" s="251" t="s">
        <v>234</v>
      </c>
      <c r="B5" s="252" t="s">
        <v>235</v>
      </c>
    </row>
    <row r="6" spans="1:10" ht="29" x14ac:dyDescent="0.35">
      <c r="A6" s="251" t="s">
        <v>236</v>
      </c>
      <c r="B6" s="252" t="s">
        <v>237</v>
      </c>
    </row>
    <row r="7" spans="1:10" ht="29" x14ac:dyDescent="0.35">
      <c r="A7" s="251" t="s">
        <v>193</v>
      </c>
      <c r="B7" s="252" t="s">
        <v>238</v>
      </c>
    </row>
    <row r="8" spans="1:10" x14ac:dyDescent="0.35">
      <c r="A8" s="251" t="s">
        <v>196</v>
      </c>
      <c r="B8" s="9" t="s">
        <v>239</v>
      </c>
    </row>
    <row r="9" spans="1:10" ht="29" x14ac:dyDescent="0.35">
      <c r="A9" s="251" t="s">
        <v>220</v>
      </c>
      <c r="B9" s="252" t="s">
        <v>240</v>
      </c>
    </row>
    <row r="10" spans="1:10" ht="29" x14ac:dyDescent="0.35">
      <c r="A10" s="251" t="s">
        <v>215</v>
      </c>
      <c r="B10" s="252" t="s">
        <v>241</v>
      </c>
      <c r="C10" s="252"/>
      <c r="D10" s="252"/>
      <c r="E10" s="252"/>
      <c r="F10" s="252"/>
      <c r="G10" s="252"/>
      <c r="H10" s="252"/>
      <c r="I10" s="252"/>
      <c r="J10" s="252"/>
    </row>
    <row r="11" spans="1:10" x14ac:dyDescent="0.35">
      <c r="A11" s="251" t="s">
        <v>242</v>
      </c>
      <c r="B11" s="271" t="s">
        <v>259</v>
      </c>
      <c r="C11" s="272"/>
      <c r="D11" s="252"/>
      <c r="E11" s="252"/>
      <c r="F11" s="252"/>
      <c r="G11" s="252"/>
      <c r="H11" s="252"/>
      <c r="I11" s="252"/>
      <c r="J11" s="252"/>
    </row>
    <row r="12" spans="1:10" x14ac:dyDescent="0.35">
      <c r="A12" s="251" t="s">
        <v>243</v>
      </c>
      <c r="B12" s="1" t="s">
        <v>244</v>
      </c>
      <c r="D12" s="252"/>
      <c r="E12" s="252"/>
      <c r="F12" s="252"/>
      <c r="G12" s="252"/>
      <c r="H12" s="252"/>
      <c r="I12" s="252"/>
      <c r="J12" s="252"/>
    </row>
    <row r="13" spans="1:10" ht="43.5" x14ac:dyDescent="0.35">
      <c r="A13" s="251" t="s">
        <v>245</v>
      </c>
      <c r="B13" s="253" t="s">
        <v>246</v>
      </c>
      <c r="D13" s="252"/>
      <c r="E13" s="252"/>
      <c r="F13" s="252"/>
      <c r="G13" s="252"/>
      <c r="H13" s="252"/>
      <c r="I13" s="252"/>
      <c r="J13" s="252"/>
    </row>
    <row r="14" spans="1:10" ht="29" x14ac:dyDescent="0.35">
      <c r="A14" s="251" t="s">
        <v>247</v>
      </c>
      <c r="B14" s="253" t="s">
        <v>248</v>
      </c>
      <c r="D14" s="252"/>
      <c r="E14" s="252"/>
      <c r="F14" s="252"/>
      <c r="G14" s="252"/>
      <c r="H14" s="252"/>
      <c r="I14" s="252"/>
      <c r="J14" s="252"/>
    </row>
    <row r="15" spans="1:10" ht="29" x14ac:dyDescent="0.35">
      <c r="A15" s="251" t="s">
        <v>249</v>
      </c>
      <c r="B15" s="253" t="s">
        <v>250</v>
      </c>
      <c r="D15" s="252"/>
      <c r="E15" s="252"/>
      <c r="F15" s="252"/>
      <c r="G15" s="252"/>
      <c r="H15" s="252"/>
      <c r="I15" s="252"/>
      <c r="J15" s="252"/>
    </row>
    <row r="16" spans="1:10" ht="29" x14ac:dyDescent="0.35">
      <c r="A16" s="251" t="s">
        <v>51</v>
      </c>
      <c r="B16" s="253" t="s">
        <v>251</v>
      </c>
      <c r="D16" s="252"/>
      <c r="E16" s="252"/>
      <c r="F16" s="252"/>
      <c r="G16" s="252"/>
      <c r="H16" s="252"/>
      <c r="I16" s="252"/>
      <c r="J16" s="252"/>
    </row>
    <row r="17" spans="1:2" ht="29" x14ac:dyDescent="0.35">
      <c r="A17" s="251" t="s">
        <v>47</v>
      </c>
      <c r="B17" s="253" t="s">
        <v>252</v>
      </c>
    </row>
  </sheetData>
  <hyperlinks>
    <hyperlink ref="B8" r:id="rId1" xr:uid="{00000000-0004-0000-08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 Intro</vt:lpstr>
      <vt:lpstr> 1 Technology_check</vt:lpstr>
      <vt:lpstr>1.1 Composting</vt:lpstr>
      <vt:lpstr>1.2 AD</vt:lpstr>
      <vt:lpstr>1.3 BSF</vt:lpstr>
      <vt:lpstr>Specific_Formulas</vt:lpstr>
      <vt:lpstr>Language</vt:lpstr>
      <vt:lpstr>2 Feedstock database</vt:lpstr>
      <vt:lpstr>3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Tosi Robinson, Dorian</cp:lastModifiedBy>
  <cp:revision>5</cp:revision>
  <dcterms:created xsi:type="dcterms:W3CDTF">2015-06-05T18:19:34Z</dcterms:created>
  <dcterms:modified xsi:type="dcterms:W3CDTF">2025-10-24T01:30:32Z</dcterms:modified>
</cp:coreProperties>
</file>