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Abteilungsprojekte\Sandec\3_SWM\SolidWasteManagement\Black Soldier Flies\BSF Business model\"/>
    </mc:Choice>
  </mc:AlternateContent>
  <bookViews>
    <workbookView xWindow="0" yWindow="0" windowWidth="25200" windowHeight="11850" tabRatio="877"/>
  </bookViews>
  <sheets>
    <sheet name="Info" sheetId="33" r:id="rId1"/>
    <sheet name="1.0-General input" sheetId="22" r:id="rId2"/>
    <sheet name="2.1-Material input" sheetId="2" r:id="rId3"/>
    <sheet name="2.2-Equipment input" sheetId="4" r:id="rId4"/>
    <sheet name="2.3-Staff input" sheetId="3" r:id="rId5"/>
    <sheet name="3.1-Process Overview" sheetId="30" r:id="rId6"/>
    <sheet name="3.2-Results Dashboard" sheetId="43" r:id="rId7"/>
    <sheet name="4.1-Settings Database" sheetId="32" r:id="rId8"/>
    <sheet name="4.2-Settings Internal" sheetId="12" r:id="rId9"/>
    <sheet name="5.0 Appendix" sheetId="42" r:id="rId10"/>
    <sheet name="5.1-Financial Analysis" sheetId="9" r:id="rId11"/>
    <sheet name="5.2-Cost Breakdown Analysis" sheetId="10" r:id="rId12"/>
    <sheet name="5.3-Unit W" sheetId="17" r:id="rId13"/>
    <sheet name="5.3-Unit T" sheetId="18" r:id="rId14"/>
    <sheet name="5.3-Unit H" sheetId="19" r:id="rId15"/>
    <sheet name="5.3-Unit N (17DOL-Egg)" sheetId="23" r:id="rId16"/>
    <sheet name="5.3-Unit N (Egg-5DOL)" sheetId="6" r:id="rId17"/>
    <sheet name="5.3-Unit N (5DOL-17DOL)" sheetId="28" r:id="rId18"/>
    <sheet name="5.3-Unit P" sheetId="20" r:id="rId19"/>
    <sheet name="5.3-Unit R" sheetId="21" r:id="rId20"/>
    <sheet name="5.3-Unit SG&amp;A" sheetId="24" r:id="rId21"/>
  </sheets>
  <definedNames>
    <definedName name="_xlnm._FilterDatabase" localSheetId="3" hidden="1">'2.2-Equipment input'!$AA$6:$AI$45</definedName>
    <definedName name="Equipment_Allocation_New">'2.2-Equipment input'!$AA$7:$AI$106</definedName>
    <definedName name="Equipment_Allocation_Unit_H">'2.2-Equipment input'!$AC$7:$AC$106</definedName>
    <definedName name="Equipment_Allocation_Unit_N_17DOL">'2.2-Equipment input'!$AF$7:$AF$106</definedName>
    <definedName name="Equipment_Allocation_Unit_N_5DOL">'2.2-Equipment input'!$AE$7:$AE$106</definedName>
    <definedName name="Equipment_Allocation_Unit_N_Egg">'2.2-Equipment input'!$AD$7:$AD$106</definedName>
    <definedName name="Equipment_Allocation_Unit_P">'2.2-Equipment input'!$AG$7:$AG$106</definedName>
    <definedName name="Equipment_Allocation_Unit_R">'2.2-Equipment input'!$AH$7:$AH$106</definedName>
    <definedName name="Equipment_Allocation_Unit_T">'2.2-Equipment input'!$AB$7:$AB$106</definedName>
    <definedName name="Equipment_Allocation_Unit_W">'2.2-Equipment input'!$AA$7:$AA$106</definedName>
    <definedName name="Equipment_Capital_Cost">'2.2-Equipment input'!$U$7:$U$106</definedName>
    <definedName name="Equipment_Depreciation">'2.2-Equipment input'!$X$7:$X$106</definedName>
    <definedName name="equipment_ID">'2.2-Equipment input'!$B$7:$B$106</definedName>
    <definedName name="Equipment_Lifetime">'2.2-Equipment input'!$V$7:$V$106</definedName>
    <definedName name="Equipment_Quantity_New">'2.2-Equipment input'!$Z$7:$Z$106</definedName>
    <definedName name="Equipment_Space_Footprint">'2.2-Equipment input'!$S$7:$S$106</definedName>
    <definedName name="Equipment_Space_Selection">'2.2-Equipment input'!$R$7:$R$106</definedName>
    <definedName name="Equipment_Utility_Decision">'2.2-Equipment input'!$D$7:$D$106</definedName>
    <definedName name="Equipment_Utility_Electricity">'2.2-Equipment input'!$M$7:$M$106</definedName>
    <definedName name="Equipment_Utility_Fuel">'2.2-Equipment input'!$O$7:$O$106</definedName>
    <definedName name="Equipment_Utility_Fuel_Selection">'2.2-Equipment input'!$Q$7:$Q$106</definedName>
    <definedName name="Equipment_Utility_Run">'2.2-Equipment input'!$I$7:$I$106</definedName>
    <definedName name="Equipment_Utility_Spec_List">Equipment_Utitliy_Specs_Units[Specification]</definedName>
    <definedName name="Equipment_Utility_Water">'2.2-Equipment input'!$K$7:$K$106</definedName>
    <definedName name="General_5DOLProduction_Total">'1.0-General input'!$D$54</definedName>
    <definedName name="General_Currency_Selection">'1.0-General input'!$E$10</definedName>
    <definedName name="General_DriedLarv_TotalProd">'1.0-General input'!$D$58</definedName>
    <definedName name="General_EggProduction_Total">'1.0-General input'!$D$57</definedName>
    <definedName name="General_Electricity_Price">'1.0-General input'!$G$93</definedName>
    <definedName name="General_EquipmentQuant_Auto">'1.0-General input'!$E$17</definedName>
    <definedName name="General_Factory_Construction">'1.0-General input'!$G$101</definedName>
    <definedName name="General_Factory_Decision">'1.0-General input'!$E$37</definedName>
    <definedName name="General_Factory_Land">'1.0-General input'!$G$100</definedName>
    <definedName name="General_Factory_Rent">'1.0-General input'!$G$99</definedName>
    <definedName name="General_Financial_SalaryIncrease">'1.0-General input'!$E$148</definedName>
    <definedName name="General_Financial_WACC">'1.0-General input'!$E$147</definedName>
    <definedName name="General_FreshLarvae_Postproc">'1.0-General input'!$D$51</definedName>
    <definedName name="General_FreshLarvae_TotalProd">'1.0-General input'!$D$50</definedName>
    <definedName name="General_Meal_TotalProd">'1.0-General input'!$D$59</definedName>
    <definedName name="General_MRT">'1.0-General input'!$D$49</definedName>
    <definedName name="General_Oil_TotalProd">'1.0-General input'!$D$60</definedName>
    <definedName name="General_Process_Amounts">'1.0-General input'!$D$47:$D$61</definedName>
    <definedName name="General_Process_InstallCost">'1.0-General input'!$E$108</definedName>
    <definedName name="General_Process_Specs">'1.0-General input'!$C$47:$C$61</definedName>
    <definedName name="General_Products">'1.0-General input'!$D$84:$D$91</definedName>
    <definedName name="General_Products_Amount">'1.0-General input'!$C$67:$C$74</definedName>
    <definedName name="General_Products_Prices">'1.0-General input'!$G$84:$G$91</definedName>
    <definedName name="General_Residue_TotalProd">'1.0-General input'!$D$61</definedName>
    <definedName name="General_StaffNr_Auto">'1.0-General input'!$E$19</definedName>
    <definedName name="General_Utilities">'1.0-General input'!$D$93:$G$97</definedName>
    <definedName name="General_Utilities_Type">'1.0-General input'!$D$93:$D$97</definedName>
    <definedName name="General_Waste_toTreatment">'1.0-General input'!$D$48</definedName>
    <definedName name="General_WasteInput">'1.0-General input'!$D$47</definedName>
    <definedName name="General_Water_Price">'1.0-General input'!$G$94</definedName>
    <definedName name="Maintenance_cost_setting">'1.0-General input'!$E$110</definedName>
    <definedName name="Material_Code">'2.1-Material input'!$B$4:$B$103</definedName>
    <definedName name="Material_Input">'2.1-Material input'!$J$4:$R$103</definedName>
    <definedName name="Material_Name">'2.1-Material input'!$C$4:$C$103</definedName>
    <definedName name="Material_Product_Specific">'2.1-Material input'!$E$4:$E$103</definedName>
    <definedName name="Material_Unit_Price">'2.1-Material input'!$G$4:$G$103</definedName>
    <definedName name="Position_Category">'2.3-Staff input'!$D$5:$D$25</definedName>
    <definedName name="Settings_Currency">Settings_Currency_Table[Currency]</definedName>
    <definedName name="Settings_Currency_Course">Settings_Currency_Table[Exchange rates]</definedName>
    <definedName name="Staff_Days_Operation">'1.0-General input'!$E$124</definedName>
    <definedName name="Staff_number_of_employees">'2.3-Staff input'!$L$5:$L$25</definedName>
    <definedName name="Staff_Position_Allocation">'2.3-Staff input'!$M$5:$U$25</definedName>
    <definedName name="Staff_Position_ID">'2.3-Staff input'!$B$5:$B$25</definedName>
    <definedName name="Staff_positions">'2.3-Staff input'!$C$6:$C$25</definedName>
    <definedName name="Unit_codes" localSheetId="5">'4.2-Settings Internal'!$B$16:$B$24</definedName>
    <definedName name="Unit_codes" localSheetId="17">'4.2-Settings Internal'!$B$16:$B$24</definedName>
    <definedName name="Unit_codes">'4.2-Settings Internal'!$B$16:$B$24</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4" i="22" l="1"/>
  <c r="G85" i="22"/>
  <c r="G18" i="2" l="1"/>
  <c r="G11" i="3" l="1"/>
  <c r="D38" i="32" l="1"/>
  <c r="J9" i="4" l="1"/>
  <c r="J10" i="4"/>
  <c r="J11" i="4"/>
  <c r="J12" i="4"/>
  <c r="J16" i="4"/>
  <c r="J17" i="4"/>
  <c r="J18" i="4"/>
  <c r="J19" i="4"/>
  <c r="J20" i="4"/>
  <c r="J21" i="4"/>
  <c r="J22" i="4"/>
  <c r="J23" i="4"/>
  <c r="J24" i="4"/>
  <c r="J26" i="4"/>
  <c r="J27" i="4"/>
  <c r="J28" i="4"/>
  <c r="J29" i="4"/>
  <c r="J30" i="4"/>
  <c r="J31" i="4"/>
  <c r="J32" i="4"/>
  <c r="J33" i="4"/>
  <c r="J34" i="4"/>
  <c r="J35" i="4"/>
  <c r="J37" i="4"/>
  <c r="J43" i="4"/>
  <c r="J5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L16" i="4"/>
  <c r="L17" i="4"/>
  <c r="L18" i="4"/>
  <c r="L19" i="4"/>
  <c r="L20" i="4"/>
  <c r="L21" i="4"/>
  <c r="L22" i="4"/>
  <c r="L23" i="4"/>
  <c r="L24" i="4"/>
  <c r="L26" i="4"/>
  <c r="L27" i="4"/>
  <c r="L28" i="4"/>
  <c r="L29" i="4"/>
  <c r="L30" i="4"/>
  <c r="L31" i="4"/>
  <c r="L32" i="4"/>
  <c r="L33" i="4"/>
  <c r="L34" i="4"/>
  <c r="L35" i="4"/>
  <c r="L37" i="4"/>
  <c r="L43" i="4"/>
  <c r="L5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9" i="4"/>
  <c r="L10" i="4"/>
  <c r="L11" i="4"/>
  <c r="L12" i="4"/>
  <c r="N9" i="4"/>
  <c r="B21" i="18" a="1"/>
  <c r="B21" i="18" s="1"/>
  <c r="B22" i="18" a="1"/>
  <c r="B22" i="18" s="1"/>
  <c r="B23" i="18" a="1"/>
  <c r="B23" i="18" s="1"/>
  <c r="B24" i="18" a="1"/>
  <c r="B24" i="18" s="1"/>
  <c r="B25" i="18" a="1"/>
  <c r="B25" i="18" s="1"/>
  <c r="B26" i="18" a="1"/>
  <c r="B26" i="18" s="1"/>
  <c r="B27" i="18" a="1"/>
  <c r="B27" i="18" s="1"/>
  <c r="B28" i="18" a="1"/>
  <c r="B28" i="18" s="1"/>
  <c r="B29" i="18" a="1"/>
  <c r="B29" i="18" s="1"/>
  <c r="B30" i="18" a="1"/>
  <c r="B30" i="18" s="1"/>
  <c r="B31" i="18" a="1"/>
  <c r="B31" i="18" s="1"/>
  <c r="B21" i="19" a="1"/>
  <c r="B21" i="19" s="1"/>
  <c r="B22" i="19" a="1"/>
  <c r="B22" i="19" s="1"/>
  <c r="B23" i="19" a="1"/>
  <c r="B23" i="19" s="1"/>
  <c r="B24" i="19" a="1"/>
  <c r="B24" i="19" s="1"/>
  <c r="B25" i="19" a="1"/>
  <c r="B25" i="19" s="1"/>
  <c r="B26" i="19" a="1"/>
  <c r="B26" i="19" s="1"/>
  <c r="B27" i="19" a="1"/>
  <c r="B27" i="19" s="1"/>
  <c r="B28" i="19" a="1"/>
  <c r="B28" i="19" s="1"/>
  <c r="B29" i="19" a="1"/>
  <c r="B29" i="19" s="1"/>
  <c r="B30" i="19" a="1"/>
  <c r="B30" i="19" s="1"/>
  <c r="B31" i="19" a="1"/>
  <c r="B31" i="19" s="1"/>
  <c r="B21" i="23" a="1"/>
  <c r="B21" i="23" s="1"/>
  <c r="B22" i="23" a="1"/>
  <c r="B22" i="23" s="1"/>
  <c r="B23" i="23" a="1"/>
  <c r="B23" i="23" s="1"/>
  <c r="B24" i="23" a="1"/>
  <c r="B24" i="23" s="1"/>
  <c r="B25" i="23" a="1"/>
  <c r="B25" i="23" s="1"/>
  <c r="B26" i="23" a="1"/>
  <c r="B26" i="23" s="1"/>
  <c r="B27" i="23" a="1"/>
  <c r="B27" i="23" s="1"/>
  <c r="B28" i="23" a="1"/>
  <c r="B28" i="23" s="1"/>
  <c r="B29" i="23" a="1"/>
  <c r="B29" i="23" s="1"/>
  <c r="B30" i="23" a="1"/>
  <c r="B30" i="23" s="1"/>
  <c r="B31" i="23" a="1"/>
  <c r="B31" i="23" s="1"/>
  <c r="B21" i="6" a="1"/>
  <c r="B21" i="6" s="1"/>
  <c r="B22" i="6" a="1"/>
  <c r="B22" i="6" s="1"/>
  <c r="B23" i="6" a="1"/>
  <c r="B23" i="6" s="1"/>
  <c r="D23" i="6" s="1"/>
  <c r="B24" i="6" a="1"/>
  <c r="B24" i="6" s="1"/>
  <c r="B25" i="6" a="1"/>
  <c r="B25" i="6" s="1"/>
  <c r="B26" i="6" a="1"/>
  <c r="B26" i="6" s="1"/>
  <c r="B27" i="6" a="1"/>
  <c r="B27" i="6" s="1"/>
  <c r="D27" i="6" s="1"/>
  <c r="B28" i="6" a="1"/>
  <c r="B28" i="6" s="1"/>
  <c r="B29" i="6" a="1"/>
  <c r="B29" i="6" s="1"/>
  <c r="B30" i="6" a="1"/>
  <c r="B30" i="6" s="1"/>
  <c r="B31" i="6" a="1"/>
  <c r="B31" i="6" s="1"/>
  <c r="B21" i="28" a="1"/>
  <c r="B21" i="28" s="1"/>
  <c r="B22" i="28" a="1"/>
  <c r="B22" i="28" s="1"/>
  <c r="B23" i="28" a="1"/>
  <c r="B23" i="28" s="1"/>
  <c r="B24" i="28" a="1"/>
  <c r="B24" i="28" s="1"/>
  <c r="B25" i="28" a="1"/>
  <c r="B25" i="28" s="1"/>
  <c r="B26" i="28" a="1"/>
  <c r="B26" i="28" s="1"/>
  <c r="B27" i="28" a="1"/>
  <c r="B27" i="28" s="1"/>
  <c r="B28" i="28" a="1"/>
  <c r="B28" i="28" s="1"/>
  <c r="B29" i="28" a="1"/>
  <c r="B29" i="28" s="1"/>
  <c r="B30" i="28" a="1"/>
  <c r="B30" i="28" s="1"/>
  <c r="B31" i="28" a="1"/>
  <c r="B31" i="28" s="1"/>
  <c r="B21" i="20" a="1"/>
  <c r="B21" i="20" s="1"/>
  <c r="B22" i="20" a="1"/>
  <c r="B22" i="20" s="1"/>
  <c r="B23" i="20" a="1"/>
  <c r="B23" i="20" s="1"/>
  <c r="B24" i="20" a="1"/>
  <c r="B24" i="20" s="1"/>
  <c r="B25" i="20" a="1"/>
  <c r="B25" i="20" s="1"/>
  <c r="B26" i="20" a="1"/>
  <c r="B26" i="20" s="1"/>
  <c r="B27" i="20" a="1"/>
  <c r="B27" i="20" s="1"/>
  <c r="B28" i="20" a="1"/>
  <c r="B28" i="20" s="1"/>
  <c r="B29" i="20" a="1"/>
  <c r="B29" i="20" s="1"/>
  <c r="B30" i="20" a="1"/>
  <c r="B30" i="20" s="1"/>
  <c r="B31" i="20" a="1"/>
  <c r="B31" i="20" s="1"/>
  <c r="B21" i="21" a="1"/>
  <c r="B21" i="21" s="1"/>
  <c r="B22" i="21" a="1"/>
  <c r="B22" i="21" s="1"/>
  <c r="B23" i="21" a="1"/>
  <c r="B23" i="21" s="1"/>
  <c r="B24" i="21" a="1"/>
  <c r="B24" i="21" s="1"/>
  <c r="B25" i="21" a="1"/>
  <c r="B25" i="21" s="1"/>
  <c r="B26" i="21" a="1"/>
  <c r="B26" i="21" s="1"/>
  <c r="B27" i="21" a="1"/>
  <c r="B27" i="21" s="1"/>
  <c r="B28" i="21" a="1"/>
  <c r="B28" i="21" s="1"/>
  <c r="B29" i="21" a="1"/>
  <c r="B29" i="21" s="1"/>
  <c r="B30" i="21" a="1"/>
  <c r="B30" i="21" s="1"/>
  <c r="B31" i="21" a="1"/>
  <c r="B31" i="21" s="1"/>
  <c r="B21" i="17" a="1"/>
  <c r="B21" i="17" s="1"/>
  <c r="B22" i="17" a="1"/>
  <c r="B22" i="17" s="1"/>
  <c r="B23" i="17" a="1"/>
  <c r="B23" i="17" s="1"/>
  <c r="B24" i="17" a="1"/>
  <c r="B24" i="17" s="1"/>
  <c r="B25" i="17" a="1"/>
  <c r="B25" i="17" s="1"/>
  <c r="B26" i="17" a="1"/>
  <c r="B26" i="17" s="1"/>
  <c r="B27" i="17" a="1"/>
  <c r="B27" i="17" s="1"/>
  <c r="B28" i="17" a="1"/>
  <c r="B28" i="17" s="1"/>
  <c r="B29" i="17" a="1"/>
  <c r="B29" i="17" s="1"/>
  <c r="B30" i="17" a="1"/>
  <c r="B30" i="17" s="1"/>
  <c r="B31" i="17" a="1"/>
  <c r="B31" i="17" s="1"/>
  <c r="B20" i="18" a="1"/>
  <c r="B20" i="18" s="1"/>
  <c r="B20" i="19" a="1"/>
  <c r="B20" i="19" s="1"/>
  <c r="B20" i="23" a="1"/>
  <c r="B20" i="23" s="1"/>
  <c r="B20" i="6" a="1"/>
  <c r="B20" i="6" s="1"/>
  <c r="B20" i="28" a="1"/>
  <c r="B20" i="28" s="1"/>
  <c r="B20" i="20" a="1"/>
  <c r="B20" i="20" s="1"/>
  <c r="B20" i="21" a="1"/>
  <c r="B20" i="21" s="1"/>
  <c r="B20" i="17" a="1"/>
  <c r="B20" i="17" s="1"/>
  <c r="C20" i="23" l="1"/>
  <c r="D20" i="23"/>
  <c r="C25" i="23"/>
  <c r="D25" i="23"/>
  <c r="E25" i="23"/>
  <c r="C26" i="23"/>
  <c r="D26" i="23"/>
  <c r="E26" i="23"/>
  <c r="D23" i="23"/>
  <c r="C23" i="23"/>
  <c r="C22" i="23"/>
  <c r="D22" i="23"/>
  <c r="D31" i="23"/>
  <c r="E31" i="23"/>
  <c r="C31" i="23"/>
  <c r="C30" i="23"/>
  <c r="D30" i="23"/>
  <c r="E30" i="23"/>
  <c r="C29" i="23"/>
  <c r="D29" i="23"/>
  <c r="E29" i="23"/>
  <c r="E28" i="23"/>
  <c r="D28" i="23"/>
  <c r="C28" i="23"/>
  <c r="D27" i="23"/>
  <c r="E27" i="23"/>
  <c r="C27" i="23"/>
  <c r="C24" i="23"/>
  <c r="D24" i="23"/>
  <c r="E24" i="23"/>
  <c r="C20" i="6"/>
  <c r="D20" i="6"/>
  <c r="C27" i="6"/>
  <c r="C23" i="6"/>
  <c r="C26" i="6"/>
  <c r="E26" i="6"/>
  <c r="D26" i="6"/>
  <c r="E24" i="6"/>
  <c r="D24" i="6"/>
  <c r="C24" i="6"/>
  <c r="E28" i="6"/>
  <c r="D28" i="6"/>
  <c r="C28" i="6"/>
  <c r="C22" i="6"/>
  <c r="D22" i="6"/>
  <c r="D31" i="6"/>
  <c r="E31" i="6"/>
  <c r="C31" i="6"/>
  <c r="C25" i="6"/>
  <c r="D25" i="6"/>
  <c r="E25" i="6"/>
  <c r="E30" i="6"/>
  <c r="C30" i="6"/>
  <c r="D30" i="6"/>
  <c r="C29" i="6"/>
  <c r="D29" i="6"/>
  <c r="E29" i="6"/>
  <c r="E23" i="6"/>
  <c r="F23" i="6" s="1"/>
  <c r="E27" i="6"/>
  <c r="F27" i="6" s="1"/>
  <c r="C20" i="17"/>
  <c r="D20" i="17"/>
  <c r="E20" i="17"/>
  <c r="F25" i="23" l="1"/>
  <c r="F24" i="23"/>
  <c r="F31" i="23"/>
  <c r="F29" i="6"/>
  <c r="F26" i="23"/>
  <c r="F27" i="23"/>
  <c r="F30" i="23"/>
  <c r="F28" i="23"/>
  <c r="F29" i="23"/>
  <c r="F25" i="6"/>
  <c r="F28" i="6"/>
  <c r="F31" i="6"/>
  <c r="F24" i="6"/>
  <c r="F30" i="6"/>
  <c r="F26" i="6"/>
  <c r="F20" i="17"/>
  <c r="G5" i="3" l="1"/>
  <c r="K20" i="30"/>
  <c r="K21" i="30"/>
  <c r="K19" i="30"/>
  <c r="V22" i="30"/>
  <c r="V23" i="30"/>
  <c r="V21" i="30"/>
  <c r="AC21" i="30"/>
  <c r="AC22" i="30"/>
  <c r="AC20" i="30"/>
  <c r="U69" i="30"/>
  <c r="U70" i="30"/>
  <c r="U68" i="30"/>
  <c r="AE69" i="30"/>
  <c r="AE70" i="30"/>
  <c r="AE68" i="30"/>
  <c r="AQ52" i="30"/>
  <c r="AQ53" i="30"/>
  <c r="AQ51" i="30"/>
  <c r="J108" i="43" l="1"/>
  <c r="L14" i="3" l="1"/>
  <c r="L15" i="3"/>
  <c r="L16" i="3"/>
  <c r="L17" i="3"/>
  <c r="L18" i="3"/>
  <c r="L19" i="3"/>
  <c r="L20" i="3"/>
  <c r="L21" i="3"/>
  <c r="L22" i="3"/>
  <c r="L23" i="3"/>
  <c r="L24" i="3"/>
  <c r="L25" i="3"/>
  <c r="U50" i="4"/>
  <c r="S9" i="4"/>
  <c r="Z33" i="4"/>
  <c r="Z37"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C116" i="9" l="1"/>
  <c r="G12" i="2" l="1"/>
  <c r="G11" i="2"/>
  <c r="G10" i="2"/>
  <c r="F17" i="43" l="1"/>
  <c r="H59" i="32" l="1"/>
  <c r="I59" i="32" s="1"/>
  <c r="J59" i="32" s="1"/>
  <c r="G62" i="32"/>
  <c r="G61" i="32"/>
  <c r="G60" i="32"/>
  <c r="D37" i="32" l="1"/>
  <c r="D39" i="32" s="1"/>
  <c r="C66" i="10" l="1"/>
  <c r="D21" i="32" l="1"/>
  <c r="G86" i="22" l="1"/>
  <c r="G87" i="22"/>
  <c r="G88" i="22"/>
  <c r="G91" i="22"/>
  <c r="G90" i="22"/>
  <c r="G89" i="22"/>
  <c r="E114" i="22" l="1"/>
  <c r="J16" i="32" l="1"/>
  <c r="D49" i="22" s="1"/>
  <c r="J41" i="32" l="1"/>
  <c r="AQ41" i="30" s="1"/>
  <c r="C7" i="43" l="1"/>
  <c r="F139" i="22"/>
  <c r="F138" i="22"/>
  <c r="C6" i="9"/>
  <c r="H60" i="32" l="1"/>
  <c r="H61" i="32"/>
  <c r="H62" i="32"/>
  <c r="H63" i="32"/>
  <c r="I63" i="32" s="1"/>
  <c r="J63" i="32" s="1"/>
  <c r="I60" i="32" l="1"/>
  <c r="J60" i="32" s="1"/>
  <c r="I61" i="32"/>
  <c r="J61" i="32" s="1"/>
  <c r="I62" i="32"/>
  <c r="J62" i="32" s="1"/>
  <c r="J18" i="32"/>
  <c r="J29" i="32"/>
  <c r="E124" i="22" l="1"/>
  <c r="E15" i="22" s="1"/>
  <c r="E130" i="22"/>
  <c r="B14" i="9" l="1"/>
  <c r="B13" i="9" l="1"/>
  <c r="C8" i="43"/>
  <c r="D47" i="22" l="1"/>
  <c r="C67" i="22"/>
  <c r="E67" i="22" s="1"/>
  <c r="G9" i="4" l="1"/>
  <c r="S22" i="4"/>
  <c r="S21" i="4"/>
  <c r="S19" i="4"/>
  <c r="P53" i="4"/>
  <c r="S48" i="4"/>
  <c r="G16" i="4" l="1"/>
  <c r="Z16" i="4" s="1"/>
  <c r="Z9" i="4"/>
  <c r="G14" i="3"/>
  <c r="H14" i="3" s="1"/>
  <c r="J26" i="32" l="1"/>
  <c r="J27" i="32"/>
  <c r="J28" i="32"/>
  <c r="J30" i="32"/>
  <c r="J31" i="32"/>
  <c r="J32" i="32"/>
  <c r="J24" i="32"/>
  <c r="J40" i="32"/>
  <c r="S14" i="4"/>
  <c r="T7" i="4" l="1"/>
  <c r="S13" i="4"/>
  <c r="S12" i="4"/>
  <c r="S11" i="4"/>
  <c r="S10" i="4" l="1"/>
  <c r="S44" i="4"/>
  <c r="S47" i="4"/>
  <c r="S46" i="4"/>
  <c r="S45" i="4" l="1"/>
  <c r="E136" i="22" l="1"/>
  <c r="J14" i="32" l="1"/>
  <c r="J15" i="32"/>
  <c r="J17" i="32"/>
  <c r="J19" i="32"/>
  <c r="J20" i="32"/>
  <c r="J22" i="32"/>
  <c r="C10" i="43" s="1"/>
  <c r="J23" i="32"/>
  <c r="J25" i="32"/>
  <c r="J33" i="32"/>
  <c r="J34" i="32"/>
  <c r="J35" i="32"/>
  <c r="J36" i="32"/>
  <c r="AQ17" i="30" s="1"/>
  <c r="J39" i="32"/>
  <c r="AQ25" i="30" s="1"/>
  <c r="J13" i="32"/>
  <c r="F50" i="32" l="1"/>
  <c r="C50" i="32"/>
  <c r="B111" i="17" a="1"/>
  <c r="B111" i="17" s="1"/>
  <c r="C111" i="17" s="1"/>
  <c r="B112" i="17" a="1"/>
  <c r="B112" i="17" s="1"/>
  <c r="C112" i="17" s="1"/>
  <c r="B113" i="17" a="1"/>
  <c r="B113" i="17" s="1"/>
  <c r="C113" i="17" s="1"/>
  <c r="B114" i="17" a="1"/>
  <c r="B114" i="17" s="1"/>
  <c r="C114" i="17" s="1"/>
  <c r="B115" i="17" a="1"/>
  <c r="B115" i="17" s="1"/>
  <c r="C115" i="17" s="1"/>
  <c r="B116" i="17" a="1"/>
  <c r="B116" i="17" s="1"/>
  <c r="C116" i="17" s="1"/>
  <c r="B117" i="17" a="1"/>
  <c r="B117" i="17" s="1"/>
  <c r="C117" i="17" s="1"/>
  <c r="B118" i="17" a="1"/>
  <c r="B118" i="17" s="1"/>
  <c r="C118" i="17" s="1"/>
  <c r="B119" i="17" a="1"/>
  <c r="B119" i="17" s="1"/>
  <c r="C119" i="17" s="1"/>
  <c r="B120" i="17" a="1"/>
  <c r="B120" i="17" s="1"/>
  <c r="C120" i="17" s="1"/>
  <c r="B121" i="17" a="1"/>
  <c r="B121" i="17" s="1"/>
  <c r="C121" i="17" s="1"/>
  <c r="B122" i="17" a="1"/>
  <c r="B122" i="17" s="1"/>
  <c r="C122" i="17" s="1"/>
  <c r="B123" i="17" a="1"/>
  <c r="B123" i="17" s="1"/>
  <c r="C123" i="17" s="1"/>
  <c r="B124" i="17" a="1"/>
  <c r="B124" i="17" s="1"/>
  <c r="C124" i="17" s="1"/>
  <c r="B125" i="17" a="1"/>
  <c r="B125" i="17" s="1"/>
  <c r="C125" i="17" s="1"/>
  <c r="B126" i="17" a="1"/>
  <c r="B126" i="17" s="1"/>
  <c r="C126" i="17" s="1"/>
  <c r="B127" i="17" a="1"/>
  <c r="B127" i="17" s="1"/>
  <c r="C127" i="17" s="1"/>
  <c r="B128" i="17" a="1"/>
  <c r="B128" i="17" s="1"/>
  <c r="C128" i="17" s="1"/>
  <c r="B129" i="17" a="1"/>
  <c r="B129" i="17" s="1"/>
  <c r="C129" i="17" s="1"/>
  <c r="B130" i="17" a="1"/>
  <c r="B130" i="17" s="1"/>
  <c r="C130" i="17" s="1"/>
  <c r="B131" i="17" a="1"/>
  <c r="B131" i="17" s="1"/>
  <c r="C131" i="17" s="1"/>
  <c r="B132" i="17" a="1"/>
  <c r="B132" i="17" s="1"/>
  <c r="C132" i="17" s="1"/>
  <c r="B133" i="17" a="1"/>
  <c r="B133" i="17" s="1"/>
  <c r="C133" i="17" s="1"/>
  <c r="B134" i="17" a="1"/>
  <c r="B134" i="17" s="1"/>
  <c r="C134" i="17" s="1"/>
  <c r="B135" i="17" a="1"/>
  <c r="B135" i="17" s="1"/>
  <c r="C135" i="17" s="1"/>
  <c r="B136" i="17" a="1"/>
  <c r="B136" i="17" s="1"/>
  <c r="C136" i="17" s="1"/>
  <c r="B137" i="17" a="1"/>
  <c r="B137" i="17" s="1"/>
  <c r="C137" i="17" s="1"/>
  <c r="B138" i="17" a="1"/>
  <c r="B138" i="17" s="1"/>
  <c r="C138" i="17" s="1"/>
  <c r="B139" i="17" a="1"/>
  <c r="B139" i="17" s="1"/>
  <c r="C139" i="17" s="1"/>
  <c r="B140" i="17" a="1"/>
  <c r="B140" i="17" s="1"/>
  <c r="C140" i="17" s="1"/>
  <c r="B141" i="17" a="1"/>
  <c r="B141" i="17" s="1"/>
  <c r="C141" i="17" s="1"/>
  <c r="B142" i="17" a="1"/>
  <c r="B142" i="17" s="1"/>
  <c r="C142" i="17" s="1"/>
  <c r="B143" i="17" a="1"/>
  <c r="B143" i="17" s="1"/>
  <c r="C143" i="17" s="1"/>
  <c r="B144" i="17" a="1"/>
  <c r="B144" i="17" s="1"/>
  <c r="C144" i="17" s="1"/>
  <c r="B145" i="17" a="1"/>
  <c r="B145" i="17" s="1"/>
  <c r="C145" i="17" s="1"/>
  <c r="B146" i="17" a="1"/>
  <c r="B146" i="17" s="1"/>
  <c r="C146" i="17" s="1"/>
  <c r="B147" i="17" a="1"/>
  <c r="B147" i="17" s="1"/>
  <c r="C147" i="17" s="1"/>
  <c r="U9" i="4"/>
  <c r="U10" i="4"/>
  <c r="U11" i="4"/>
  <c r="U12" i="4"/>
  <c r="W12" i="4" s="1"/>
  <c r="X12" i="4" s="1"/>
  <c r="U13" i="4"/>
  <c r="U14" i="4"/>
  <c r="W14" i="4" s="1"/>
  <c r="U15" i="4"/>
  <c r="W15" i="4" s="1"/>
  <c r="X15" i="4" s="1"/>
  <c r="U16" i="4"/>
  <c r="U17" i="4"/>
  <c r="U18" i="4"/>
  <c r="U19" i="4"/>
  <c r="U20" i="4"/>
  <c r="U21" i="4"/>
  <c r="U22" i="4"/>
  <c r="W22" i="4" s="1"/>
  <c r="U23" i="4"/>
  <c r="W23" i="4" s="1"/>
  <c r="X23" i="4" s="1"/>
  <c r="U24" i="4"/>
  <c r="U25" i="4"/>
  <c r="U26" i="4"/>
  <c r="U27" i="4"/>
  <c r="U28" i="4"/>
  <c r="W28" i="4" s="1"/>
  <c r="U29" i="4"/>
  <c r="W29" i="4" s="1"/>
  <c r="U30" i="4"/>
  <c r="W30" i="4" s="1"/>
  <c r="U31" i="4"/>
  <c r="W31" i="4" s="1"/>
  <c r="X31" i="4" s="1"/>
  <c r="U32" i="4"/>
  <c r="U33" i="4"/>
  <c r="U34" i="4"/>
  <c r="U35" i="4"/>
  <c r="U36" i="4"/>
  <c r="W36" i="4" s="1"/>
  <c r="U37" i="4"/>
  <c r="W37" i="4" s="1"/>
  <c r="U38" i="4"/>
  <c r="W38" i="4" s="1"/>
  <c r="U39" i="4"/>
  <c r="W39" i="4" s="1"/>
  <c r="X39" i="4" s="1"/>
  <c r="U40" i="4"/>
  <c r="U41" i="4"/>
  <c r="U42" i="4"/>
  <c r="U43" i="4"/>
  <c r="U44" i="4"/>
  <c r="W44" i="4" s="1"/>
  <c r="U45" i="4"/>
  <c r="W45" i="4" s="1"/>
  <c r="U46" i="4"/>
  <c r="W46" i="4" s="1"/>
  <c r="U47" i="4"/>
  <c r="W47" i="4" s="1"/>
  <c r="X47" i="4" s="1"/>
  <c r="U48" i="4"/>
  <c r="U49" i="4"/>
  <c r="U51" i="4"/>
  <c r="U52" i="4"/>
  <c r="W52" i="4" s="1"/>
  <c r="U53" i="4"/>
  <c r="W53" i="4" s="1"/>
  <c r="U54" i="4"/>
  <c r="W54" i="4" s="1"/>
  <c r="U55" i="4"/>
  <c r="W55" i="4" s="1"/>
  <c r="X55" i="4" s="1"/>
  <c r="U57" i="4"/>
  <c r="U58" i="4"/>
  <c r="U59" i="4"/>
  <c r="U60" i="4"/>
  <c r="U61" i="4"/>
  <c r="W61" i="4" s="1"/>
  <c r="U62" i="4"/>
  <c r="W62" i="4" s="1"/>
  <c r="U63" i="4"/>
  <c r="W63" i="4" s="1"/>
  <c r="X63" i="4" s="1"/>
  <c r="U64" i="4"/>
  <c r="U65" i="4"/>
  <c r="U66" i="4"/>
  <c r="U67" i="4"/>
  <c r="U68" i="4"/>
  <c r="U69" i="4"/>
  <c r="W69" i="4" s="1"/>
  <c r="U70" i="4"/>
  <c r="W70" i="4" s="1"/>
  <c r="U71" i="4"/>
  <c r="W71" i="4" s="1"/>
  <c r="X71" i="4" s="1"/>
  <c r="U72" i="4"/>
  <c r="U73" i="4"/>
  <c r="U74" i="4"/>
  <c r="U75" i="4"/>
  <c r="U76" i="4"/>
  <c r="U77" i="4"/>
  <c r="W77" i="4" s="1"/>
  <c r="U78" i="4"/>
  <c r="W78" i="4" s="1"/>
  <c r="U79" i="4"/>
  <c r="W79" i="4" s="1"/>
  <c r="X79" i="4" s="1"/>
  <c r="U80" i="4"/>
  <c r="U81" i="4"/>
  <c r="U82" i="4"/>
  <c r="U83" i="4"/>
  <c r="U84" i="4"/>
  <c r="W84" i="4" s="1"/>
  <c r="U85" i="4"/>
  <c r="W85" i="4" s="1"/>
  <c r="U86" i="4"/>
  <c r="W86" i="4" s="1"/>
  <c r="U87" i="4"/>
  <c r="W87" i="4" s="1"/>
  <c r="X87" i="4" s="1"/>
  <c r="U88" i="4"/>
  <c r="U89" i="4"/>
  <c r="U90" i="4"/>
  <c r="U91" i="4"/>
  <c r="U92" i="4"/>
  <c r="W92" i="4" s="1"/>
  <c r="U93" i="4"/>
  <c r="W93" i="4" s="1"/>
  <c r="U94" i="4"/>
  <c r="W94" i="4" s="1"/>
  <c r="U95" i="4"/>
  <c r="W95" i="4" s="1"/>
  <c r="X95" i="4" s="1"/>
  <c r="U96" i="4"/>
  <c r="U97" i="4"/>
  <c r="U98" i="4"/>
  <c r="U99" i="4"/>
  <c r="U100" i="4"/>
  <c r="W100" i="4" s="1"/>
  <c r="U101" i="4"/>
  <c r="W101" i="4" s="1"/>
  <c r="U102" i="4"/>
  <c r="W102" i="4" s="1"/>
  <c r="U103" i="4"/>
  <c r="W103" i="4" s="1"/>
  <c r="X103" i="4" s="1"/>
  <c r="U104" i="4"/>
  <c r="U105" i="4"/>
  <c r="U106" i="4"/>
  <c r="U7" i="4"/>
  <c r="G5" i="2"/>
  <c r="G6" i="2"/>
  <c r="G7" i="2"/>
  <c r="G8" i="2"/>
  <c r="G9" i="2"/>
  <c r="E23" i="23" s="1"/>
  <c r="F23" i="23" s="1"/>
  <c r="G13" i="2"/>
  <c r="G14" i="2"/>
  <c r="G15" i="2"/>
  <c r="G16" i="2"/>
  <c r="G17"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4" i="2"/>
  <c r="G97" i="22"/>
  <c r="G96" i="22"/>
  <c r="G95" i="22"/>
  <c r="G94" i="22"/>
  <c r="G93" i="22"/>
  <c r="G103" i="22"/>
  <c r="G101" i="22"/>
  <c r="G100" i="22"/>
  <c r="G99" i="22"/>
  <c r="E20" i="23" l="1"/>
  <c r="F20" i="23" s="1"/>
  <c r="E20" i="6"/>
  <c r="F20" i="6" s="1"/>
  <c r="E22" i="6"/>
  <c r="F22" i="6" s="1"/>
  <c r="E22" i="23"/>
  <c r="F22" i="23" s="1"/>
  <c r="W11" i="4"/>
  <c r="X11" i="4" s="1"/>
  <c r="W49" i="4"/>
  <c r="X49" i="4" s="1"/>
  <c r="W21" i="4"/>
  <c r="X21" i="4" s="1"/>
  <c r="X100" i="4"/>
  <c r="X92" i="4"/>
  <c r="X84" i="4"/>
  <c r="X52" i="4"/>
  <c r="X44" i="4"/>
  <c r="X36" i="4"/>
  <c r="X28" i="4"/>
  <c r="W76" i="4"/>
  <c r="X76" i="4" s="1"/>
  <c r="W20" i="4"/>
  <c r="X20" i="4" s="1"/>
  <c r="W68" i="4"/>
  <c r="X68" i="4" s="1"/>
  <c r="W13" i="4"/>
  <c r="X13" i="4" s="1"/>
  <c r="W60" i="4"/>
  <c r="X60" i="4" s="1"/>
  <c r="W99" i="4"/>
  <c r="X99" i="4" s="1"/>
  <c r="W91" i="4"/>
  <c r="X91" i="4" s="1"/>
  <c r="W83" i="4"/>
  <c r="X83" i="4" s="1"/>
  <c r="W75" i="4"/>
  <c r="X75" i="4" s="1"/>
  <c r="W67" i="4"/>
  <c r="X67" i="4" s="1"/>
  <c r="W59" i="4"/>
  <c r="X59" i="4" s="1"/>
  <c r="W51" i="4"/>
  <c r="X51" i="4" s="1"/>
  <c r="W43" i="4"/>
  <c r="X43" i="4" s="1"/>
  <c r="W35" i="4"/>
  <c r="X35" i="4" s="1"/>
  <c r="W27" i="4"/>
  <c r="X27" i="4" s="1"/>
  <c r="W19" i="4"/>
  <c r="X19" i="4" s="1"/>
  <c r="X102" i="4"/>
  <c r="X94" i="4"/>
  <c r="X86" i="4"/>
  <c r="X78" i="4"/>
  <c r="X70" i="4"/>
  <c r="X62" i="4"/>
  <c r="X54" i="4"/>
  <c r="X46" i="4"/>
  <c r="X38" i="4"/>
  <c r="X30" i="4"/>
  <c r="X22" i="4"/>
  <c r="X14" i="4"/>
  <c r="W106" i="4"/>
  <c r="X106" i="4" s="1"/>
  <c r="W98" i="4"/>
  <c r="X98" i="4" s="1"/>
  <c r="W90" i="4"/>
  <c r="X90" i="4" s="1"/>
  <c r="W82" i="4"/>
  <c r="X82" i="4" s="1"/>
  <c r="W74" i="4"/>
  <c r="X74" i="4" s="1"/>
  <c r="W66" i="4"/>
  <c r="X66" i="4" s="1"/>
  <c r="W58" i="4"/>
  <c r="X58" i="4" s="1"/>
  <c r="W50" i="4"/>
  <c r="X50" i="4" s="1"/>
  <c r="W42" i="4"/>
  <c r="X42" i="4" s="1"/>
  <c r="W34" i="4"/>
  <c r="X34" i="4" s="1"/>
  <c r="W26" i="4"/>
  <c r="X26" i="4" s="1"/>
  <c r="W18" i="4"/>
  <c r="X18" i="4" s="1"/>
  <c r="W10" i="4"/>
  <c r="X10" i="4" s="1"/>
  <c r="X101" i="4"/>
  <c r="X93" i="4"/>
  <c r="X85" i="4"/>
  <c r="X77" i="4"/>
  <c r="X69" i="4"/>
  <c r="X61" i="4"/>
  <c r="X53" i="4"/>
  <c r="X45" i="4"/>
  <c r="X37" i="4"/>
  <c r="X29" i="4"/>
  <c r="W105" i="4"/>
  <c r="X105" i="4" s="1"/>
  <c r="W97" i="4"/>
  <c r="X97" i="4" s="1"/>
  <c r="W89" i="4"/>
  <c r="X89" i="4" s="1"/>
  <c r="W81" i="4"/>
  <c r="X81" i="4" s="1"/>
  <c r="W73" i="4"/>
  <c r="X73" i="4" s="1"/>
  <c r="W65" i="4"/>
  <c r="X65" i="4" s="1"/>
  <c r="W57" i="4"/>
  <c r="X57" i="4" s="1"/>
  <c r="W41" i="4"/>
  <c r="X41" i="4" s="1"/>
  <c r="W33" i="4"/>
  <c r="X33" i="4" s="1"/>
  <c r="W25" i="4"/>
  <c r="X25" i="4" s="1"/>
  <c r="W17" i="4"/>
  <c r="X17" i="4" s="1"/>
  <c r="W9" i="4"/>
  <c r="X9" i="4" s="1"/>
  <c r="W104" i="4"/>
  <c r="X104" i="4" s="1"/>
  <c r="W96" i="4"/>
  <c r="X96" i="4" s="1"/>
  <c r="W88" i="4"/>
  <c r="X88" i="4" s="1"/>
  <c r="W80" i="4"/>
  <c r="X80" i="4" s="1"/>
  <c r="W72" i="4"/>
  <c r="X72" i="4" s="1"/>
  <c r="W64" i="4"/>
  <c r="X64" i="4" s="1"/>
  <c r="W48" i="4"/>
  <c r="X48" i="4" s="1"/>
  <c r="W40" i="4"/>
  <c r="X40" i="4" s="1"/>
  <c r="W32" i="4"/>
  <c r="X32" i="4" s="1"/>
  <c r="W24" i="4"/>
  <c r="X24" i="4" s="1"/>
  <c r="W16" i="4"/>
  <c r="X16" i="4" s="1"/>
  <c r="W7" i="4"/>
  <c r="X7" i="4" s="1"/>
  <c r="U56" i="4" l="1"/>
  <c r="W56" i="4" s="1"/>
  <c r="X56" i="4" s="1"/>
  <c r="C21" i="18" l="1"/>
  <c r="C22" i="18"/>
  <c r="D23" i="18"/>
  <c r="D24" i="18"/>
  <c r="D25" i="18"/>
  <c r="E26" i="18"/>
  <c r="E27" i="18"/>
  <c r="E28" i="18"/>
  <c r="C29" i="18"/>
  <c r="C30" i="18"/>
  <c r="D31" i="18"/>
  <c r="D30" i="18" l="1"/>
  <c r="D22" i="18"/>
  <c r="E25" i="18"/>
  <c r="F25" i="18" s="1"/>
  <c r="C28" i="18"/>
  <c r="D29" i="18"/>
  <c r="D21" i="18"/>
  <c r="E24" i="18"/>
  <c r="F24" i="18" s="1"/>
  <c r="C27" i="18"/>
  <c r="D28" i="18"/>
  <c r="F28" i="18" s="1"/>
  <c r="E31" i="18"/>
  <c r="F31" i="18" s="1"/>
  <c r="E23" i="18"/>
  <c r="F23" i="18" s="1"/>
  <c r="C26" i="18"/>
  <c r="D27" i="18"/>
  <c r="F27" i="18" s="1"/>
  <c r="E30" i="18"/>
  <c r="E22" i="18"/>
  <c r="C25" i="18"/>
  <c r="D26" i="18"/>
  <c r="F26" i="18" s="1"/>
  <c r="E29" i="18"/>
  <c r="E21" i="18"/>
  <c r="C24" i="18"/>
  <c r="C31" i="18"/>
  <c r="C23" i="18"/>
  <c r="E135" i="22"/>
  <c r="M19" i="32"/>
  <c r="M20" i="32" s="1"/>
  <c r="E144" i="22"/>
  <c r="E146" i="22" s="1"/>
  <c r="E24" i="22"/>
  <c r="C12" i="20"/>
  <c r="D12" i="20"/>
  <c r="E12" i="20"/>
  <c r="F12" i="20"/>
  <c r="G12" i="20"/>
  <c r="H12" i="20"/>
  <c r="C49" i="24"/>
  <c r="D91" i="9" s="1"/>
  <c r="B7" i="9"/>
  <c r="D7" i="9" s="1"/>
  <c r="B8" i="9"/>
  <c r="B9" i="9"/>
  <c r="B10" i="9"/>
  <c r="B11" i="9"/>
  <c r="B12" i="9"/>
  <c r="H9" i="30"/>
  <c r="P9" i="30"/>
  <c r="W11" i="30"/>
  <c r="S39" i="4"/>
  <c r="S38" i="4"/>
  <c r="S31" i="4"/>
  <c r="S29" i="4"/>
  <c r="S28" i="4"/>
  <c r="S27" i="4"/>
  <c r="S25" i="4"/>
  <c r="S20" i="4"/>
  <c r="S41" i="4"/>
  <c r="S26" i="4"/>
  <c r="S36" i="4"/>
  <c r="S15" i="4"/>
  <c r="B152" i="17" a="1"/>
  <c r="B152" i="17" s="1"/>
  <c r="G152" i="17" s="1"/>
  <c r="B153" i="17" a="1"/>
  <c r="B153" i="17" s="1"/>
  <c r="D153" i="17" s="1"/>
  <c r="B154" i="17" a="1"/>
  <c r="B154" i="17" s="1"/>
  <c r="B155" i="17" a="1"/>
  <c r="B155" i="17" s="1"/>
  <c r="C155" i="17" s="1"/>
  <c r="B156" i="17" a="1"/>
  <c r="B156" i="17" s="1"/>
  <c r="D156" i="17" s="1"/>
  <c r="B157" i="17" a="1"/>
  <c r="B157" i="17" s="1"/>
  <c r="D157" i="17" s="1"/>
  <c r="B158" i="17" a="1"/>
  <c r="B158" i="17" s="1"/>
  <c r="B159" i="17" a="1"/>
  <c r="B159" i="17" s="1"/>
  <c r="B160" i="17" a="1"/>
  <c r="B160" i="17" s="1"/>
  <c r="B161" i="17" a="1"/>
  <c r="B161" i="17" s="1"/>
  <c r="D161" i="17" s="1"/>
  <c r="B162" i="17" a="1"/>
  <c r="B162" i="17" s="1"/>
  <c r="B163" i="17" a="1"/>
  <c r="B163" i="17" s="1"/>
  <c r="D163" i="17" s="1"/>
  <c r="B164" i="17" a="1"/>
  <c r="B164" i="17" s="1"/>
  <c r="D164" i="17" s="1"/>
  <c r="B165" i="17" a="1"/>
  <c r="B165" i="17" s="1"/>
  <c r="F165" i="17" s="1"/>
  <c r="B166" i="17" a="1"/>
  <c r="B166" i="17" s="1"/>
  <c r="G166" i="17" s="1"/>
  <c r="B167" i="17" a="1"/>
  <c r="B167" i="17" s="1"/>
  <c r="B168" i="17" a="1"/>
  <c r="B168" i="17" s="1"/>
  <c r="B169" i="17" a="1"/>
  <c r="B169" i="17" s="1"/>
  <c r="D169" i="17" s="1"/>
  <c r="B170" i="17" a="1"/>
  <c r="B170" i="17" s="1"/>
  <c r="D170" i="17" s="1"/>
  <c r="B171" i="17" a="1"/>
  <c r="B171" i="17" s="1"/>
  <c r="D171" i="17" s="1"/>
  <c r="B172" i="17" a="1"/>
  <c r="B172" i="17" s="1"/>
  <c r="D172" i="17" s="1"/>
  <c r="B173" i="17" a="1"/>
  <c r="B173" i="17" s="1"/>
  <c r="B174" i="17" a="1"/>
  <c r="B174" i="17" s="1"/>
  <c r="B175" i="17" a="1"/>
  <c r="B175" i="17" s="1"/>
  <c r="B176" i="17" a="1"/>
  <c r="B176" i="17" s="1"/>
  <c r="B177" i="17" a="1"/>
  <c r="B177" i="17" s="1"/>
  <c r="D177" i="17" s="1"/>
  <c r="B178" i="17" a="1"/>
  <c r="B178" i="17" s="1"/>
  <c r="D178" i="17" s="1"/>
  <c r="B179" i="17" a="1"/>
  <c r="B179" i="17" s="1"/>
  <c r="F179" i="17" s="1"/>
  <c r="B180" i="17" a="1"/>
  <c r="B180" i="17" s="1"/>
  <c r="D180" i="17" s="1"/>
  <c r="B181" i="17" a="1"/>
  <c r="B181" i="17" s="1"/>
  <c r="B182" i="17" a="1"/>
  <c r="B182" i="17" s="1"/>
  <c r="B183" i="17" a="1"/>
  <c r="B183" i="17" s="1"/>
  <c r="B184" i="17" a="1"/>
  <c r="B184" i="17" s="1"/>
  <c r="C184" i="17" s="1"/>
  <c r="B185" i="17" a="1"/>
  <c r="B185" i="17" s="1"/>
  <c r="D185" i="17" s="1"/>
  <c r="B186" i="17" a="1"/>
  <c r="B186" i="17" s="1"/>
  <c r="G186" i="17" s="1"/>
  <c r="B187" i="17" a="1"/>
  <c r="B187" i="17" s="1"/>
  <c r="D187" i="17" s="1"/>
  <c r="B188" i="17" a="1"/>
  <c r="B188" i="17" s="1"/>
  <c r="D188" i="17" s="1"/>
  <c r="B189" i="17" a="1"/>
  <c r="B189" i="17" s="1"/>
  <c r="D189" i="17" s="1"/>
  <c r="B152" i="18" a="1"/>
  <c r="B152" i="18" s="1"/>
  <c r="C152" i="18" s="1"/>
  <c r="B153" i="18" a="1"/>
  <c r="B153" i="18" s="1"/>
  <c r="B154" i="18" a="1"/>
  <c r="B154" i="18" s="1"/>
  <c r="D154" i="18" s="1"/>
  <c r="B155" i="18" a="1"/>
  <c r="B155" i="18" s="1"/>
  <c r="D155" i="18" s="1"/>
  <c r="B156" i="18" a="1"/>
  <c r="B156" i="18" s="1"/>
  <c r="B157" i="18" a="1"/>
  <c r="B157" i="18" s="1"/>
  <c r="D157" i="18" s="1"/>
  <c r="B158" i="18" a="1"/>
  <c r="B158" i="18" s="1"/>
  <c r="D158" i="18" s="1"/>
  <c r="B159" i="18" a="1"/>
  <c r="B159" i="18" s="1"/>
  <c r="D159" i="18" s="1"/>
  <c r="B160" i="18" a="1"/>
  <c r="B160" i="18" s="1"/>
  <c r="B161" i="18" a="1"/>
  <c r="B161" i="18" s="1"/>
  <c r="B162" i="18" a="1"/>
  <c r="B162" i="18" s="1"/>
  <c r="D162" i="18" s="1"/>
  <c r="B163" i="18" a="1"/>
  <c r="B163" i="18" s="1"/>
  <c r="D163" i="18" s="1"/>
  <c r="B164" i="18" a="1"/>
  <c r="B164" i="18" s="1"/>
  <c r="G164" i="18" s="1"/>
  <c r="B165" i="18" a="1"/>
  <c r="B165" i="18" s="1"/>
  <c r="D165" i="18" s="1"/>
  <c r="B166" i="18" a="1"/>
  <c r="B166" i="18" s="1"/>
  <c r="D166" i="18" s="1"/>
  <c r="B167" i="18" a="1"/>
  <c r="B167" i="18" s="1"/>
  <c r="F167" i="18" s="1"/>
  <c r="B168" i="18" a="1"/>
  <c r="B168" i="18" s="1"/>
  <c r="D168" i="18" s="1"/>
  <c r="B169" i="18" a="1"/>
  <c r="B169" i="18" s="1"/>
  <c r="B170" i="18" a="1"/>
  <c r="B170" i="18" s="1"/>
  <c r="D170" i="18" s="1"/>
  <c r="B171" i="18" a="1"/>
  <c r="B171" i="18" s="1"/>
  <c r="D171" i="18" s="1"/>
  <c r="B172" i="18" a="1"/>
  <c r="B172" i="18" s="1"/>
  <c r="E172" i="18" s="1"/>
  <c r="B173" i="18" a="1"/>
  <c r="B173" i="18" s="1"/>
  <c r="D173" i="18" s="1"/>
  <c r="B174" i="18" a="1"/>
  <c r="B174" i="18" s="1"/>
  <c r="D174" i="18" s="1"/>
  <c r="B175" i="18" a="1"/>
  <c r="B175" i="18" s="1"/>
  <c r="B176" i="18" a="1"/>
  <c r="B176" i="18" s="1"/>
  <c r="D176" i="18" s="1"/>
  <c r="B177" i="18" a="1"/>
  <c r="B177" i="18" s="1"/>
  <c r="B178" i="18" a="1"/>
  <c r="B178" i="18" s="1"/>
  <c r="D178" i="18" s="1"/>
  <c r="B179" i="18" a="1"/>
  <c r="B179" i="18" s="1"/>
  <c r="D179" i="18" s="1"/>
  <c r="B180" i="18" a="1"/>
  <c r="B180" i="18" s="1"/>
  <c r="F180" i="18" s="1"/>
  <c r="B181" i="18" a="1"/>
  <c r="B181" i="18" s="1"/>
  <c r="D181" i="18" s="1"/>
  <c r="B182" i="18" a="1"/>
  <c r="B182" i="18" s="1"/>
  <c r="D182" i="18" s="1"/>
  <c r="B183" i="18" a="1"/>
  <c r="B183" i="18" s="1"/>
  <c r="B184" i="18" a="1"/>
  <c r="B184" i="18" s="1"/>
  <c r="B185" i="18" a="1"/>
  <c r="B185" i="18" s="1"/>
  <c r="B186" i="18" a="1"/>
  <c r="B186" i="18" s="1"/>
  <c r="B187" i="18" a="1"/>
  <c r="B187" i="18" s="1"/>
  <c r="D187" i="18" s="1"/>
  <c r="B188" i="18" a="1"/>
  <c r="B188" i="18" s="1"/>
  <c r="B189" i="18" a="1"/>
  <c r="B189" i="18" s="1"/>
  <c r="D189" i="18" s="1"/>
  <c r="B152" i="19" a="1"/>
  <c r="B152" i="19" s="1"/>
  <c r="E152" i="19" s="1"/>
  <c r="B153" i="19" a="1"/>
  <c r="B153" i="19" s="1"/>
  <c r="B154" i="19" a="1"/>
  <c r="B154" i="19" s="1"/>
  <c r="B155" i="19" a="1"/>
  <c r="B155" i="19" s="1"/>
  <c r="B156" i="19" a="1"/>
  <c r="B156" i="19" s="1"/>
  <c r="B157" i="19" a="1"/>
  <c r="B157" i="19" s="1"/>
  <c r="D157" i="19" s="1"/>
  <c r="B158" i="19" a="1"/>
  <c r="B158" i="19" s="1"/>
  <c r="B159" i="19" a="1"/>
  <c r="B159" i="19" s="1"/>
  <c r="C159" i="19" s="1"/>
  <c r="B160" i="19" a="1"/>
  <c r="B160" i="19" s="1"/>
  <c r="D160" i="19" s="1"/>
  <c r="B161" i="19" a="1"/>
  <c r="B161" i="19" s="1"/>
  <c r="D161" i="19" s="1"/>
  <c r="B162" i="19" a="1"/>
  <c r="B162" i="19" s="1"/>
  <c r="B163" i="19" a="1"/>
  <c r="B163" i="19" s="1"/>
  <c r="B164" i="19" a="1"/>
  <c r="B164" i="19" s="1"/>
  <c r="D164" i="19" s="1"/>
  <c r="B165" i="19" a="1"/>
  <c r="B165" i="19" s="1"/>
  <c r="D165" i="19" s="1"/>
  <c r="B166" i="19" a="1"/>
  <c r="B166" i="19" s="1"/>
  <c r="D166" i="19" s="1"/>
  <c r="B167" i="19" a="1"/>
  <c r="B167" i="19" s="1"/>
  <c r="C167" i="19" s="1"/>
  <c r="B168" i="19" a="1"/>
  <c r="B168" i="19" s="1"/>
  <c r="D168" i="19" s="1"/>
  <c r="B169" i="19" a="1"/>
  <c r="B169" i="19" s="1"/>
  <c r="D169" i="19" s="1"/>
  <c r="B170" i="19" a="1"/>
  <c r="B170" i="19" s="1"/>
  <c r="C170" i="19" s="1"/>
  <c r="B171" i="19" a="1"/>
  <c r="B171" i="19" s="1"/>
  <c r="D171" i="19" s="1"/>
  <c r="B172" i="19" a="1"/>
  <c r="B172" i="19" s="1"/>
  <c r="B173" i="19" a="1"/>
  <c r="B173" i="19" s="1"/>
  <c r="F173" i="19" s="1"/>
  <c r="B174" i="19" a="1"/>
  <c r="B174" i="19" s="1"/>
  <c r="C174" i="19" s="1"/>
  <c r="B175" i="19" a="1"/>
  <c r="B175" i="19" s="1"/>
  <c r="D175" i="19" s="1"/>
  <c r="B176" i="19" a="1"/>
  <c r="B176" i="19" s="1"/>
  <c r="C176" i="19" s="1"/>
  <c r="B177" i="19" a="1"/>
  <c r="B177" i="19" s="1"/>
  <c r="D177" i="19" s="1"/>
  <c r="B178" i="19" a="1"/>
  <c r="B178" i="19" s="1"/>
  <c r="B179" i="19" a="1"/>
  <c r="B179" i="19" s="1"/>
  <c r="B180" i="19" a="1"/>
  <c r="B180" i="19" s="1"/>
  <c r="B181" i="19" a="1"/>
  <c r="B181" i="19" s="1"/>
  <c r="D181" i="19" s="1"/>
  <c r="B182" i="19" a="1"/>
  <c r="B182" i="19" s="1"/>
  <c r="B183" i="19" a="1"/>
  <c r="B183" i="19" s="1"/>
  <c r="D183" i="19" s="1"/>
  <c r="B184" i="19" a="1"/>
  <c r="B184" i="19" s="1"/>
  <c r="D184" i="19" s="1"/>
  <c r="B185" i="19" a="1"/>
  <c r="B185" i="19" s="1"/>
  <c r="D185" i="19" s="1"/>
  <c r="B186" i="19" a="1"/>
  <c r="B186" i="19" s="1"/>
  <c r="B187" i="19" a="1"/>
  <c r="B187" i="19" s="1"/>
  <c r="B188" i="19" a="1"/>
  <c r="B188" i="19" s="1"/>
  <c r="B189" i="19" a="1"/>
  <c r="B189" i="19" s="1"/>
  <c r="G189" i="19" s="1"/>
  <c r="B152" i="23" a="1"/>
  <c r="B152" i="23" s="1"/>
  <c r="B153" i="23" a="1"/>
  <c r="B153" i="23" s="1"/>
  <c r="D153" i="23" s="1"/>
  <c r="B154" i="23" a="1"/>
  <c r="B154" i="23" s="1"/>
  <c r="D154" i="23" s="1"/>
  <c r="B155" i="23" a="1"/>
  <c r="B155" i="23" s="1"/>
  <c r="B156" i="23" a="1"/>
  <c r="B156" i="23" s="1"/>
  <c r="B157" i="23" a="1"/>
  <c r="B157" i="23" s="1"/>
  <c r="B158" i="23" a="1"/>
  <c r="B158" i="23" s="1"/>
  <c r="D158" i="23" s="1"/>
  <c r="B159" i="23" a="1"/>
  <c r="B159" i="23" s="1"/>
  <c r="D159" i="23" s="1"/>
  <c r="B160" i="23" a="1"/>
  <c r="B160" i="23" s="1"/>
  <c r="B161" i="23" a="1"/>
  <c r="B161" i="23" s="1"/>
  <c r="D161" i="23" s="1"/>
  <c r="B162" i="23" a="1"/>
  <c r="B162" i="23" s="1"/>
  <c r="B163" i="23" a="1"/>
  <c r="B163" i="23" s="1"/>
  <c r="D163" i="23" s="1"/>
  <c r="B164" i="23" a="1"/>
  <c r="B164" i="23" s="1"/>
  <c r="B165" i="23" a="1"/>
  <c r="B165" i="23" s="1"/>
  <c r="B166" i="23" a="1"/>
  <c r="B166" i="23" s="1"/>
  <c r="D166" i="23" s="1"/>
  <c r="B167" i="23" a="1"/>
  <c r="B167" i="23" s="1"/>
  <c r="D167" i="23" s="1"/>
  <c r="B168" i="23" a="1"/>
  <c r="B168" i="23" s="1"/>
  <c r="B169" i="23" a="1"/>
  <c r="B169" i="23" s="1"/>
  <c r="D169" i="23" s="1"/>
  <c r="B170" i="23" a="1"/>
  <c r="B170" i="23" s="1"/>
  <c r="B171" i="23" a="1"/>
  <c r="B171" i="23" s="1"/>
  <c r="D171" i="23" s="1"/>
  <c r="B172" i="23" a="1"/>
  <c r="B172" i="23" s="1"/>
  <c r="B173" i="23" a="1"/>
  <c r="B173" i="23" s="1"/>
  <c r="D173" i="23" s="1"/>
  <c r="B174" i="23" a="1"/>
  <c r="B174" i="23" s="1"/>
  <c r="D174" i="23" s="1"/>
  <c r="B175" i="23" a="1"/>
  <c r="B175" i="23" s="1"/>
  <c r="D175" i="23" s="1"/>
  <c r="B176" i="23" a="1"/>
  <c r="B176" i="23" s="1"/>
  <c r="D176" i="23" s="1"/>
  <c r="B177" i="23" a="1"/>
  <c r="B177" i="23" s="1"/>
  <c r="D177" i="23" s="1"/>
  <c r="B178" i="23" a="1"/>
  <c r="B178" i="23" s="1"/>
  <c r="G178" i="23" s="1"/>
  <c r="B179" i="23" a="1"/>
  <c r="B179" i="23" s="1"/>
  <c r="D179" i="23" s="1"/>
  <c r="B180" i="23" a="1"/>
  <c r="B180" i="23" s="1"/>
  <c r="B181" i="23" a="1"/>
  <c r="B181" i="23" s="1"/>
  <c r="C181" i="23" s="1"/>
  <c r="B182" i="23" a="1"/>
  <c r="B182" i="23" s="1"/>
  <c r="B183" i="23" a="1"/>
  <c r="B183" i="23" s="1"/>
  <c r="D183" i="23" s="1"/>
  <c r="B184" i="23" a="1"/>
  <c r="B184" i="23" s="1"/>
  <c r="B185" i="23" a="1"/>
  <c r="B185" i="23" s="1"/>
  <c r="C185" i="23" s="1"/>
  <c r="B186" i="23" a="1"/>
  <c r="B186" i="23" s="1"/>
  <c r="B187" i="23" a="1"/>
  <c r="B187" i="23" s="1"/>
  <c r="E187" i="23" s="1"/>
  <c r="B188" i="23" a="1"/>
  <c r="B188" i="23" s="1"/>
  <c r="D188" i="23" s="1"/>
  <c r="B189" i="23" a="1"/>
  <c r="B189" i="23" s="1"/>
  <c r="B152" i="6" a="1"/>
  <c r="B152" i="6" s="1"/>
  <c r="C152" i="6" s="1"/>
  <c r="B153" i="6" a="1"/>
  <c r="B153" i="6" s="1"/>
  <c r="B154" i="6" a="1"/>
  <c r="B154" i="6" s="1"/>
  <c r="B155" i="6" a="1"/>
  <c r="B155" i="6" s="1"/>
  <c r="D155" i="6" s="1"/>
  <c r="B156" i="6" a="1"/>
  <c r="B156" i="6" s="1"/>
  <c r="B157" i="6" a="1"/>
  <c r="B157" i="6" s="1"/>
  <c r="D157" i="6" s="1"/>
  <c r="B158" i="6" a="1"/>
  <c r="B158" i="6" s="1"/>
  <c r="B159" i="6" a="1"/>
  <c r="B159" i="6" s="1"/>
  <c r="B160" i="6" a="1"/>
  <c r="B160" i="6" s="1"/>
  <c r="D160" i="6" s="1"/>
  <c r="B161" i="6" a="1"/>
  <c r="B161" i="6" s="1"/>
  <c r="D161" i="6" s="1"/>
  <c r="B162" i="6" a="1"/>
  <c r="B162" i="6" s="1"/>
  <c r="D162" i="6" s="1"/>
  <c r="B163" i="6" a="1"/>
  <c r="B163" i="6" s="1"/>
  <c r="B164" i="6" a="1"/>
  <c r="B164" i="6" s="1"/>
  <c r="B165" i="6" a="1"/>
  <c r="B165" i="6" s="1"/>
  <c r="B166" i="6" a="1"/>
  <c r="B166" i="6" s="1"/>
  <c r="B167" i="6" a="1"/>
  <c r="B167" i="6" s="1"/>
  <c r="B168" i="6" a="1"/>
  <c r="B168" i="6" s="1"/>
  <c r="D168" i="6" s="1"/>
  <c r="B169" i="6" a="1"/>
  <c r="B169" i="6" s="1"/>
  <c r="D169" i="6" s="1"/>
  <c r="B170" i="6" a="1"/>
  <c r="B170" i="6" s="1"/>
  <c r="D170" i="6" s="1"/>
  <c r="B171" i="6" a="1"/>
  <c r="B171" i="6" s="1"/>
  <c r="D171" i="6" s="1"/>
  <c r="B172" i="6" a="1"/>
  <c r="B172" i="6" s="1"/>
  <c r="B173" i="6" a="1"/>
  <c r="B173" i="6" s="1"/>
  <c r="B174" i="6" a="1"/>
  <c r="B174" i="6" s="1"/>
  <c r="D174" i="6" s="1"/>
  <c r="B175" i="6" a="1"/>
  <c r="B175" i="6" s="1"/>
  <c r="D175" i="6" s="1"/>
  <c r="B176" i="6" a="1"/>
  <c r="B176" i="6" s="1"/>
  <c r="B177" i="6" a="1"/>
  <c r="B177" i="6" s="1"/>
  <c r="D177" i="6" s="1"/>
  <c r="B178" i="6" a="1"/>
  <c r="B178" i="6" s="1"/>
  <c r="B179" i="6" a="1"/>
  <c r="B179" i="6" s="1"/>
  <c r="D179" i="6" s="1"/>
  <c r="B180" i="6" a="1"/>
  <c r="B180" i="6" s="1"/>
  <c r="D180" i="6" s="1"/>
  <c r="B181" i="6" a="1"/>
  <c r="B181" i="6" s="1"/>
  <c r="D181" i="6" s="1"/>
  <c r="B182" i="6" a="1"/>
  <c r="B182" i="6" s="1"/>
  <c r="B183" i="6" a="1"/>
  <c r="B183" i="6" s="1"/>
  <c r="D183" i="6" s="1"/>
  <c r="B184" i="6" a="1"/>
  <c r="B184" i="6" s="1"/>
  <c r="B185" i="6" a="1"/>
  <c r="B185" i="6" s="1"/>
  <c r="D185" i="6" s="1"/>
  <c r="B186" i="6" a="1"/>
  <c r="B186" i="6" s="1"/>
  <c r="B187" i="6" a="1"/>
  <c r="B187" i="6" s="1"/>
  <c r="B188" i="6" a="1"/>
  <c r="B188" i="6" s="1"/>
  <c r="D188" i="6" s="1"/>
  <c r="B189" i="6" a="1"/>
  <c r="B189" i="6" s="1"/>
  <c r="C189" i="6" s="1"/>
  <c r="B152" i="28" a="1"/>
  <c r="B152" i="28" s="1"/>
  <c r="F152" i="28" s="1"/>
  <c r="B153" i="28" a="1"/>
  <c r="B153" i="28" s="1"/>
  <c r="B154" i="28" a="1"/>
  <c r="B154" i="28" s="1"/>
  <c r="B155" i="28" a="1"/>
  <c r="B155" i="28" s="1"/>
  <c r="D155" i="28" s="1"/>
  <c r="B156" i="28" a="1"/>
  <c r="B156" i="28" s="1"/>
  <c r="D156" i="28" s="1"/>
  <c r="B157" i="28" a="1"/>
  <c r="B157" i="28" s="1"/>
  <c r="D157" i="28" s="1"/>
  <c r="B158" i="28" a="1"/>
  <c r="B158" i="28" s="1"/>
  <c r="C158" i="28" s="1"/>
  <c r="B159" i="28" a="1"/>
  <c r="B159" i="28" s="1"/>
  <c r="D159" i="28" s="1"/>
  <c r="B160" i="28" a="1"/>
  <c r="B160" i="28" s="1"/>
  <c r="B161" i="28" a="1"/>
  <c r="B161" i="28" s="1"/>
  <c r="B162" i="28" a="1"/>
  <c r="B162" i="28" s="1"/>
  <c r="B163" i="28" a="1"/>
  <c r="B163" i="28" s="1"/>
  <c r="D163" i="28" s="1"/>
  <c r="B164" i="28" a="1"/>
  <c r="B164" i="28" s="1"/>
  <c r="B165" i="28" a="1"/>
  <c r="B165" i="28" s="1"/>
  <c r="D165" i="28" s="1"/>
  <c r="B166" i="28" a="1"/>
  <c r="B166" i="28" s="1"/>
  <c r="E166" i="28" s="1"/>
  <c r="B167" i="28" a="1"/>
  <c r="B167" i="28" s="1"/>
  <c r="D167" i="28" s="1"/>
  <c r="B168" i="28" a="1"/>
  <c r="B168" i="28" s="1"/>
  <c r="B169" i="28" a="1"/>
  <c r="B169" i="28" s="1"/>
  <c r="B170" i="28" a="1"/>
  <c r="B170" i="28" s="1"/>
  <c r="D170" i="28" s="1"/>
  <c r="B171" i="28" a="1"/>
  <c r="B171" i="28" s="1"/>
  <c r="D171" i="28" s="1"/>
  <c r="B172" i="28" a="1"/>
  <c r="B172" i="28" s="1"/>
  <c r="D172" i="28" s="1"/>
  <c r="B173" i="28" a="1"/>
  <c r="B173" i="28" s="1"/>
  <c r="D173" i="28" s="1"/>
  <c r="B174" i="28" a="1"/>
  <c r="B174" i="28" s="1"/>
  <c r="D174" i="28" s="1"/>
  <c r="B175" i="28" a="1"/>
  <c r="B175" i="28" s="1"/>
  <c r="B176" i="28" a="1"/>
  <c r="B176" i="28" s="1"/>
  <c r="D176" i="28" s="1"/>
  <c r="B177" i="28" a="1"/>
  <c r="B177" i="28" s="1"/>
  <c r="B178" i="28" a="1"/>
  <c r="B178" i="28" s="1"/>
  <c r="B179" i="28" a="1"/>
  <c r="B179" i="28" s="1"/>
  <c r="D179" i="28" s="1"/>
  <c r="B180" i="28" a="1"/>
  <c r="B180" i="28" s="1"/>
  <c r="D180" i="28" s="1"/>
  <c r="B181" i="28" a="1"/>
  <c r="B181" i="28" s="1"/>
  <c r="D181" i="28" s="1"/>
  <c r="B182" i="28" a="1"/>
  <c r="B182" i="28" s="1"/>
  <c r="E182" i="28" s="1"/>
  <c r="B183" i="28" a="1"/>
  <c r="B183" i="28" s="1"/>
  <c r="B184" i="28" a="1"/>
  <c r="B184" i="28" s="1"/>
  <c r="B185" i="28" a="1"/>
  <c r="B185" i="28" s="1"/>
  <c r="D185" i="28" s="1"/>
  <c r="B186" i="28" a="1"/>
  <c r="B186" i="28" s="1"/>
  <c r="B187" i="28" a="1"/>
  <c r="B187" i="28" s="1"/>
  <c r="B188" i="28" a="1"/>
  <c r="B188" i="28" s="1"/>
  <c r="G188" i="28" s="1"/>
  <c r="B189" i="28" a="1"/>
  <c r="B189" i="28" s="1"/>
  <c r="D189" i="28" s="1"/>
  <c r="B152" i="20" a="1"/>
  <c r="B152" i="20" s="1"/>
  <c r="C152" i="20" s="1"/>
  <c r="B153" i="20" a="1"/>
  <c r="B153" i="20" s="1"/>
  <c r="B154" i="20" a="1"/>
  <c r="B154" i="20" s="1"/>
  <c r="B155" i="20" a="1"/>
  <c r="B155" i="20" s="1"/>
  <c r="D155" i="20" s="1"/>
  <c r="B156" i="20" a="1"/>
  <c r="B156" i="20" s="1"/>
  <c r="D156" i="20" s="1"/>
  <c r="B157" i="20" a="1"/>
  <c r="B157" i="20" s="1"/>
  <c r="C157" i="20" s="1"/>
  <c r="B158" i="20" a="1"/>
  <c r="B158" i="20" s="1"/>
  <c r="D158" i="20" s="1"/>
  <c r="B159" i="20" a="1"/>
  <c r="B159" i="20" s="1"/>
  <c r="C159" i="20" s="1"/>
  <c r="B160" i="20" a="1"/>
  <c r="B160" i="20" s="1"/>
  <c r="D160" i="20" s="1"/>
  <c r="B161" i="20" a="1"/>
  <c r="B161" i="20" s="1"/>
  <c r="B162" i="20" a="1"/>
  <c r="B162" i="20" s="1"/>
  <c r="B163" i="20" a="1"/>
  <c r="B163" i="20" s="1"/>
  <c r="D163" i="20" s="1"/>
  <c r="B164" i="20" a="1"/>
  <c r="B164" i="20" s="1"/>
  <c r="D164" i="20" s="1"/>
  <c r="B165" i="20" a="1"/>
  <c r="B165" i="20" s="1"/>
  <c r="B166" i="20" a="1"/>
  <c r="B166" i="20" s="1"/>
  <c r="D166" i="20" s="1"/>
  <c r="B167" i="20" a="1"/>
  <c r="B167" i="20" s="1"/>
  <c r="D167" i="20" s="1"/>
  <c r="B168" i="20" a="1"/>
  <c r="B168" i="20" s="1"/>
  <c r="D168" i="20" s="1"/>
  <c r="B169" i="20" a="1"/>
  <c r="B169" i="20" s="1"/>
  <c r="D169" i="20" s="1"/>
  <c r="B170" i="20" a="1"/>
  <c r="B170" i="20" s="1"/>
  <c r="D170" i="20" s="1"/>
  <c r="B171" i="20" a="1"/>
  <c r="B171" i="20" s="1"/>
  <c r="D171" i="20" s="1"/>
  <c r="B172" i="20" a="1"/>
  <c r="B172" i="20" s="1"/>
  <c r="B173" i="20" a="1"/>
  <c r="B173" i="20" s="1"/>
  <c r="D173" i="20" s="1"/>
  <c r="B174" i="20" a="1"/>
  <c r="B174" i="20" s="1"/>
  <c r="D174" i="20" s="1"/>
  <c r="B175" i="20" a="1"/>
  <c r="B175" i="20" s="1"/>
  <c r="D175" i="20" s="1"/>
  <c r="B176" i="20" a="1"/>
  <c r="B176" i="20" s="1"/>
  <c r="B177" i="20" a="1"/>
  <c r="B177" i="20" s="1"/>
  <c r="B178" i="20" a="1"/>
  <c r="B178" i="20" s="1"/>
  <c r="D178" i="20" s="1"/>
  <c r="B179" i="20" a="1"/>
  <c r="B179" i="20" s="1"/>
  <c r="B180" i="20" a="1"/>
  <c r="B180" i="20" s="1"/>
  <c r="D180" i="20" s="1"/>
  <c r="B181" i="20" a="1"/>
  <c r="B181" i="20" s="1"/>
  <c r="D181" i="20" s="1"/>
  <c r="B182" i="20" a="1"/>
  <c r="B182" i="20" s="1"/>
  <c r="B183" i="20" a="1"/>
  <c r="B183" i="20" s="1"/>
  <c r="D183" i="20" s="1"/>
  <c r="B184" i="20" a="1"/>
  <c r="B184" i="20" s="1"/>
  <c r="D184" i="20" s="1"/>
  <c r="B185" i="20" a="1"/>
  <c r="B185" i="20" s="1"/>
  <c r="D185" i="20" s="1"/>
  <c r="B186" i="20" a="1"/>
  <c r="B186" i="20" s="1"/>
  <c r="B187" i="20" a="1"/>
  <c r="B187" i="20" s="1"/>
  <c r="D187" i="20" s="1"/>
  <c r="B188" i="20" a="1"/>
  <c r="B188" i="20" s="1"/>
  <c r="B189" i="20" a="1"/>
  <c r="B189" i="20" s="1"/>
  <c r="D189" i="20" s="1"/>
  <c r="B152" i="21" a="1"/>
  <c r="B152" i="21" s="1"/>
  <c r="C152" i="21" s="1"/>
  <c r="B153" i="21" a="1"/>
  <c r="B153" i="21" s="1"/>
  <c r="D153" i="21" s="1"/>
  <c r="B154" i="21" a="1"/>
  <c r="B154" i="21" s="1"/>
  <c r="B155" i="21" a="1"/>
  <c r="B155" i="21" s="1"/>
  <c r="B156" i="21" a="1"/>
  <c r="B156" i="21" s="1"/>
  <c r="B157" i="21" a="1"/>
  <c r="B157" i="21" s="1"/>
  <c r="B158" i="21" a="1"/>
  <c r="B158" i="21" s="1"/>
  <c r="B159" i="21" a="1"/>
  <c r="B159" i="21" s="1"/>
  <c r="E159" i="21" s="1"/>
  <c r="B160" i="21" a="1"/>
  <c r="B160" i="21" s="1"/>
  <c r="D160" i="21" s="1"/>
  <c r="B161" i="21" a="1"/>
  <c r="B161" i="21" s="1"/>
  <c r="D161" i="21" s="1"/>
  <c r="B162" i="21" a="1"/>
  <c r="B162" i="21" s="1"/>
  <c r="B163" i="21" a="1"/>
  <c r="B163" i="21" s="1"/>
  <c r="B164" i="21" a="1"/>
  <c r="B164" i="21" s="1"/>
  <c r="D164" i="21" s="1"/>
  <c r="B165" i="21" a="1"/>
  <c r="B165" i="21" s="1"/>
  <c r="B166" i="21" a="1"/>
  <c r="B166" i="21" s="1"/>
  <c r="D166" i="21" s="1"/>
  <c r="B167" i="21" a="1"/>
  <c r="B167" i="21" s="1"/>
  <c r="B168" i="21" a="1"/>
  <c r="B168" i="21" s="1"/>
  <c r="D168" i="21" s="1"/>
  <c r="B169" i="21" a="1"/>
  <c r="B169" i="21" s="1"/>
  <c r="F169" i="21" s="1"/>
  <c r="B170" i="21" a="1"/>
  <c r="B170" i="21" s="1"/>
  <c r="D170" i="21" s="1"/>
  <c r="B171" i="21" a="1"/>
  <c r="B171" i="21" s="1"/>
  <c r="B172" i="21" a="1"/>
  <c r="B172" i="21" s="1"/>
  <c r="B173" i="21" a="1"/>
  <c r="B173" i="21" s="1"/>
  <c r="D173" i="21" s="1"/>
  <c r="B174" i="21" a="1"/>
  <c r="B174" i="21" s="1"/>
  <c r="D174" i="21" s="1"/>
  <c r="B175" i="21" a="1"/>
  <c r="B175" i="21" s="1"/>
  <c r="D175" i="21" s="1"/>
  <c r="B176" i="21" a="1"/>
  <c r="B176" i="21" s="1"/>
  <c r="B177" i="21" a="1"/>
  <c r="B177" i="21" s="1"/>
  <c r="B178" i="21" a="1"/>
  <c r="B178" i="21" s="1"/>
  <c r="D178" i="21" s="1"/>
  <c r="B179" i="21" a="1"/>
  <c r="B179" i="21" s="1"/>
  <c r="B180" i="21" a="1"/>
  <c r="B180" i="21" s="1"/>
  <c r="B181" i="21" a="1"/>
  <c r="B181" i="21" s="1"/>
  <c r="D181" i="21" s="1"/>
  <c r="B182" i="21" a="1"/>
  <c r="B182" i="21" s="1"/>
  <c r="D182" i="21" s="1"/>
  <c r="B183" i="21" a="1"/>
  <c r="B183" i="21" s="1"/>
  <c r="D183" i="21" s="1"/>
  <c r="B184" i="21" a="1"/>
  <c r="B184" i="21" s="1"/>
  <c r="B185" i="21" a="1"/>
  <c r="B185" i="21" s="1"/>
  <c r="F185" i="21" s="1"/>
  <c r="B186" i="21" a="1"/>
  <c r="B186" i="21" s="1"/>
  <c r="D186" i="21" s="1"/>
  <c r="B187" i="21" a="1"/>
  <c r="B187" i="21" s="1"/>
  <c r="B188" i="21" a="1"/>
  <c r="B188" i="21" s="1"/>
  <c r="B189" i="21" a="1"/>
  <c r="B189" i="21" s="1"/>
  <c r="D189" i="21" s="1"/>
  <c r="B110" i="17" a="1"/>
  <c r="B110" i="17" s="1"/>
  <c r="G110" i="17" s="1"/>
  <c r="D111" i="17"/>
  <c r="D114" i="17"/>
  <c r="D116" i="17"/>
  <c r="D117" i="17"/>
  <c r="D125" i="17"/>
  <c r="D127" i="17"/>
  <c r="D130" i="17"/>
  <c r="D131" i="17"/>
  <c r="D132" i="17"/>
  <c r="D134" i="17"/>
  <c r="D135" i="17"/>
  <c r="D137" i="17"/>
  <c r="D138" i="17"/>
  <c r="D140" i="17"/>
  <c r="D141" i="17"/>
  <c r="K142" i="17"/>
  <c r="D145" i="17"/>
  <c r="D146" i="17"/>
  <c r="B110" i="18" a="1"/>
  <c r="B110" i="18" s="1"/>
  <c r="O110" i="18" s="1"/>
  <c r="B111" i="18" a="1"/>
  <c r="B111" i="18" s="1"/>
  <c r="D111" i="18" s="1"/>
  <c r="B112" i="18" a="1"/>
  <c r="B112" i="18" s="1"/>
  <c r="B113" i="18" a="1"/>
  <c r="B113" i="18" s="1"/>
  <c r="B114" i="18" a="1"/>
  <c r="B114" i="18" s="1"/>
  <c r="B115" i="18" a="1"/>
  <c r="B115" i="18" s="1"/>
  <c r="B116" i="18" a="1"/>
  <c r="B116" i="18" s="1"/>
  <c r="B117" i="18" a="1"/>
  <c r="B117" i="18" s="1"/>
  <c r="B118" i="18" a="1"/>
  <c r="B118" i="18" s="1"/>
  <c r="K118" i="18" s="1"/>
  <c r="B119" i="18" a="1"/>
  <c r="B119" i="18" s="1"/>
  <c r="D119" i="18" s="1"/>
  <c r="B120" i="18" a="1"/>
  <c r="B120" i="18" s="1"/>
  <c r="C120" i="18" s="1"/>
  <c r="B121" i="18" a="1"/>
  <c r="B121" i="18" s="1"/>
  <c r="B122" i="18" a="1"/>
  <c r="B122" i="18" s="1"/>
  <c r="B123" i="18" a="1"/>
  <c r="B123" i="18" s="1"/>
  <c r="B124" i="18" a="1"/>
  <c r="B124" i="18" s="1"/>
  <c r="B125" i="18" a="1"/>
  <c r="B125" i="18" s="1"/>
  <c r="B126" i="18" a="1"/>
  <c r="B126" i="18" s="1"/>
  <c r="B127" i="18" a="1"/>
  <c r="B127" i="18" s="1"/>
  <c r="C127" i="18" s="1"/>
  <c r="B128" i="18" a="1"/>
  <c r="B128" i="18" s="1"/>
  <c r="D128" i="18" s="1"/>
  <c r="B129" i="18" a="1"/>
  <c r="B129" i="18" s="1"/>
  <c r="B130" i="18" a="1"/>
  <c r="B130" i="18" s="1"/>
  <c r="D130" i="18" s="1"/>
  <c r="B131" i="18" a="1"/>
  <c r="B131" i="18" s="1"/>
  <c r="B132" i="18" a="1"/>
  <c r="B132" i="18" s="1"/>
  <c r="B133" i="18" a="1"/>
  <c r="B133" i="18" s="1"/>
  <c r="B134" i="18" a="1"/>
  <c r="B134" i="18" s="1"/>
  <c r="C134" i="18" s="1"/>
  <c r="B135" i="18" a="1"/>
  <c r="B135" i="18" s="1"/>
  <c r="D135" i="18" s="1"/>
  <c r="B136" i="18" a="1"/>
  <c r="B136" i="18" s="1"/>
  <c r="B137" i="18" a="1"/>
  <c r="B137" i="18" s="1"/>
  <c r="B138" i="18" a="1"/>
  <c r="B138" i="18" s="1"/>
  <c r="B139" i="18" a="1"/>
  <c r="B139" i="18" s="1"/>
  <c r="B140" i="18" a="1"/>
  <c r="B140" i="18" s="1"/>
  <c r="C140" i="18" s="1"/>
  <c r="B141" i="18" a="1"/>
  <c r="B141" i="18" s="1"/>
  <c r="B142" i="18" a="1"/>
  <c r="B142" i="18" s="1"/>
  <c r="K142" i="18" s="1"/>
  <c r="B143" i="18" a="1"/>
  <c r="B143" i="18" s="1"/>
  <c r="D143" i="18" s="1"/>
  <c r="B144" i="18" a="1"/>
  <c r="B144" i="18" s="1"/>
  <c r="B145" i="18" a="1"/>
  <c r="B145" i="18" s="1"/>
  <c r="B146" i="18" a="1"/>
  <c r="B146" i="18" s="1"/>
  <c r="D146" i="18" s="1"/>
  <c r="B147" i="18" a="1"/>
  <c r="B147" i="18" s="1"/>
  <c r="B110" i="19" a="1"/>
  <c r="B110" i="19" s="1"/>
  <c r="O110" i="19" s="1"/>
  <c r="B111" i="19" a="1"/>
  <c r="B111" i="19" s="1"/>
  <c r="B112" i="19" a="1"/>
  <c r="B112" i="19" s="1"/>
  <c r="C112" i="19" s="1"/>
  <c r="Z32" i="30" s="1"/>
  <c r="B113" i="19" a="1"/>
  <c r="B113" i="19" s="1"/>
  <c r="D113" i="19" s="1"/>
  <c r="B114" i="19" a="1"/>
  <c r="B114" i="19" s="1"/>
  <c r="B115" i="19" a="1"/>
  <c r="B115" i="19" s="1"/>
  <c r="B116" i="19" a="1"/>
  <c r="B116" i="19" s="1"/>
  <c r="B117" i="19" a="1"/>
  <c r="B117" i="19" s="1"/>
  <c r="G117" i="19" s="1"/>
  <c r="B118" i="19" a="1"/>
  <c r="B118" i="19" s="1"/>
  <c r="F118" i="19" s="1"/>
  <c r="B119" i="19" a="1"/>
  <c r="B119" i="19" s="1"/>
  <c r="B120" i="19" a="1"/>
  <c r="B120" i="19" s="1"/>
  <c r="D120" i="19" s="1"/>
  <c r="B121" i="19" a="1"/>
  <c r="B121" i="19" s="1"/>
  <c r="G121" i="19" s="1"/>
  <c r="B122" i="19" a="1"/>
  <c r="B122" i="19" s="1"/>
  <c r="C122" i="19" s="1"/>
  <c r="B123" i="19" a="1"/>
  <c r="B123" i="19" s="1"/>
  <c r="B124" i="19" a="1"/>
  <c r="B124" i="19" s="1"/>
  <c r="D124" i="19" s="1"/>
  <c r="B125" i="19" a="1"/>
  <c r="B125" i="19" s="1"/>
  <c r="B126" i="19" a="1"/>
  <c r="B126" i="19" s="1"/>
  <c r="D126" i="19" s="1"/>
  <c r="B127" i="19" a="1"/>
  <c r="B127" i="19" s="1"/>
  <c r="B128" i="19" a="1"/>
  <c r="B128" i="19" s="1"/>
  <c r="C128" i="19" s="1"/>
  <c r="B129" i="19" a="1"/>
  <c r="B129" i="19" s="1"/>
  <c r="K129" i="19" s="1"/>
  <c r="B130" i="19" a="1"/>
  <c r="B130" i="19" s="1"/>
  <c r="B131" i="19" a="1"/>
  <c r="B131" i="19" s="1"/>
  <c r="D131" i="19" s="1"/>
  <c r="B132" i="19" a="1"/>
  <c r="B132" i="19" s="1"/>
  <c r="B133" i="19" a="1"/>
  <c r="B133" i="19" s="1"/>
  <c r="B134" i="19" a="1"/>
  <c r="B134" i="19" s="1"/>
  <c r="C134" i="19" s="1"/>
  <c r="B135" i="19" a="1"/>
  <c r="B135" i="19" s="1"/>
  <c r="B136" i="19" a="1"/>
  <c r="B136" i="19" s="1"/>
  <c r="D136" i="19" s="1"/>
  <c r="B137" i="19" a="1"/>
  <c r="B137" i="19" s="1"/>
  <c r="K137" i="19" s="1"/>
  <c r="B138" i="19" a="1"/>
  <c r="B138" i="19" s="1"/>
  <c r="C138" i="19" s="1"/>
  <c r="B139" i="19" a="1"/>
  <c r="B139" i="19" s="1"/>
  <c r="B140" i="19" a="1"/>
  <c r="B140" i="19" s="1"/>
  <c r="D140" i="19" s="1"/>
  <c r="B141" i="19" a="1"/>
  <c r="B141" i="19" s="1"/>
  <c r="B142" i="19" a="1"/>
  <c r="B142" i="19" s="1"/>
  <c r="C142" i="19" s="1"/>
  <c r="B143" i="19" a="1"/>
  <c r="B143" i="19" s="1"/>
  <c r="B144" i="19" a="1"/>
  <c r="B144" i="19" s="1"/>
  <c r="B145" i="19" a="1"/>
  <c r="B145" i="19" s="1"/>
  <c r="G145" i="19" s="1"/>
  <c r="B146" i="19" a="1"/>
  <c r="B146" i="19" s="1"/>
  <c r="G146" i="19" s="1"/>
  <c r="B147" i="19" a="1"/>
  <c r="B147" i="19" s="1"/>
  <c r="B110" i="23" a="1"/>
  <c r="B110" i="23" s="1"/>
  <c r="B111" i="23" a="1"/>
  <c r="B111" i="23" s="1"/>
  <c r="B112" i="23" a="1"/>
  <c r="B112" i="23" s="1"/>
  <c r="C112" i="23" s="1"/>
  <c r="AB80" i="30" s="1"/>
  <c r="B113" i="23" a="1"/>
  <c r="B113" i="23" s="1"/>
  <c r="B114" i="23" a="1"/>
  <c r="B114" i="23" s="1"/>
  <c r="B115" i="23" a="1"/>
  <c r="B115" i="23" s="1"/>
  <c r="K115" i="23" s="1"/>
  <c r="B116" i="23" a="1"/>
  <c r="B116" i="23" s="1"/>
  <c r="C116" i="23" s="1"/>
  <c r="AB84" i="30" s="1"/>
  <c r="B117" i="23" a="1"/>
  <c r="B117" i="23" s="1"/>
  <c r="B118" i="23" a="1"/>
  <c r="B118" i="23" s="1"/>
  <c r="B119" i="23" a="1"/>
  <c r="B119" i="23" s="1"/>
  <c r="B120" i="23" a="1"/>
  <c r="B120" i="23" s="1"/>
  <c r="C120" i="23" s="1"/>
  <c r="AB88" i="30" s="1"/>
  <c r="B121" i="23" a="1"/>
  <c r="B121" i="23" s="1"/>
  <c r="B122" i="23" a="1"/>
  <c r="B122" i="23" s="1"/>
  <c r="D122" i="23" s="1"/>
  <c r="B123" i="23" a="1"/>
  <c r="B123" i="23" s="1"/>
  <c r="K123" i="23" s="1"/>
  <c r="B124" i="23" a="1"/>
  <c r="B124" i="23" s="1"/>
  <c r="C124" i="23" s="1"/>
  <c r="AB92" i="30" s="1"/>
  <c r="B125" i="23" a="1"/>
  <c r="B125" i="23" s="1"/>
  <c r="B126" i="23" a="1"/>
  <c r="B126" i="23" s="1"/>
  <c r="D126" i="23" s="1"/>
  <c r="B127" i="23" a="1"/>
  <c r="B127" i="23" s="1"/>
  <c r="D127" i="23" s="1"/>
  <c r="B128" i="23" a="1"/>
  <c r="B128" i="23" s="1"/>
  <c r="C128" i="23" s="1"/>
  <c r="AB96" i="30" s="1"/>
  <c r="B129" i="23" a="1"/>
  <c r="B129" i="23" s="1"/>
  <c r="D129" i="23" s="1"/>
  <c r="B130" i="23" a="1"/>
  <c r="B130" i="23" s="1"/>
  <c r="B131" i="23" a="1"/>
  <c r="B131" i="23" s="1"/>
  <c r="C131" i="23" s="1"/>
  <c r="AB99" i="30" s="1"/>
  <c r="B132" i="23" a="1"/>
  <c r="B132" i="23" s="1"/>
  <c r="D132" i="23" s="1"/>
  <c r="B133" i="23" a="1"/>
  <c r="B133" i="23" s="1"/>
  <c r="B134" i="23" a="1"/>
  <c r="B134" i="23" s="1"/>
  <c r="D134" i="23" s="1"/>
  <c r="B135" i="23" a="1"/>
  <c r="B135" i="23" s="1"/>
  <c r="B136" i="23" a="1"/>
  <c r="B136" i="23" s="1"/>
  <c r="D136" i="23" s="1"/>
  <c r="B137" i="23" a="1"/>
  <c r="B137" i="23" s="1"/>
  <c r="B138" i="23" a="1"/>
  <c r="B138" i="23" s="1"/>
  <c r="D138" i="23" s="1"/>
  <c r="B139" i="23" a="1"/>
  <c r="B139" i="23" s="1"/>
  <c r="B140" i="23" a="1"/>
  <c r="B140" i="23" s="1"/>
  <c r="B141" i="23" a="1"/>
  <c r="B141" i="23" s="1"/>
  <c r="B142" i="23" a="1"/>
  <c r="B142" i="23" s="1"/>
  <c r="D142" i="23" s="1"/>
  <c r="B143" i="23" a="1"/>
  <c r="B143" i="23" s="1"/>
  <c r="B144" i="23" a="1"/>
  <c r="B144" i="23" s="1"/>
  <c r="B145" i="23" a="1"/>
  <c r="B145" i="23" s="1"/>
  <c r="D145" i="23" s="1"/>
  <c r="B146" i="23" a="1"/>
  <c r="B146" i="23" s="1"/>
  <c r="B147" i="23" a="1"/>
  <c r="B147" i="23" s="1"/>
  <c r="B110" i="6" a="1"/>
  <c r="B110" i="6" s="1"/>
  <c r="C110" i="6" s="1"/>
  <c r="R78" i="30" s="1"/>
  <c r="B111" i="6" a="1"/>
  <c r="B111" i="6" s="1"/>
  <c r="B112" i="6" a="1"/>
  <c r="B112" i="6" s="1"/>
  <c r="K112" i="6" s="1"/>
  <c r="B113" i="6" a="1"/>
  <c r="B113" i="6" s="1"/>
  <c r="B114" i="6" a="1"/>
  <c r="B114" i="6" s="1"/>
  <c r="D114" i="6" s="1"/>
  <c r="B115" i="6" a="1"/>
  <c r="B115" i="6" s="1"/>
  <c r="D115" i="6" s="1"/>
  <c r="B116" i="6" a="1"/>
  <c r="B116" i="6" s="1"/>
  <c r="B117" i="6" a="1"/>
  <c r="B117" i="6" s="1"/>
  <c r="B118" i="6" a="1"/>
  <c r="B118" i="6" s="1"/>
  <c r="B119" i="6" a="1"/>
  <c r="B119" i="6" s="1"/>
  <c r="D119" i="6" s="1"/>
  <c r="B120" i="6" a="1"/>
  <c r="B120" i="6" s="1"/>
  <c r="C120" i="6" s="1"/>
  <c r="R88" i="30" s="1"/>
  <c r="B121" i="6" a="1"/>
  <c r="B121" i="6" s="1"/>
  <c r="B122" i="6" a="1"/>
  <c r="B122" i="6" s="1"/>
  <c r="B123" i="6" a="1"/>
  <c r="B123" i="6" s="1"/>
  <c r="B124" i="6" a="1"/>
  <c r="B124" i="6" s="1"/>
  <c r="B125" i="6" a="1"/>
  <c r="B125" i="6" s="1"/>
  <c r="B126" i="6" a="1"/>
  <c r="B126" i="6" s="1"/>
  <c r="D126" i="6" s="1"/>
  <c r="B127" i="6" a="1"/>
  <c r="B127" i="6" s="1"/>
  <c r="B128" i="6" a="1"/>
  <c r="B128" i="6" s="1"/>
  <c r="D128" i="6" s="1"/>
  <c r="B129" i="6" a="1"/>
  <c r="B129" i="6" s="1"/>
  <c r="B130" i="6" a="1"/>
  <c r="B130" i="6" s="1"/>
  <c r="D130" i="6" s="1"/>
  <c r="B131" i="6" a="1"/>
  <c r="B131" i="6" s="1"/>
  <c r="B132" i="6" a="1"/>
  <c r="B132" i="6" s="1"/>
  <c r="D132" i="6" s="1"/>
  <c r="B133" i="6" a="1"/>
  <c r="B133" i="6" s="1"/>
  <c r="D133" i="6" s="1"/>
  <c r="B134" i="6" a="1"/>
  <c r="B134" i="6" s="1"/>
  <c r="B135" i="6" a="1"/>
  <c r="B135" i="6" s="1"/>
  <c r="B136" i="6" a="1"/>
  <c r="B136" i="6" s="1"/>
  <c r="B137" i="6" a="1"/>
  <c r="B137" i="6" s="1"/>
  <c r="B138" i="6" a="1"/>
  <c r="B138" i="6" s="1"/>
  <c r="D138" i="6" s="1"/>
  <c r="B139" i="6" a="1"/>
  <c r="B139" i="6" s="1"/>
  <c r="B140" i="6" a="1"/>
  <c r="B140" i="6" s="1"/>
  <c r="B141" i="6" a="1"/>
  <c r="B141" i="6" s="1"/>
  <c r="B142" i="6" a="1"/>
  <c r="B142" i="6" s="1"/>
  <c r="B143" i="6" a="1"/>
  <c r="B143" i="6" s="1"/>
  <c r="B144" i="6" a="1"/>
  <c r="B144" i="6" s="1"/>
  <c r="D144" i="6" s="1"/>
  <c r="B145" i="6" a="1"/>
  <c r="B145" i="6" s="1"/>
  <c r="D145" i="6" s="1"/>
  <c r="B146" i="6" a="1"/>
  <c r="B146" i="6" s="1"/>
  <c r="B147" i="6" a="1"/>
  <c r="B147" i="6" s="1"/>
  <c r="B110" i="28" a="1"/>
  <c r="B110" i="28" s="1"/>
  <c r="K110" i="28" s="1"/>
  <c r="B111" i="28" a="1"/>
  <c r="B111" i="28" s="1"/>
  <c r="B112" i="28" a="1"/>
  <c r="B112" i="28" s="1"/>
  <c r="D112" i="28" s="1"/>
  <c r="B113" i="28" a="1"/>
  <c r="B113" i="28" s="1"/>
  <c r="B114" i="28" a="1"/>
  <c r="B114" i="28" s="1"/>
  <c r="B115" i="28" a="1"/>
  <c r="B115" i="28" s="1"/>
  <c r="D115" i="28" s="1"/>
  <c r="B116" i="28" a="1"/>
  <c r="B116" i="28" s="1"/>
  <c r="K116" i="28" s="1"/>
  <c r="B117" i="28" a="1"/>
  <c r="B117" i="28" s="1"/>
  <c r="K117" i="28" s="1"/>
  <c r="B118" i="28" a="1"/>
  <c r="B118" i="28" s="1"/>
  <c r="B119" i="28" a="1"/>
  <c r="B119" i="28" s="1"/>
  <c r="B120" i="28" a="1"/>
  <c r="B120" i="28" s="1"/>
  <c r="D120" i="28" s="1"/>
  <c r="B121" i="28" a="1"/>
  <c r="B121" i="28" s="1"/>
  <c r="B122" i="28" a="1"/>
  <c r="B122" i="28" s="1"/>
  <c r="B123" i="28" a="1"/>
  <c r="B123" i="28" s="1"/>
  <c r="D123" i="28" s="1"/>
  <c r="B124" i="28" a="1"/>
  <c r="B124" i="28" s="1"/>
  <c r="B125" i="28" a="1"/>
  <c r="B125" i="28" s="1"/>
  <c r="I125" i="28" s="1"/>
  <c r="B126" i="28" a="1"/>
  <c r="B126" i="28" s="1"/>
  <c r="B127" i="28" a="1"/>
  <c r="B127" i="28" s="1"/>
  <c r="B128" i="28" a="1"/>
  <c r="B128" i="28" s="1"/>
  <c r="D128" i="28" s="1"/>
  <c r="B129" i="28" a="1"/>
  <c r="B129" i="28" s="1"/>
  <c r="B130" i="28" a="1"/>
  <c r="B130" i="28" s="1"/>
  <c r="D130" i="28" s="1"/>
  <c r="B131" i="28" a="1"/>
  <c r="B131" i="28" s="1"/>
  <c r="B132" i="28" a="1"/>
  <c r="B132" i="28" s="1"/>
  <c r="B133" i="28" a="1"/>
  <c r="B133" i="28" s="1"/>
  <c r="C133" i="28" s="1"/>
  <c r="B134" i="28" a="1"/>
  <c r="B134" i="28" s="1"/>
  <c r="D134" i="28" s="1"/>
  <c r="B135" i="28" a="1"/>
  <c r="B135" i="28" s="1"/>
  <c r="B136" i="28" a="1"/>
  <c r="B136" i="28" s="1"/>
  <c r="D136" i="28" s="1"/>
  <c r="B137" i="28" a="1"/>
  <c r="B137" i="28" s="1"/>
  <c r="B138" i="28" a="1"/>
  <c r="B138" i="28" s="1"/>
  <c r="B139" i="28" a="1"/>
  <c r="B139" i="28" s="1"/>
  <c r="B140" i="28" a="1"/>
  <c r="B140" i="28" s="1"/>
  <c r="B141" i="28" a="1"/>
  <c r="B141" i="28" s="1"/>
  <c r="I141" i="28" s="1"/>
  <c r="B142" i="28" a="1"/>
  <c r="B142" i="28" s="1"/>
  <c r="B143" i="28" a="1"/>
  <c r="B143" i="28" s="1"/>
  <c r="B144" i="28" a="1"/>
  <c r="B144" i="28" s="1"/>
  <c r="D144" i="28" s="1"/>
  <c r="B145" i="28" a="1"/>
  <c r="B145" i="28" s="1"/>
  <c r="B146" i="28" a="1"/>
  <c r="B146" i="28" s="1"/>
  <c r="B147" i="28" a="1"/>
  <c r="B147" i="28" s="1"/>
  <c r="D147" i="28" s="1"/>
  <c r="B110" i="20" a="1"/>
  <c r="B110" i="20" s="1"/>
  <c r="B111" i="20" a="1"/>
  <c r="B111" i="20" s="1"/>
  <c r="D111" i="20" s="1"/>
  <c r="B112" i="20" a="1"/>
  <c r="B112" i="20" s="1"/>
  <c r="D112" i="20" s="1"/>
  <c r="B113" i="20" a="1"/>
  <c r="B113" i="20" s="1"/>
  <c r="B114" i="20" a="1"/>
  <c r="B114" i="20" s="1"/>
  <c r="B115" i="20" a="1"/>
  <c r="B115" i="20" s="1"/>
  <c r="B116" i="20" a="1"/>
  <c r="B116" i="20" s="1"/>
  <c r="B117" i="20" a="1"/>
  <c r="B117" i="20" s="1"/>
  <c r="B118" i="20" a="1"/>
  <c r="B118" i="20" s="1"/>
  <c r="B119" i="20" a="1"/>
  <c r="B119" i="20" s="1"/>
  <c r="D119" i="20" s="1"/>
  <c r="B120" i="20" a="1"/>
  <c r="B120" i="20" s="1"/>
  <c r="B121" i="20" a="1"/>
  <c r="B121" i="20" s="1"/>
  <c r="B122" i="20" a="1"/>
  <c r="B122" i="20" s="1"/>
  <c r="D122" i="20" s="1"/>
  <c r="B123" i="20" a="1"/>
  <c r="B123" i="20" s="1"/>
  <c r="B124" i="20" a="1"/>
  <c r="B124" i="20" s="1"/>
  <c r="B125" i="20" a="1"/>
  <c r="B125" i="20" s="1"/>
  <c r="D125" i="20" s="1"/>
  <c r="B126" i="20" a="1"/>
  <c r="B126" i="20" s="1"/>
  <c r="D126" i="20" s="1"/>
  <c r="B127" i="20" a="1"/>
  <c r="B127" i="20" s="1"/>
  <c r="B128" i="20" a="1"/>
  <c r="B128" i="20" s="1"/>
  <c r="B129" i="20" a="1"/>
  <c r="B129" i="20" s="1"/>
  <c r="B130" i="20" a="1"/>
  <c r="B130" i="20" s="1"/>
  <c r="B131" i="20" a="1"/>
  <c r="B131" i="20" s="1"/>
  <c r="D131" i="20" s="1"/>
  <c r="B132" i="20" a="1"/>
  <c r="B132" i="20" s="1"/>
  <c r="D132" i="20" s="1"/>
  <c r="B133" i="20" a="1"/>
  <c r="B133" i="20" s="1"/>
  <c r="D133" i="20" s="1"/>
  <c r="B134" i="20" a="1"/>
  <c r="B134" i="20" s="1"/>
  <c r="D134" i="20" s="1"/>
  <c r="B135" i="20" a="1"/>
  <c r="B135" i="20" s="1"/>
  <c r="B136" i="20" a="1"/>
  <c r="B136" i="20" s="1"/>
  <c r="B137" i="20" a="1"/>
  <c r="B137" i="20" s="1"/>
  <c r="D137" i="20" s="1"/>
  <c r="B138" i="20" a="1"/>
  <c r="B138" i="20" s="1"/>
  <c r="B139" i="20" a="1"/>
  <c r="B139" i="20" s="1"/>
  <c r="B140" i="20" a="1"/>
  <c r="B140" i="20" s="1"/>
  <c r="B141" i="20" a="1"/>
  <c r="B141" i="20" s="1"/>
  <c r="D141" i="20" s="1"/>
  <c r="B142" i="20" a="1"/>
  <c r="B142" i="20" s="1"/>
  <c r="D142" i="20" s="1"/>
  <c r="B143" i="20" a="1"/>
  <c r="B143" i="20" s="1"/>
  <c r="B144" i="20" a="1"/>
  <c r="B144" i="20" s="1"/>
  <c r="B145" i="20" a="1"/>
  <c r="B145" i="20" s="1"/>
  <c r="B146" i="20" a="1"/>
  <c r="B146" i="20" s="1"/>
  <c r="D146" i="20" s="1"/>
  <c r="B147" i="20" a="1"/>
  <c r="B147" i="20" s="1"/>
  <c r="B110" i="21" a="1"/>
  <c r="B110" i="21" s="1"/>
  <c r="O110" i="21" s="1"/>
  <c r="B111" i="21" a="1"/>
  <c r="B111" i="21" s="1"/>
  <c r="B112" i="21" a="1"/>
  <c r="B112" i="21" s="1"/>
  <c r="B113" i="21" a="1"/>
  <c r="B113" i="21" s="1"/>
  <c r="D113" i="21" s="1"/>
  <c r="B114" i="21" a="1"/>
  <c r="B114" i="21" s="1"/>
  <c r="B115" i="21" a="1"/>
  <c r="B115" i="21" s="1"/>
  <c r="B116" i="21" a="1"/>
  <c r="B116" i="21" s="1"/>
  <c r="B117" i="21" a="1"/>
  <c r="B117" i="21" s="1"/>
  <c r="B118" i="21" a="1"/>
  <c r="B118" i="21" s="1"/>
  <c r="B119" i="21" a="1"/>
  <c r="B119" i="21" s="1"/>
  <c r="D119" i="21" s="1"/>
  <c r="B120" i="21" a="1"/>
  <c r="B120" i="21" s="1"/>
  <c r="B121" i="21" a="1"/>
  <c r="B121" i="21" s="1"/>
  <c r="B122" i="21" a="1"/>
  <c r="B122" i="21" s="1"/>
  <c r="B123" i="21" a="1"/>
  <c r="B123" i="21" s="1"/>
  <c r="B124" i="21" a="1"/>
  <c r="B124" i="21" s="1"/>
  <c r="B125" i="21" a="1"/>
  <c r="B125" i="21" s="1"/>
  <c r="B126" i="21" a="1"/>
  <c r="B126" i="21" s="1"/>
  <c r="B127" i="21" a="1"/>
  <c r="B127" i="21" s="1"/>
  <c r="B128" i="21" a="1"/>
  <c r="B128" i="21" s="1"/>
  <c r="B129" i="21" a="1"/>
  <c r="B129" i="21" s="1"/>
  <c r="D129" i="21" s="1"/>
  <c r="B130" i="21" a="1"/>
  <c r="B130" i="21" s="1"/>
  <c r="B131" i="21" a="1"/>
  <c r="B131" i="21" s="1"/>
  <c r="B132" i="21" a="1"/>
  <c r="B132" i="21" s="1"/>
  <c r="B133" i="21" a="1"/>
  <c r="B133" i="21" s="1"/>
  <c r="B134" i="21" a="1"/>
  <c r="B134" i="21" s="1"/>
  <c r="B135" i="21" a="1"/>
  <c r="B135" i="21" s="1"/>
  <c r="B136" i="21" a="1"/>
  <c r="B136" i="21" s="1"/>
  <c r="B137" i="21" a="1"/>
  <c r="B137" i="21" s="1"/>
  <c r="D137" i="21" s="1"/>
  <c r="B138" i="21" a="1"/>
  <c r="B138" i="21" s="1"/>
  <c r="B139" i="21" a="1"/>
  <c r="B139" i="21" s="1"/>
  <c r="B140" i="21" a="1"/>
  <c r="B140" i="21" s="1"/>
  <c r="B141" i="21" a="1"/>
  <c r="B141" i="21" s="1"/>
  <c r="B142" i="21" a="1"/>
  <c r="B142" i="21" s="1"/>
  <c r="B143" i="21" a="1"/>
  <c r="B143" i="21" s="1"/>
  <c r="B144" i="21" a="1"/>
  <c r="B144" i="21" s="1"/>
  <c r="B145" i="21" a="1"/>
  <c r="B145" i="21" s="1"/>
  <c r="D145" i="21" s="1"/>
  <c r="B146" i="21" a="1"/>
  <c r="B146" i="21" s="1"/>
  <c r="B147" i="21" a="1"/>
  <c r="B147" i="21" s="1"/>
  <c r="G130" i="17"/>
  <c r="K130" i="17"/>
  <c r="K132" i="17"/>
  <c r="K141" i="17"/>
  <c r="B9" i="24" a="1"/>
  <c r="B9" i="24" s="1"/>
  <c r="B10" i="24" a="1"/>
  <c r="B10" i="24" s="1"/>
  <c r="B11" i="24" a="1"/>
  <c r="B11" i="24" s="1"/>
  <c r="B12" i="24" a="1"/>
  <c r="B12" i="24" s="1"/>
  <c r="B13" i="24" a="1"/>
  <c r="B13" i="24" s="1"/>
  <c r="B14" i="24" a="1"/>
  <c r="B14" i="24" s="1"/>
  <c r="D14" i="24" s="1"/>
  <c r="B15" i="24" a="1"/>
  <c r="B15" i="24" s="1"/>
  <c r="D15" i="24" s="1"/>
  <c r="B16" i="24" a="1"/>
  <c r="B16" i="24" s="1"/>
  <c r="D16" i="24" s="1"/>
  <c r="B17" i="24" a="1"/>
  <c r="B17" i="24" s="1"/>
  <c r="D17" i="24" s="1"/>
  <c r="B18" i="24" a="1"/>
  <c r="B18" i="24" s="1"/>
  <c r="D18" i="24" s="1"/>
  <c r="B19" i="24" a="1"/>
  <c r="B19" i="24" s="1"/>
  <c r="D19" i="24" s="1"/>
  <c r="B20" i="24" a="1"/>
  <c r="B20" i="24" s="1"/>
  <c r="D20" i="24" s="1"/>
  <c r="B21" i="24" a="1"/>
  <c r="B21" i="24" s="1"/>
  <c r="D21" i="24" s="1"/>
  <c r="B22" i="24" a="1"/>
  <c r="B22" i="24" s="1"/>
  <c r="D22" i="24" s="1"/>
  <c r="B23" i="24" a="1"/>
  <c r="B23" i="24" s="1"/>
  <c r="D23" i="24" s="1"/>
  <c r="B24" i="24" a="1"/>
  <c r="B24" i="24" s="1"/>
  <c r="D24" i="24" s="1"/>
  <c r="B25" i="24" a="1"/>
  <c r="B25" i="24" s="1"/>
  <c r="D25" i="24" s="1"/>
  <c r="B26" i="24" a="1"/>
  <c r="B26" i="24" s="1"/>
  <c r="D26" i="24" s="1"/>
  <c r="B27" i="24" a="1"/>
  <c r="B27" i="24" s="1"/>
  <c r="D27" i="24" s="1"/>
  <c r="B28" i="24" a="1"/>
  <c r="B28" i="24" s="1"/>
  <c r="D28" i="24" s="1"/>
  <c r="B29" i="24" a="1"/>
  <c r="B29" i="24" s="1"/>
  <c r="D29" i="24" s="1"/>
  <c r="B30" i="24" a="1"/>
  <c r="B30" i="24" s="1"/>
  <c r="D30" i="24" s="1"/>
  <c r="B31" i="24" a="1"/>
  <c r="B31" i="24" s="1"/>
  <c r="D31" i="24" s="1"/>
  <c r="B60" i="24" a="1"/>
  <c r="B60" i="24" s="1"/>
  <c r="B61" i="24" a="1"/>
  <c r="B61" i="24" s="1"/>
  <c r="B62" i="24" a="1"/>
  <c r="B62" i="24" s="1"/>
  <c r="B63" i="24" a="1"/>
  <c r="B63" i="24" s="1"/>
  <c r="D63" i="24" s="1"/>
  <c r="B64" i="24" a="1"/>
  <c r="B64" i="24" s="1"/>
  <c r="B65" i="24" a="1"/>
  <c r="B65" i="24" s="1"/>
  <c r="D65" i="24" s="1"/>
  <c r="B66" i="24" a="1"/>
  <c r="B66" i="24" s="1"/>
  <c r="B67" i="24" a="1"/>
  <c r="B67" i="24" s="1"/>
  <c r="D67" i="24" s="1"/>
  <c r="B68" i="24" a="1"/>
  <c r="B68" i="24" s="1"/>
  <c r="B69" i="24" a="1"/>
  <c r="B69" i="24" s="1"/>
  <c r="D69" i="24" s="1"/>
  <c r="B70" i="24" a="1"/>
  <c r="B70" i="24" s="1"/>
  <c r="B71" i="24" a="1"/>
  <c r="B71" i="24" s="1"/>
  <c r="D71" i="24" s="1"/>
  <c r="B72" i="24" a="1"/>
  <c r="B72" i="24" s="1"/>
  <c r="B73" i="24" a="1"/>
  <c r="B73" i="24" s="1"/>
  <c r="D73" i="24" s="1"/>
  <c r="B74" i="24" a="1"/>
  <c r="B74" i="24" s="1"/>
  <c r="B75" i="24" a="1"/>
  <c r="B75" i="24" s="1"/>
  <c r="D75" i="24" s="1"/>
  <c r="B76" i="24" a="1"/>
  <c r="B76" i="24" s="1"/>
  <c r="B77" i="24" a="1"/>
  <c r="B77" i="24" s="1"/>
  <c r="D77" i="24" s="1"/>
  <c r="B78" i="24" a="1"/>
  <c r="B78" i="24" s="1"/>
  <c r="B79" i="24" a="1"/>
  <c r="B79" i="24" s="1"/>
  <c r="D79" i="24" s="1"/>
  <c r="B80" i="24" a="1"/>
  <c r="B80" i="24" s="1"/>
  <c r="B81" i="24" a="1"/>
  <c r="B81" i="24" s="1"/>
  <c r="D81" i="24" s="1"/>
  <c r="B82" i="24" a="1"/>
  <c r="B82" i="24" s="1"/>
  <c r="B83" i="24" a="1"/>
  <c r="B83" i="24" s="1"/>
  <c r="D83" i="24" s="1"/>
  <c r="B84" i="24" a="1"/>
  <c r="B84" i="24" s="1"/>
  <c r="B85" i="24" a="1"/>
  <c r="B85" i="24" s="1"/>
  <c r="D85" i="24" s="1"/>
  <c r="B86" i="24" a="1"/>
  <c r="B86" i="24" s="1"/>
  <c r="B87" i="24" a="1"/>
  <c r="B87" i="24" s="1"/>
  <c r="D87" i="24" s="1"/>
  <c r="B88" i="24" a="1"/>
  <c r="B88" i="24" s="1"/>
  <c r="B89" i="24" a="1"/>
  <c r="B89" i="24" s="1"/>
  <c r="D89" i="24" s="1"/>
  <c r="B90" i="24" a="1"/>
  <c r="B90" i="24" s="1"/>
  <c r="B91" i="24" a="1"/>
  <c r="B91" i="24" s="1"/>
  <c r="D91" i="24" s="1"/>
  <c r="B92" i="24" a="1"/>
  <c r="B92" i="24" s="1"/>
  <c r="B93" i="24" a="1"/>
  <c r="B93" i="24" s="1"/>
  <c r="D93" i="24" s="1"/>
  <c r="B94" i="24" a="1"/>
  <c r="B94" i="24" s="1"/>
  <c r="B95" i="24" a="1"/>
  <c r="B95" i="24" s="1"/>
  <c r="D95" i="24" s="1"/>
  <c r="B96" i="24" a="1"/>
  <c r="B96" i="24" s="1"/>
  <c r="B97" i="24" a="1"/>
  <c r="B97" i="24" s="1"/>
  <c r="D97" i="24" s="1"/>
  <c r="C23" i="17"/>
  <c r="C31" i="17"/>
  <c r="C24" i="19"/>
  <c r="C25" i="19"/>
  <c r="C30" i="19"/>
  <c r="C21" i="6"/>
  <c r="R62" i="30" s="1"/>
  <c r="C22" i="28"/>
  <c r="C24" i="28"/>
  <c r="C22" i="21"/>
  <c r="C23" i="21"/>
  <c r="C24" i="21"/>
  <c r="C28" i="21"/>
  <c r="B52" i="17" a="1"/>
  <c r="B52" i="17" s="1"/>
  <c r="C52" i="17" s="1"/>
  <c r="H24" i="30" s="1"/>
  <c r="H5" i="3"/>
  <c r="B53" i="17" a="1"/>
  <c r="B53" i="17" s="1"/>
  <c r="D53" i="17" s="1"/>
  <c r="B54" i="17" a="1"/>
  <c r="B54" i="17" s="1"/>
  <c r="B55" i="17" a="1"/>
  <c r="B55" i="17" s="1"/>
  <c r="D55" i="17" s="1"/>
  <c r="B56" i="17" a="1"/>
  <c r="B56" i="17" s="1"/>
  <c r="B57" i="17" a="1"/>
  <c r="B57" i="17" s="1"/>
  <c r="D57" i="17" s="1"/>
  <c r="B58" i="17" a="1"/>
  <c r="B58" i="17" s="1"/>
  <c r="B59" i="17" a="1"/>
  <c r="B59" i="17" s="1"/>
  <c r="D59" i="17" s="1"/>
  <c r="B60" i="17" a="1"/>
  <c r="B60" i="17" s="1"/>
  <c r="D60" i="17" s="1"/>
  <c r="B61" i="17" a="1"/>
  <c r="B61" i="17" s="1"/>
  <c r="D61" i="17" s="1"/>
  <c r="B62" i="17" a="1"/>
  <c r="B62" i="17" s="1"/>
  <c r="D62" i="17" s="1"/>
  <c r="B63" i="17" a="1"/>
  <c r="B63" i="17" s="1"/>
  <c r="D63" i="17" s="1"/>
  <c r="B64" i="17" a="1"/>
  <c r="B64" i="17" s="1"/>
  <c r="B65" i="17" a="1"/>
  <c r="B65" i="17" s="1"/>
  <c r="D65" i="17" s="1"/>
  <c r="B66" i="17" a="1"/>
  <c r="B66" i="17" s="1"/>
  <c r="B67" i="17" a="1"/>
  <c r="B67" i="17" s="1"/>
  <c r="D67" i="17" s="1"/>
  <c r="B68" i="17" a="1"/>
  <c r="B68" i="17" s="1"/>
  <c r="D68" i="17" s="1"/>
  <c r="B69" i="17" a="1"/>
  <c r="B69" i="17" s="1"/>
  <c r="D69" i="17" s="1"/>
  <c r="B70" i="17" a="1"/>
  <c r="B70" i="17" s="1"/>
  <c r="B71" i="17" a="1"/>
  <c r="B71" i="17" s="1"/>
  <c r="D71" i="17" s="1"/>
  <c r="B72" i="17" a="1"/>
  <c r="B72" i="17" s="1"/>
  <c r="B73" i="17" a="1"/>
  <c r="B73" i="17" s="1"/>
  <c r="D73" i="17" s="1"/>
  <c r="B74" i="17" a="1"/>
  <c r="B74" i="17" s="1"/>
  <c r="D74" i="17" s="1"/>
  <c r="B52" i="18" a="1"/>
  <c r="B52" i="18" s="1"/>
  <c r="B53" i="18" a="1"/>
  <c r="B53" i="18" s="1"/>
  <c r="D53" i="18" s="1"/>
  <c r="B54" i="18" a="1"/>
  <c r="B54" i="18" s="1"/>
  <c r="D54" i="18" s="1"/>
  <c r="B55" i="18" a="1"/>
  <c r="B55" i="18" s="1"/>
  <c r="D55" i="18" s="1"/>
  <c r="B56" i="18" a="1"/>
  <c r="B56" i="18" s="1"/>
  <c r="D56" i="18" s="1"/>
  <c r="B57" i="18" a="1"/>
  <c r="B57" i="18" s="1"/>
  <c r="B58" i="18" a="1"/>
  <c r="B58" i="18" s="1"/>
  <c r="D58" i="18" s="1"/>
  <c r="B59" i="18" a="1"/>
  <c r="B59" i="18" s="1"/>
  <c r="B60" i="18" a="1"/>
  <c r="B60" i="18" s="1"/>
  <c r="D60" i="18" s="1"/>
  <c r="B61" i="18" a="1"/>
  <c r="B61" i="18" s="1"/>
  <c r="D61" i="18" s="1"/>
  <c r="B62" i="18" a="1"/>
  <c r="B62" i="18" s="1"/>
  <c r="D62" i="18" s="1"/>
  <c r="B63" i="18" a="1"/>
  <c r="B63" i="18" s="1"/>
  <c r="B64" i="18" a="1"/>
  <c r="B64" i="18" s="1"/>
  <c r="D64" i="18" s="1"/>
  <c r="B65" i="18" a="1"/>
  <c r="B65" i="18" s="1"/>
  <c r="B66" i="18" a="1"/>
  <c r="B66" i="18" s="1"/>
  <c r="D66" i="18" s="1"/>
  <c r="B67" i="18" a="1"/>
  <c r="B67" i="18" s="1"/>
  <c r="D67" i="18" s="1"/>
  <c r="B68" i="18" a="1"/>
  <c r="B68" i="18" s="1"/>
  <c r="D68" i="18" s="1"/>
  <c r="B69" i="18" a="1"/>
  <c r="B69" i="18" s="1"/>
  <c r="D69" i="18" s="1"/>
  <c r="B70" i="18" a="1"/>
  <c r="B70" i="18" s="1"/>
  <c r="D70" i="18" s="1"/>
  <c r="B71" i="18" a="1"/>
  <c r="B71" i="18" s="1"/>
  <c r="D71" i="18" s="1"/>
  <c r="B72" i="18" a="1"/>
  <c r="B72" i="18" s="1"/>
  <c r="D72" i="18" s="1"/>
  <c r="B73" i="18" a="1"/>
  <c r="B73" i="18" s="1"/>
  <c r="B74" i="18" a="1"/>
  <c r="B74" i="18" s="1"/>
  <c r="D74" i="18" s="1"/>
  <c r="B52" i="19" a="1"/>
  <c r="B52" i="19" s="1"/>
  <c r="B53" i="19" a="1"/>
  <c r="B53" i="19" s="1"/>
  <c r="D53" i="19" s="1"/>
  <c r="B54" i="19" a="1"/>
  <c r="B54" i="19" s="1"/>
  <c r="D54" i="19" s="1"/>
  <c r="B55" i="19" a="1"/>
  <c r="B55" i="19" s="1"/>
  <c r="D55" i="19" s="1"/>
  <c r="B56" i="19" a="1"/>
  <c r="B56" i="19" s="1"/>
  <c r="D56" i="19" s="1"/>
  <c r="B57" i="19" a="1"/>
  <c r="B57" i="19" s="1"/>
  <c r="D57" i="19" s="1"/>
  <c r="B58" i="19" a="1"/>
  <c r="B58" i="19" s="1"/>
  <c r="D58" i="19" s="1"/>
  <c r="B59" i="19" a="1"/>
  <c r="B59" i="19" s="1"/>
  <c r="D59" i="19" s="1"/>
  <c r="B60" i="19" a="1"/>
  <c r="B60" i="19" s="1"/>
  <c r="D60" i="19" s="1"/>
  <c r="B61" i="19" a="1"/>
  <c r="B61" i="19" s="1"/>
  <c r="D61" i="19" s="1"/>
  <c r="B62" i="19" a="1"/>
  <c r="B62" i="19" s="1"/>
  <c r="D62" i="19" s="1"/>
  <c r="B63" i="19" a="1"/>
  <c r="B63" i="19" s="1"/>
  <c r="D63" i="19" s="1"/>
  <c r="B64" i="19" a="1"/>
  <c r="B64" i="19" s="1"/>
  <c r="D64" i="19" s="1"/>
  <c r="B65" i="19" a="1"/>
  <c r="B65" i="19" s="1"/>
  <c r="D65" i="19" s="1"/>
  <c r="B66" i="19" a="1"/>
  <c r="B66" i="19" s="1"/>
  <c r="D66" i="19" s="1"/>
  <c r="B67" i="19" a="1"/>
  <c r="B67" i="19" s="1"/>
  <c r="D67" i="19" s="1"/>
  <c r="B68" i="19" a="1"/>
  <c r="B68" i="19" s="1"/>
  <c r="D68" i="19" s="1"/>
  <c r="B69" i="19" a="1"/>
  <c r="B69" i="19" s="1"/>
  <c r="D69" i="19" s="1"/>
  <c r="B70" i="19" a="1"/>
  <c r="B70" i="19" s="1"/>
  <c r="D70" i="19" s="1"/>
  <c r="B71" i="19" a="1"/>
  <c r="B71" i="19" s="1"/>
  <c r="D71" i="19" s="1"/>
  <c r="B72" i="19" a="1"/>
  <c r="B72" i="19" s="1"/>
  <c r="D72" i="19" s="1"/>
  <c r="B73" i="19" a="1"/>
  <c r="B73" i="19" s="1"/>
  <c r="D73" i="19" s="1"/>
  <c r="B74" i="19" a="1"/>
  <c r="B74" i="19" s="1"/>
  <c r="D74" i="19" s="1"/>
  <c r="B52" i="23" a="1"/>
  <c r="B52" i="23" s="1"/>
  <c r="C52" i="23" s="1"/>
  <c r="AB73" i="30" s="1"/>
  <c r="G6" i="3"/>
  <c r="H6" i="3" s="1"/>
  <c r="B53" i="23" a="1"/>
  <c r="B53" i="23" s="1"/>
  <c r="D53" i="23" s="1"/>
  <c r="B54" i="23" a="1"/>
  <c r="B54" i="23" s="1"/>
  <c r="D54" i="23" s="1"/>
  <c r="B55" i="23" a="1"/>
  <c r="B55" i="23" s="1"/>
  <c r="D55" i="23" s="1"/>
  <c r="B56" i="23" a="1"/>
  <c r="B56" i="23" s="1"/>
  <c r="D56" i="23" s="1"/>
  <c r="B57" i="23" a="1"/>
  <c r="B57" i="23" s="1"/>
  <c r="B58" i="23" a="1"/>
  <c r="B58" i="23" s="1"/>
  <c r="D58" i="23" s="1"/>
  <c r="B59" i="23" a="1"/>
  <c r="B59" i="23" s="1"/>
  <c r="D59" i="23" s="1"/>
  <c r="B60" i="23" a="1"/>
  <c r="B60" i="23" s="1"/>
  <c r="D60" i="23" s="1"/>
  <c r="B61" i="23" a="1"/>
  <c r="B61" i="23" s="1"/>
  <c r="B62" i="23" a="1"/>
  <c r="B62" i="23" s="1"/>
  <c r="D62" i="23" s="1"/>
  <c r="B63" i="23" a="1"/>
  <c r="B63" i="23" s="1"/>
  <c r="D63" i="23" s="1"/>
  <c r="B64" i="23" a="1"/>
  <c r="B64" i="23" s="1"/>
  <c r="D64" i="23" s="1"/>
  <c r="B65" i="23" a="1"/>
  <c r="B65" i="23" s="1"/>
  <c r="D65" i="23" s="1"/>
  <c r="B66" i="23" a="1"/>
  <c r="B66" i="23" s="1"/>
  <c r="D66" i="23" s="1"/>
  <c r="B67" i="23" a="1"/>
  <c r="B67" i="23" s="1"/>
  <c r="D67" i="23" s="1"/>
  <c r="B68" i="23" a="1"/>
  <c r="B68" i="23" s="1"/>
  <c r="D68" i="23" s="1"/>
  <c r="B69" i="23" a="1"/>
  <c r="B69" i="23" s="1"/>
  <c r="D69" i="23" s="1"/>
  <c r="B70" i="23" a="1"/>
  <c r="B70" i="23" s="1"/>
  <c r="D70" i="23" s="1"/>
  <c r="B71" i="23" a="1"/>
  <c r="B71" i="23" s="1"/>
  <c r="B72" i="23" a="1"/>
  <c r="B72" i="23" s="1"/>
  <c r="D72" i="23" s="1"/>
  <c r="B73" i="23" a="1"/>
  <c r="B73" i="23" s="1"/>
  <c r="D73" i="23" s="1"/>
  <c r="B74" i="23" a="1"/>
  <c r="B74" i="23" s="1"/>
  <c r="D74" i="23" s="1"/>
  <c r="B52" i="6" a="1"/>
  <c r="B52" i="6" s="1"/>
  <c r="C52" i="6" s="1"/>
  <c r="R73" i="30" s="1"/>
  <c r="B53" i="6" a="1"/>
  <c r="B53" i="6" s="1"/>
  <c r="D53" i="6" s="1"/>
  <c r="B54" i="6" a="1"/>
  <c r="B54" i="6" s="1"/>
  <c r="D54" i="6" s="1"/>
  <c r="B55" i="6" a="1"/>
  <c r="B55" i="6" s="1"/>
  <c r="D55" i="6" s="1"/>
  <c r="B56" i="6" a="1"/>
  <c r="B56" i="6" s="1"/>
  <c r="D56" i="6" s="1"/>
  <c r="B57" i="6" a="1"/>
  <c r="B57" i="6" s="1"/>
  <c r="D57" i="6" s="1"/>
  <c r="B58" i="6" a="1"/>
  <c r="B58" i="6" s="1"/>
  <c r="D58" i="6" s="1"/>
  <c r="B59" i="6" a="1"/>
  <c r="B59" i="6" s="1"/>
  <c r="D59" i="6" s="1"/>
  <c r="B60" i="6" a="1"/>
  <c r="B60" i="6" s="1"/>
  <c r="D60" i="6" s="1"/>
  <c r="B61" i="6" a="1"/>
  <c r="B61" i="6" s="1"/>
  <c r="D61" i="6" s="1"/>
  <c r="B62" i="6" a="1"/>
  <c r="B62" i="6" s="1"/>
  <c r="D62" i="6" s="1"/>
  <c r="B63" i="6" a="1"/>
  <c r="B63" i="6" s="1"/>
  <c r="D63" i="6" s="1"/>
  <c r="B64" i="6" a="1"/>
  <c r="B64" i="6" s="1"/>
  <c r="D64" i="6" s="1"/>
  <c r="B65" i="6" a="1"/>
  <c r="B65" i="6" s="1"/>
  <c r="D65" i="6" s="1"/>
  <c r="B66" i="6" a="1"/>
  <c r="B66" i="6" s="1"/>
  <c r="D66" i="6" s="1"/>
  <c r="B67" i="6" a="1"/>
  <c r="B67" i="6" s="1"/>
  <c r="D67" i="6" s="1"/>
  <c r="B68" i="6" a="1"/>
  <c r="B68" i="6" s="1"/>
  <c r="D68" i="6" s="1"/>
  <c r="B69" i="6" a="1"/>
  <c r="B69" i="6" s="1"/>
  <c r="D69" i="6" s="1"/>
  <c r="B70" i="6" a="1"/>
  <c r="B70" i="6" s="1"/>
  <c r="D70" i="6" s="1"/>
  <c r="B71" i="6" a="1"/>
  <c r="B71" i="6" s="1"/>
  <c r="D71" i="6" s="1"/>
  <c r="B72" i="6" a="1"/>
  <c r="B72" i="6" s="1"/>
  <c r="D72" i="6" s="1"/>
  <c r="B73" i="6" a="1"/>
  <c r="B73" i="6" s="1"/>
  <c r="D73" i="6" s="1"/>
  <c r="B74" i="6" a="1"/>
  <c r="B74" i="6" s="1"/>
  <c r="D74" i="6" s="1"/>
  <c r="B52" i="28" a="1"/>
  <c r="B52" i="28" s="1"/>
  <c r="D52" i="28" s="1"/>
  <c r="B53" i="28" a="1"/>
  <c r="B53" i="28" s="1"/>
  <c r="D53" i="28" s="1"/>
  <c r="B54" i="28" a="1"/>
  <c r="B54" i="28" s="1"/>
  <c r="D54" i="28" s="1"/>
  <c r="B55" i="28" a="1"/>
  <c r="B55" i="28" s="1"/>
  <c r="D55" i="28" s="1"/>
  <c r="B56" i="28" a="1"/>
  <c r="B56" i="28" s="1"/>
  <c r="D56" i="28" s="1"/>
  <c r="B57" i="28" a="1"/>
  <c r="B57" i="28" s="1"/>
  <c r="D57" i="28" s="1"/>
  <c r="B58" i="28" a="1"/>
  <c r="B58" i="28" s="1"/>
  <c r="D58" i="28" s="1"/>
  <c r="B59" i="28" a="1"/>
  <c r="B59" i="28" s="1"/>
  <c r="D59" i="28" s="1"/>
  <c r="B60" i="28" a="1"/>
  <c r="B60" i="28" s="1"/>
  <c r="D60" i="28" s="1"/>
  <c r="B61" i="28" a="1"/>
  <c r="B61" i="28" s="1"/>
  <c r="D61" i="28" s="1"/>
  <c r="B62" i="28" a="1"/>
  <c r="B62" i="28" s="1"/>
  <c r="D62" i="28" s="1"/>
  <c r="B63" i="28" a="1"/>
  <c r="B63" i="28" s="1"/>
  <c r="D63" i="28" s="1"/>
  <c r="B64" i="28" a="1"/>
  <c r="B64" i="28" s="1"/>
  <c r="D64" i="28" s="1"/>
  <c r="B65" i="28" a="1"/>
  <c r="B65" i="28" s="1"/>
  <c r="D65" i="28" s="1"/>
  <c r="B66" i="28" a="1"/>
  <c r="B66" i="28" s="1"/>
  <c r="D66" i="28" s="1"/>
  <c r="B67" i="28" a="1"/>
  <c r="B67" i="28" s="1"/>
  <c r="B68" i="28" a="1"/>
  <c r="B68" i="28" s="1"/>
  <c r="D68" i="28" s="1"/>
  <c r="B69" i="28" a="1"/>
  <c r="B69" i="28" s="1"/>
  <c r="D69" i="28" s="1"/>
  <c r="B70" i="28" a="1"/>
  <c r="B70" i="28" s="1"/>
  <c r="D70" i="28" s="1"/>
  <c r="B71" i="28" a="1"/>
  <c r="B71" i="28" s="1"/>
  <c r="D71" i="28" s="1"/>
  <c r="B72" i="28" a="1"/>
  <c r="B72" i="28" s="1"/>
  <c r="D72" i="28" s="1"/>
  <c r="B73" i="28" a="1"/>
  <c r="B73" i="28" s="1"/>
  <c r="D73" i="28" s="1"/>
  <c r="B74" i="28" a="1"/>
  <c r="B74" i="28" s="1"/>
  <c r="D74" i="28" s="1"/>
  <c r="B52" i="20" a="1"/>
  <c r="B52" i="20" s="1"/>
  <c r="C52" i="20" s="1"/>
  <c r="AT21" i="30" s="1"/>
  <c r="G12" i="3"/>
  <c r="H12" i="3" s="1"/>
  <c r="B53" i="20" a="1"/>
  <c r="B53" i="20" s="1"/>
  <c r="G13" i="3"/>
  <c r="H13" i="3" s="1"/>
  <c r="B54" i="20" a="1"/>
  <c r="B54" i="20" s="1"/>
  <c r="D54" i="20" s="1"/>
  <c r="B55" i="20" a="1"/>
  <c r="B55" i="20" s="1"/>
  <c r="D55" i="20" s="1"/>
  <c r="B56" i="20" a="1"/>
  <c r="B56" i="20" s="1"/>
  <c r="D56" i="20" s="1"/>
  <c r="B57" i="20" a="1"/>
  <c r="B57" i="20" s="1"/>
  <c r="D57" i="20" s="1"/>
  <c r="B58" i="20" a="1"/>
  <c r="B58" i="20" s="1"/>
  <c r="D58" i="20" s="1"/>
  <c r="B59" i="20" a="1"/>
  <c r="B59" i="20" s="1"/>
  <c r="D59" i="20" s="1"/>
  <c r="B60" i="20" a="1"/>
  <c r="B60" i="20" s="1"/>
  <c r="D60" i="20" s="1"/>
  <c r="B61" i="20" a="1"/>
  <c r="B61" i="20" s="1"/>
  <c r="D61" i="20" s="1"/>
  <c r="B62" i="20" a="1"/>
  <c r="B62" i="20" s="1"/>
  <c r="D62" i="20" s="1"/>
  <c r="B63" i="20" a="1"/>
  <c r="B63" i="20" s="1"/>
  <c r="D63" i="20" s="1"/>
  <c r="B64" i="20" a="1"/>
  <c r="B64" i="20" s="1"/>
  <c r="D64" i="20" s="1"/>
  <c r="B65" i="20" a="1"/>
  <c r="B65" i="20" s="1"/>
  <c r="D65" i="20" s="1"/>
  <c r="B66" i="20" a="1"/>
  <c r="B66" i="20" s="1"/>
  <c r="D66" i="20" s="1"/>
  <c r="B67" i="20" a="1"/>
  <c r="B67" i="20" s="1"/>
  <c r="D67" i="20" s="1"/>
  <c r="B68" i="20" a="1"/>
  <c r="B68" i="20" s="1"/>
  <c r="D68" i="20" s="1"/>
  <c r="B69" i="20" a="1"/>
  <c r="B69" i="20" s="1"/>
  <c r="D69" i="20" s="1"/>
  <c r="B70" i="20" a="1"/>
  <c r="B70" i="20" s="1"/>
  <c r="D70" i="20" s="1"/>
  <c r="B71" i="20" a="1"/>
  <c r="B71" i="20" s="1"/>
  <c r="D71" i="20" s="1"/>
  <c r="B72" i="20" a="1"/>
  <c r="B72" i="20" s="1"/>
  <c r="D72" i="20" s="1"/>
  <c r="B73" i="20" a="1"/>
  <c r="B73" i="20" s="1"/>
  <c r="D73" i="20" s="1"/>
  <c r="B74" i="20" a="1"/>
  <c r="B74" i="20" s="1"/>
  <c r="D74" i="20" s="1"/>
  <c r="B52" i="21" a="1"/>
  <c r="B52" i="21" s="1"/>
  <c r="B53" i="21" a="1"/>
  <c r="B53" i="21" s="1"/>
  <c r="D53" i="21" s="1"/>
  <c r="B54" i="21" a="1"/>
  <c r="B54" i="21" s="1"/>
  <c r="D54" i="21" s="1"/>
  <c r="B55" i="21" a="1"/>
  <c r="B55" i="21" s="1"/>
  <c r="D55" i="21" s="1"/>
  <c r="B56" i="21" a="1"/>
  <c r="B56" i="21" s="1"/>
  <c r="D56" i="21" s="1"/>
  <c r="B57" i="21" a="1"/>
  <c r="B57" i="21" s="1"/>
  <c r="D57" i="21" s="1"/>
  <c r="B58" i="21" a="1"/>
  <c r="B58" i="21" s="1"/>
  <c r="D58" i="21" s="1"/>
  <c r="B59" i="21" a="1"/>
  <c r="B59" i="21" s="1"/>
  <c r="D59" i="21" s="1"/>
  <c r="B60" i="21" a="1"/>
  <c r="B60" i="21" s="1"/>
  <c r="D60" i="21" s="1"/>
  <c r="B61" i="21" a="1"/>
  <c r="B61" i="21" s="1"/>
  <c r="D61" i="21" s="1"/>
  <c r="B62" i="21" a="1"/>
  <c r="B62" i="21" s="1"/>
  <c r="D62" i="21" s="1"/>
  <c r="B63" i="21" a="1"/>
  <c r="B63" i="21" s="1"/>
  <c r="D63" i="21" s="1"/>
  <c r="B64" i="21" a="1"/>
  <c r="B64" i="21" s="1"/>
  <c r="D64" i="21" s="1"/>
  <c r="B65" i="21" a="1"/>
  <c r="B65" i="21" s="1"/>
  <c r="D65" i="21" s="1"/>
  <c r="B66" i="21" a="1"/>
  <c r="B66" i="21" s="1"/>
  <c r="D66" i="21" s="1"/>
  <c r="B67" i="21" a="1"/>
  <c r="B67" i="21" s="1"/>
  <c r="D67" i="21" s="1"/>
  <c r="B68" i="21" a="1"/>
  <c r="B68" i="21" s="1"/>
  <c r="D68" i="21" s="1"/>
  <c r="B69" i="21" a="1"/>
  <c r="B69" i="21" s="1"/>
  <c r="D69" i="21" s="1"/>
  <c r="B70" i="21" a="1"/>
  <c r="B70" i="21" s="1"/>
  <c r="D70" i="21" s="1"/>
  <c r="B71" i="21" a="1"/>
  <c r="B71" i="21" s="1"/>
  <c r="D71" i="21" s="1"/>
  <c r="B72" i="21" a="1"/>
  <c r="B72" i="21" s="1"/>
  <c r="D72" i="21" s="1"/>
  <c r="B73" i="21" a="1"/>
  <c r="B73" i="21" s="1"/>
  <c r="D73" i="21" s="1"/>
  <c r="B74" i="21" a="1"/>
  <c r="B74" i="21" s="1"/>
  <c r="D74" i="21" s="1"/>
  <c r="B83" i="17" a="1"/>
  <c r="B83" i="17" s="1"/>
  <c r="G7" i="3"/>
  <c r="H7" i="3" s="1"/>
  <c r="B84" i="17" a="1"/>
  <c r="B84" i="17" s="1"/>
  <c r="C84" i="17" s="1"/>
  <c r="H26" i="30" s="1"/>
  <c r="G9" i="3"/>
  <c r="H9" i="3" s="1"/>
  <c r="B85" i="17" a="1"/>
  <c r="B85" i="17" s="1"/>
  <c r="B86" i="17" a="1"/>
  <c r="B86" i="17" s="1"/>
  <c r="D86" i="17" s="1"/>
  <c r="B87" i="17" a="1"/>
  <c r="B87" i="17" s="1"/>
  <c r="B88" i="17" a="1"/>
  <c r="B88" i="17" s="1"/>
  <c r="D88" i="17" s="1"/>
  <c r="B89" i="17" a="1"/>
  <c r="B89" i="17" s="1"/>
  <c r="D89" i="17" s="1"/>
  <c r="B90" i="17" a="1"/>
  <c r="B90" i="17" s="1"/>
  <c r="D90" i="17" s="1"/>
  <c r="B91" i="17" a="1"/>
  <c r="B91" i="17" s="1"/>
  <c r="D91" i="17" s="1"/>
  <c r="B92" i="17" a="1"/>
  <c r="B92" i="17" s="1"/>
  <c r="D92" i="17" s="1"/>
  <c r="B93" i="17" a="1"/>
  <c r="B93" i="17" s="1"/>
  <c r="B94" i="17" a="1"/>
  <c r="B94" i="17" s="1"/>
  <c r="D94" i="17" s="1"/>
  <c r="B95" i="17" a="1"/>
  <c r="B95" i="17" s="1"/>
  <c r="D95" i="17" s="1"/>
  <c r="B96" i="17" a="1"/>
  <c r="B96" i="17" s="1"/>
  <c r="D96" i="17" s="1"/>
  <c r="B97" i="17" a="1"/>
  <c r="B97" i="17" s="1"/>
  <c r="D97" i="17" s="1"/>
  <c r="B98" i="17" a="1"/>
  <c r="B98" i="17" s="1"/>
  <c r="D98" i="17" s="1"/>
  <c r="B99" i="17" a="1"/>
  <c r="B99" i="17" s="1"/>
  <c r="B100" i="17" a="1"/>
  <c r="B100" i="17" s="1"/>
  <c r="D100" i="17" s="1"/>
  <c r="B101" i="17" a="1"/>
  <c r="B101" i="17" s="1"/>
  <c r="B102" i="17" a="1"/>
  <c r="B102" i="17" s="1"/>
  <c r="D102" i="17" s="1"/>
  <c r="B103" i="17" a="1"/>
  <c r="B103" i="17" s="1"/>
  <c r="D103" i="17" s="1"/>
  <c r="B83" i="18" a="1"/>
  <c r="B83" i="18" s="1"/>
  <c r="B84" i="18" a="1"/>
  <c r="B84" i="18" s="1"/>
  <c r="B85" i="18" a="1"/>
  <c r="B85" i="18" s="1"/>
  <c r="D85" i="18" s="1"/>
  <c r="B86" i="18" a="1"/>
  <c r="B86" i="18" s="1"/>
  <c r="B87" i="18" a="1"/>
  <c r="B87" i="18" s="1"/>
  <c r="B88" i="18" a="1"/>
  <c r="B88" i="18" s="1"/>
  <c r="D88" i="18" s="1"/>
  <c r="B89" i="18" a="1"/>
  <c r="B89" i="18" s="1"/>
  <c r="D89" i="18" s="1"/>
  <c r="B90" i="18" a="1"/>
  <c r="B90" i="18" s="1"/>
  <c r="D90" i="18" s="1"/>
  <c r="B91" i="18" a="1"/>
  <c r="B91" i="18" s="1"/>
  <c r="D91" i="18" s="1"/>
  <c r="B92" i="18" a="1"/>
  <c r="B92" i="18" s="1"/>
  <c r="D92" i="18" s="1"/>
  <c r="B93" i="18" a="1"/>
  <c r="B93" i="18" s="1"/>
  <c r="D93" i="18" s="1"/>
  <c r="B94" i="18" a="1"/>
  <c r="B94" i="18" s="1"/>
  <c r="D94" i="18" s="1"/>
  <c r="B95" i="18" a="1"/>
  <c r="B95" i="18" s="1"/>
  <c r="B96" i="18" a="1"/>
  <c r="B96" i="18" s="1"/>
  <c r="B97" i="18" a="1"/>
  <c r="B97" i="18" s="1"/>
  <c r="D97" i="18" s="1"/>
  <c r="B98" i="18" a="1"/>
  <c r="B98" i="18" s="1"/>
  <c r="D98" i="18" s="1"/>
  <c r="B99" i="18" a="1"/>
  <c r="B99" i="18" s="1"/>
  <c r="D99" i="18" s="1"/>
  <c r="B100" i="18" a="1"/>
  <c r="B100" i="18" s="1"/>
  <c r="D100" i="18" s="1"/>
  <c r="B101" i="18" a="1"/>
  <c r="B101" i="18" s="1"/>
  <c r="D101" i="18" s="1"/>
  <c r="B102" i="18" a="1"/>
  <c r="B102" i="18" s="1"/>
  <c r="D102" i="18" s="1"/>
  <c r="B103" i="18" a="1"/>
  <c r="B103" i="18" s="1"/>
  <c r="B83" i="19" a="1"/>
  <c r="B83" i="19" s="1"/>
  <c r="B84" i="19" a="1"/>
  <c r="B84" i="19" s="1"/>
  <c r="C84" i="19" s="1"/>
  <c r="Z27" i="30" s="1"/>
  <c r="B85" i="19" a="1"/>
  <c r="B85" i="19" s="1"/>
  <c r="B86" i="19" a="1"/>
  <c r="B86" i="19" s="1"/>
  <c r="D86" i="19" s="1"/>
  <c r="B87" i="19" a="1"/>
  <c r="B87" i="19" s="1"/>
  <c r="D87" i="19" s="1"/>
  <c r="B88" i="19" a="1"/>
  <c r="B88" i="19" s="1"/>
  <c r="B89" i="19" a="1"/>
  <c r="B89" i="19" s="1"/>
  <c r="D89" i="19" s="1"/>
  <c r="B90" i="19" a="1"/>
  <c r="B90" i="19" s="1"/>
  <c r="D90" i="19" s="1"/>
  <c r="B91" i="19" a="1"/>
  <c r="B91" i="19" s="1"/>
  <c r="B92" i="19" a="1"/>
  <c r="B92" i="19" s="1"/>
  <c r="D92" i="19" s="1"/>
  <c r="B93" i="19" a="1"/>
  <c r="B93" i="19" s="1"/>
  <c r="B94" i="19" a="1"/>
  <c r="B94" i="19" s="1"/>
  <c r="D94" i="19" s="1"/>
  <c r="B95" i="19" a="1"/>
  <c r="B95" i="19" s="1"/>
  <c r="D95" i="19" s="1"/>
  <c r="B96" i="19" a="1"/>
  <c r="B96" i="19" s="1"/>
  <c r="D96" i="19" s="1"/>
  <c r="B97" i="19" a="1"/>
  <c r="B97" i="19" s="1"/>
  <c r="B98" i="19" a="1"/>
  <c r="B98" i="19" s="1"/>
  <c r="B99" i="19" a="1"/>
  <c r="B99" i="19" s="1"/>
  <c r="D99" i="19" s="1"/>
  <c r="B100" i="19" a="1"/>
  <c r="B100" i="19" s="1"/>
  <c r="B101" i="19" a="1"/>
  <c r="B101" i="19" s="1"/>
  <c r="D101" i="19" s="1"/>
  <c r="B102" i="19" a="1"/>
  <c r="B102" i="19" s="1"/>
  <c r="D102" i="19" s="1"/>
  <c r="B103" i="19" a="1"/>
  <c r="B103" i="19" s="1"/>
  <c r="D103" i="19" s="1"/>
  <c r="B83" i="23" a="1"/>
  <c r="B83" i="23" s="1"/>
  <c r="G8" i="3"/>
  <c r="H8" i="3" s="1"/>
  <c r="B84" i="23" a="1"/>
  <c r="B84" i="23" s="1"/>
  <c r="B85" i="23" a="1"/>
  <c r="B85" i="23" s="1"/>
  <c r="D85" i="23" s="1"/>
  <c r="B86" i="23" a="1"/>
  <c r="B86" i="23" s="1"/>
  <c r="B87" i="23" a="1"/>
  <c r="B87" i="23" s="1"/>
  <c r="D87" i="23" s="1"/>
  <c r="B88" i="23" a="1"/>
  <c r="B88" i="23" s="1"/>
  <c r="D88" i="23" s="1"/>
  <c r="B89" i="23" a="1"/>
  <c r="B89" i="23" s="1"/>
  <c r="D89" i="23" s="1"/>
  <c r="B90" i="23" a="1"/>
  <c r="B90" i="23" s="1"/>
  <c r="D90" i="23" s="1"/>
  <c r="B91" i="23" a="1"/>
  <c r="B91" i="23" s="1"/>
  <c r="D91" i="23" s="1"/>
  <c r="B92" i="23" a="1"/>
  <c r="B92" i="23" s="1"/>
  <c r="D92" i="23" s="1"/>
  <c r="B93" i="23" a="1"/>
  <c r="B93" i="23" s="1"/>
  <c r="D93" i="23" s="1"/>
  <c r="B94" i="23" a="1"/>
  <c r="B94" i="23" s="1"/>
  <c r="B95" i="23" a="1"/>
  <c r="B95" i="23" s="1"/>
  <c r="D95" i="23" s="1"/>
  <c r="B96" i="23" a="1"/>
  <c r="B96" i="23" s="1"/>
  <c r="D96" i="23" s="1"/>
  <c r="B97" i="23" a="1"/>
  <c r="B97" i="23" s="1"/>
  <c r="D97" i="23" s="1"/>
  <c r="B98" i="23" a="1"/>
  <c r="B98" i="23" s="1"/>
  <c r="D98" i="23" s="1"/>
  <c r="B99" i="23" a="1"/>
  <c r="B99" i="23" s="1"/>
  <c r="D99" i="23" s="1"/>
  <c r="B100" i="23" a="1"/>
  <c r="B100" i="23" s="1"/>
  <c r="D100" i="23" s="1"/>
  <c r="B101" i="23" a="1"/>
  <c r="B101" i="23" s="1"/>
  <c r="B102" i="23" a="1"/>
  <c r="B102" i="23" s="1"/>
  <c r="D102" i="23" s="1"/>
  <c r="B103" i="23" a="1"/>
  <c r="B103" i="23" s="1"/>
  <c r="B83" i="6" a="1"/>
  <c r="B83" i="6" s="1"/>
  <c r="B84" i="6" a="1"/>
  <c r="B84" i="6" s="1"/>
  <c r="B85" i="6" a="1"/>
  <c r="B85" i="6" s="1"/>
  <c r="D85" i="6" s="1"/>
  <c r="B86" i="6" a="1"/>
  <c r="B86" i="6" s="1"/>
  <c r="B87" i="6" a="1"/>
  <c r="B87" i="6" s="1"/>
  <c r="D87" i="6" s="1"/>
  <c r="B88" i="6" a="1"/>
  <c r="B88" i="6" s="1"/>
  <c r="D88" i="6" s="1"/>
  <c r="B89" i="6" a="1"/>
  <c r="B89" i="6" s="1"/>
  <c r="B90" i="6" a="1"/>
  <c r="B90" i="6" s="1"/>
  <c r="D90" i="6" s="1"/>
  <c r="B91" i="6" a="1"/>
  <c r="B91" i="6" s="1"/>
  <c r="D91" i="6" s="1"/>
  <c r="B92" i="6" a="1"/>
  <c r="B92" i="6" s="1"/>
  <c r="D92" i="6" s="1"/>
  <c r="B93" i="6" a="1"/>
  <c r="B93" i="6" s="1"/>
  <c r="D93" i="6" s="1"/>
  <c r="B94" i="6" a="1"/>
  <c r="B94" i="6" s="1"/>
  <c r="B95" i="6" a="1"/>
  <c r="B95" i="6" s="1"/>
  <c r="D95" i="6" s="1"/>
  <c r="B96" i="6" a="1"/>
  <c r="B96" i="6" s="1"/>
  <c r="D96" i="6" s="1"/>
  <c r="B97" i="6" a="1"/>
  <c r="B97" i="6" s="1"/>
  <c r="D97" i="6" s="1"/>
  <c r="B98" i="6" a="1"/>
  <c r="B98" i="6" s="1"/>
  <c r="D98" i="6" s="1"/>
  <c r="B99" i="6" a="1"/>
  <c r="B99" i="6" s="1"/>
  <c r="B100" i="6" a="1"/>
  <c r="B100" i="6" s="1"/>
  <c r="B101" i="6" a="1"/>
  <c r="B101" i="6" s="1"/>
  <c r="D101" i="6" s="1"/>
  <c r="B102" i="6" a="1"/>
  <c r="B102" i="6" s="1"/>
  <c r="D102" i="6" s="1"/>
  <c r="B103" i="6" a="1"/>
  <c r="B103" i="6" s="1"/>
  <c r="D103" i="6" s="1"/>
  <c r="B83" i="28" a="1"/>
  <c r="B83" i="28" s="1"/>
  <c r="B84" i="28" a="1"/>
  <c r="B84" i="28" s="1"/>
  <c r="D84" i="28" s="1"/>
  <c r="B85" i="28" a="1"/>
  <c r="B85" i="28" s="1"/>
  <c r="D85" i="28" s="1"/>
  <c r="B86" i="28" a="1"/>
  <c r="B86" i="28" s="1"/>
  <c r="B87" i="28" a="1"/>
  <c r="B87" i="28" s="1"/>
  <c r="B88" i="28" a="1"/>
  <c r="B88" i="28" s="1"/>
  <c r="D88" i="28" s="1"/>
  <c r="B89" i="28" a="1"/>
  <c r="B89" i="28" s="1"/>
  <c r="B90" i="28" a="1"/>
  <c r="B90" i="28" s="1"/>
  <c r="D90" i="28" s="1"/>
  <c r="B91" i="28" a="1"/>
  <c r="B91" i="28" s="1"/>
  <c r="B92" i="28" a="1"/>
  <c r="B92" i="28" s="1"/>
  <c r="D92" i="28" s="1"/>
  <c r="B93" i="28" a="1"/>
  <c r="B93" i="28" s="1"/>
  <c r="B94" i="28" a="1"/>
  <c r="B94" i="28" s="1"/>
  <c r="B95" i="28" a="1"/>
  <c r="B95" i="28" s="1"/>
  <c r="B96" i="28" a="1"/>
  <c r="B96" i="28" s="1"/>
  <c r="D96" i="28" s="1"/>
  <c r="B97" i="28" a="1"/>
  <c r="B97" i="28" s="1"/>
  <c r="D97" i="28" s="1"/>
  <c r="B98" i="28" a="1"/>
  <c r="B98" i="28" s="1"/>
  <c r="D98" i="28" s="1"/>
  <c r="B99" i="28" a="1"/>
  <c r="B99" i="28" s="1"/>
  <c r="B100" i="28" a="1"/>
  <c r="B100" i="28" s="1"/>
  <c r="D100" i="28" s="1"/>
  <c r="B101" i="28" a="1"/>
  <c r="B101" i="28" s="1"/>
  <c r="B102" i="28" a="1"/>
  <c r="B102" i="28" s="1"/>
  <c r="D102" i="28" s="1"/>
  <c r="B103" i="28" a="1"/>
  <c r="B103" i="28" s="1"/>
  <c r="D103" i="28" s="1"/>
  <c r="B83" i="20" a="1"/>
  <c r="B83" i="20" s="1"/>
  <c r="B84" i="20" a="1"/>
  <c r="B84" i="20" s="1"/>
  <c r="B85" i="20" a="1"/>
  <c r="B85" i="20" s="1"/>
  <c r="B86" i="20" a="1"/>
  <c r="B86" i="20" s="1"/>
  <c r="D86" i="20" s="1"/>
  <c r="B87" i="20" a="1"/>
  <c r="B87" i="20" s="1"/>
  <c r="B88" i="20" a="1"/>
  <c r="B88" i="20" s="1"/>
  <c r="B89" i="20" a="1"/>
  <c r="B89" i="20" s="1"/>
  <c r="D89" i="20" s="1"/>
  <c r="B90" i="20" a="1"/>
  <c r="B90" i="20" s="1"/>
  <c r="B91" i="20" a="1"/>
  <c r="B91" i="20" s="1"/>
  <c r="B92" i="20" a="1"/>
  <c r="B92" i="20" s="1"/>
  <c r="D92" i="20" s="1"/>
  <c r="B93" i="20" a="1"/>
  <c r="B93" i="20" s="1"/>
  <c r="B94" i="20" a="1"/>
  <c r="B94" i="20" s="1"/>
  <c r="D94" i="20" s="1"/>
  <c r="B95" i="20" a="1"/>
  <c r="B95" i="20" s="1"/>
  <c r="B96" i="20" a="1"/>
  <c r="B96" i="20" s="1"/>
  <c r="D96" i="20" s="1"/>
  <c r="B97" i="20" a="1"/>
  <c r="B97" i="20" s="1"/>
  <c r="B98" i="20" a="1"/>
  <c r="B98" i="20" s="1"/>
  <c r="B99" i="20" a="1"/>
  <c r="B99" i="20" s="1"/>
  <c r="B100" i="20" a="1"/>
  <c r="B100" i="20" s="1"/>
  <c r="D100" i="20" s="1"/>
  <c r="B101" i="20" a="1"/>
  <c r="B101" i="20" s="1"/>
  <c r="D101" i="20" s="1"/>
  <c r="B102" i="20" a="1"/>
  <c r="B102" i="20" s="1"/>
  <c r="B103" i="20" a="1"/>
  <c r="B103" i="20" s="1"/>
  <c r="D103" i="20" s="1"/>
  <c r="B83" i="21" a="1"/>
  <c r="B83" i="21" s="1"/>
  <c r="C83" i="21" s="1"/>
  <c r="AM57" i="30" s="1"/>
  <c r="B84" i="21" a="1"/>
  <c r="B84" i="21" s="1"/>
  <c r="B85" i="21" a="1"/>
  <c r="B85" i="21" s="1"/>
  <c r="B86" i="21" a="1"/>
  <c r="B86" i="21" s="1"/>
  <c r="B87" i="21" a="1"/>
  <c r="B87" i="21" s="1"/>
  <c r="B88" i="21" a="1"/>
  <c r="B88" i="21" s="1"/>
  <c r="B89" i="21" a="1"/>
  <c r="B89" i="21" s="1"/>
  <c r="B90" i="21" a="1"/>
  <c r="B90" i="21" s="1"/>
  <c r="B91" i="21" a="1"/>
  <c r="B91" i="21" s="1"/>
  <c r="B92" i="21" a="1"/>
  <c r="B92" i="21" s="1"/>
  <c r="B93" i="21" a="1"/>
  <c r="B93" i="21" s="1"/>
  <c r="B94" i="21" a="1"/>
  <c r="B94" i="21" s="1"/>
  <c r="B95" i="21" a="1"/>
  <c r="B95" i="21" s="1"/>
  <c r="B96" i="21" a="1"/>
  <c r="B96" i="21" s="1"/>
  <c r="B97" i="21" a="1"/>
  <c r="B97" i="21" s="1"/>
  <c r="B98" i="21" a="1"/>
  <c r="B98" i="21" s="1"/>
  <c r="B99" i="21" a="1"/>
  <c r="B99" i="21" s="1"/>
  <c r="B100" i="21" a="1"/>
  <c r="B100" i="21" s="1"/>
  <c r="B101" i="21" a="1"/>
  <c r="B101" i="21" s="1"/>
  <c r="B102" i="21" a="1"/>
  <c r="B102" i="21" s="1"/>
  <c r="B103" i="21" a="1"/>
  <c r="B103" i="21" s="1"/>
  <c r="G10" i="3"/>
  <c r="H10" i="3" s="1"/>
  <c r="H11" i="3"/>
  <c r="C27" i="20"/>
  <c r="C30" i="20"/>
  <c r="C31" i="20"/>
  <c r="C69" i="9"/>
  <c r="O52" i="4"/>
  <c r="C34" i="9"/>
  <c r="C42" i="9"/>
  <c r="C53" i="9"/>
  <c r="C77" i="9"/>
  <c r="C114" i="9"/>
  <c r="C61" i="9"/>
  <c r="G15" i="3"/>
  <c r="H15" i="3" s="1"/>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43" i="4"/>
  <c r="P35" i="4"/>
  <c r="P34" i="4"/>
  <c r="P33" i="4"/>
  <c r="P32" i="4"/>
  <c r="P31" i="4"/>
  <c r="P30" i="4"/>
  <c r="P29" i="4"/>
  <c r="P28" i="4"/>
  <c r="P27" i="4"/>
  <c r="P26" i="4"/>
  <c r="P24" i="4"/>
  <c r="P23" i="4"/>
  <c r="P22" i="4"/>
  <c r="P21" i="4"/>
  <c r="P20" i="4"/>
  <c r="P19" i="4"/>
  <c r="P18" i="4"/>
  <c r="P17" i="4"/>
  <c r="P16" i="4"/>
  <c r="P12" i="4"/>
  <c r="P10" i="4"/>
  <c r="P9" i="4"/>
  <c r="P8"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43" i="4"/>
  <c r="N35" i="4"/>
  <c r="N34" i="4"/>
  <c r="N33" i="4"/>
  <c r="N32" i="4"/>
  <c r="N31" i="4"/>
  <c r="N30" i="4"/>
  <c r="N29" i="4"/>
  <c r="N28" i="4"/>
  <c r="N27" i="4"/>
  <c r="N26" i="4"/>
  <c r="N24" i="4"/>
  <c r="N23" i="4"/>
  <c r="N22" i="4"/>
  <c r="N21" i="4"/>
  <c r="N20" i="4"/>
  <c r="N19" i="4"/>
  <c r="N18" i="4"/>
  <c r="N17" i="4"/>
  <c r="N16" i="4"/>
  <c r="N12" i="4"/>
  <c r="N10" i="4"/>
  <c r="N8" i="4"/>
  <c r="L8" i="4"/>
  <c r="J8" i="4"/>
  <c r="J38" i="32"/>
  <c r="AQ32" i="30" s="1"/>
  <c r="J37" i="32"/>
  <c r="E21" i="32"/>
  <c r="J21" i="32" s="1"/>
  <c r="B41" i="21"/>
  <c r="AM53" i="30" s="1"/>
  <c r="B40" i="21"/>
  <c r="AM52" i="30" s="1"/>
  <c r="B39" i="21"/>
  <c r="AM51" i="30" s="1"/>
  <c r="B41" i="20"/>
  <c r="B40" i="20"/>
  <c r="B39" i="20"/>
  <c r="B41" i="28"/>
  <c r="B40" i="28"/>
  <c r="B39" i="28"/>
  <c r="B41" i="6"/>
  <c r="R70" i="30" s="1"/>
  <c r="B40" i="6"/>
  <c r="R69" i="30" s="1"/>
  <c r="B39" i="6"/>
  <c r="R68" i="30" s="1"/>
  <c r="B41" i="19"/>
  <c r="Z22" i="30" s="1"/>
  <c r="B40" i="19"/>
  <c r="Z21" i="30" s="1"/>
  <c r="B39" i="19"/>
  <c r="Z20" i="30" s="1"/>
  <c r="B41" i="18"/>
  <c r="S23" i="30" s="1"/>
  <c r="B40" i="18"/>
  <c r="S22" i="30" s="1"/>
  <c r="B39" i="18"/>
  <c r="S21" i="30" s="1"/>
  <c r="B41" i="17"/>
  <c r="H21" i="30" s="1"/>
  <c r="B40" i="17"/>
  <c r="H20" i="30" s="1"/>
  <c r="B39" i="17"/>
  <c r="H19" i="30" s="1"/>
  <c r="B41" i="23"/>
  <c r="AB70" i="30" s="1"/>
  <c r="B40" i="23"/>
  <c r="AB69" i="30" s="1"/>
  <c r="B39" i="23"/>
  <c r="AB68" i="30" s="1"/>
  <c r="O5" i="4"/>
  <c r="P52" i="4" s="1"/>
  <c r="M5" i="4"/>
  <c r="N40" i="4" s="1"/>
  <c r="K5" i="4"/>
  <c r="I5" i="4"/>
  <c r="L7" i="4"/>
  <c r="N7" i="4"/>
  <c r="N53" i="4"/>
  <c r="N37" i="4"/>
  <c r="J7" i="4"/>
  <c r="P7" i="4"/>
  <c r="P37" i="4"/>
  <c r="P11"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D121" i="23" a="1"/>
  <c r="AD121" i="23" s="1"/>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J2" i="2"/>
  <c r="L2" i="2"/>
  <c r="M2" i="2"/>
  <c r="N2" i="2"/>
  <c r="O2" i="2"/>
  <c r="P2" i="2"/>
  <c r="Q2" i="2"/>
  <c r="R2" i="2"/>
  <c r="K2" i="2"/>
  <c r="S5" i="2"/>
  <c r="S4" i="2"/>
  <c r="W10" i="30"/>
  <c r="AA6" i="4"/>
  <c r="AB6" i="4"/>
  <c r="AC6" i="4"/>
  <c r="AD6" i="4"/>
  <c r="AE6" i="4"/>
  <c r="AF6" i="4"/>
  <c r="AG6" i="4"/>
  <c r="AH6" i="4"/>
  <c r="AI6" i="4"/>
  <c r="AJ7"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Q72" i="30"/>
  <c r="AQ71" i="30"/>
  <c r="AQ70" i="30"/>
  <c r="AQ69" i="30"/>
  <c r="AQ68" i="30"/>
  <c r="AQ67" i="30"/>
  <c r="AQ66" i="30"/>
  <c r="AQ65" i="30"/>
  <c r="AQ64" i="30"/>
  <c r="AQ63" i="30"/>
  <c r="AQ62" i="30"/>
  <c r="G16" i="3"/>
  <c r="H16" i="3" s="1"/>
  <c r="G17" i="3"/>
  <c r="H17" i="3" s="1"/>
  <c r="G18" i="3"/>
  <c r="H18" i="3" s="1"/>
  <c r="G19" i="3"/>
  <c r="H19" i="3" s="1"/>
  <c r="G20" i="3"/>
  <c r="H20" i="3" s="1"/>
  <c r="G21" i="3"/>
  <c r="H21" i="3" s="1"/>
  <c r="G22" i="3"/>
  <c r="H22" i="3" s="1"/>
  <c r="G23" i="3"/>
  <c r="H23" i="3" s="1"/>
  <c r="G24" i="3"/>
  <c r="H24" i="3" s="1"/>
  <c r="G25" i="3"/>
  <c r="H25" i="3" s="1"/>
  <c r="N4" i="3"/>
  <c r="O4" i="3"/>
  <c r="P4" i="3"/>
  <c r="Q4" i="3"/>
  <c r="R4" i="3"/>
  <c r="S4" i="3"/>
  <c r="T4" i="3"/>
  <c r="U4" i="3"/>
  <c r="M4" i="3"/>
  <c r="V25" i="3"/>
  <c r="V24" i="3"/>
  <c r="V23" i="3"/>
  <c r="V22" i="3"/>
  <c r="V21" i="3"/>
  <c r="V20" i="3"/>
  <c r="V19" i="3"/>
  <c r="V18" i="3"/>
  <c r="V17" i="3"/>
  <c r="V16" i="3"/>
  <c r="V15" i="3"/>
  <c r="V14" i="3"/>
  <c r="V13" i="3"/>
  <c r="V12" i="3"/>
  <c r="V11" i="3"/>
  <c r="V10" i="3"/>
  <c r="V9" i="3"/>
  <c r="V8" i="3"/>
  <c r="V7" i="3"/>
  <c r="V6" i="3"/>
  <c r="V5" i="3"/>
  <c r="L9" i="30"/>
  <c r="H33" i="30"/>
  <c r="C71" i="18"/>
  <c r="C110" i="18"/>
  <c r="S31" i="30" s="1"/>
  <c r="AQ48" i="30"/>
  <c r="C9" i="43" l="1"/>
  <c r="E12" i="22"/>
  <c r="D50" i="32"/>
  <c r="E50" i="32"/>
  <c r="C70" i="6"/>
  <c r="W9" i="30"/>
  <c r="M25" i="32"/>
  <c r="J25" i="4"/>
  <c r="J41" i="4"/>
  <c r="J49" i="4"/>
  <c r="J42" i="4"/>
  <c r="J50" i="4"/>
  <c r="J47" i="4"/>
  <c r="J51" i="4"/>
  <c r="J36" i="4"/>
  <c r="J44" i="4"/>
  <c r="J52" i="4"/>
  <c r="J13" i="4"/>
  <c r="J45" i="4"/>
  <c r="J14" i="4"/>
  <c r="J38" i="4"/>
  <c r="J46" i="4"/>
  <c r="J39" i="4"/>
  <c r="J15" i="4"/>
  <c r="J40" i="4"/>
  <c r="J48" i="4"/>
  <c r="L25" i="4"/>
  <c r="L41" i="4"/>
  <c r="L49" i="4"/>
  <c r="L42" i="4"/>
  <c r="L50" i="4"/>
  <c r="L51" i="4"/>
  <c r="L36" i="4"/>
  <c r="L44" i="4"/>
  <c r="L52" i="4"/>
  <c r="L46" i="4"/>
  <c r="L45" i="4"/>
  <c r="L13" i="4"/>
  <c r="L38" i="4"/>
  <c r="L14" i="4"/>
  <c r="L39" i="4"/>
  <c r="L47" i="4"/>
  <c r="L15" i="4"/>
  <c r="L40" i="4"/>
  <c r="L48" i="4"/>
  <c r="E88" i="21"/>
  <c r="C88" i="21"/>
  <c r="F88" i="21"/>
  <c r="E102" i="21"/>
  <c r="C102" i="21"/>
  <c r="F102" i="21"/>
  <c r="C94" i="21"/>
  <c r="F94" i="21"/>
  <c r="E86" i="21"/>
  <c r="C86" i="21"/>
  <c r="F86" i="21"/>
  <c r="E103" i="21"/>
  <c r="C103" i="21"/>
  <c r="F103" i="21"/>
  <c r="E93" i="21"/>
  <c r="F93" i="21"/>
  <c r="C93" i="21"/>
  <c r="E96" i="21"/>
  <c r="C96" i="21"/>
  <c r="F96" i="21"/>
  <c r="E87" i="21"/>
  <c r="C87" i="21"/>
  <c r="F87" i="21"/>
  <c r="F100" i="21"/>
  <c r="C100" i="21"/>
  <c r="F92" i="21"/>
  <c r="C92" i="21"/>
  <c r="F84" i="21"/>
  <c r="AQ58" i="30" s="1"/>
  <c r="C84" i="21"/>
  <c r="AM58" i="30" s="1"/>
  <c r="E99" i="21"/>
  <c r="F99" i="21"/>
  <c r="C99" i="21"/>
  <c r="F91" i="21"/>
  <c r="C91" i="21"/>
  <c r="E85" i="21"/>
  <c r="F85" i="21"/>
  <c r="C85" i="21"/>
  <c r="F98" i="21"/>
  <c r="C98" i="21"/>
  <c r="E90" i="21"/>
  <c r="F90" i="21"/>
  <c r="C90" i="21"/>
  <c r="C95" i="21"/>
  <c r="F95" i="21"/>
  <c r="F101" i="21"/>
  <c r="C101" i="21"/>
  <c r="E97" i="21"/>
  <c r="C97" i="21"/>
  <c r="F97" i="21"/>
  <c r="C89" i="21"/>
  <c r="F89" i="21"/>
  <c r="E91" i="9"/>
  <c r="F91" i="9" s="1"/>
  <c r="G91" i="9" s="1"/>
  <c r="H91" i="9" s="1"/>
  <c r="C65" i="10"/>
  <c r="C67" i="23"/>
  <c r="C33" i="9"/>
  <c r="N44" i="4"/>
  <c r="D101" i="21"/>
  <c r="E101" i="21"/>
  <c r="D95" i="21"/>
  <c r="E95" i="21"/>
  <c r="D94" i="21"/>
  <c r="E94" i="21"/>
  <c r="D100" i="21"/>
  <c r="E100" i="21"/>
  <c r="D92" i="21"/>
  <c r="E92" i="21"/>
  <c r="D91" i="21"/>
  <c r="E91" i="21"/>
  <c r="D98" i="21"/>
  <c r="E98" i="21"/>
  <c r="D89" i="21"/>
  <c r="E89" i="21"/>
  <c r="F21" i="18"/>
  <c r="P44" i="4"/>
  <c r="P40" i="4"/>
  <c r="C166" i="17"/>
  <c r="F176" i="18"/>
  <c r="C60" i="6"/>
  <c r="C53" i="28"/>
  <c r="D53" i="20"/>
  <c r="C59" i="18"/>
  <c r="D59" i="18"/>
  <c r="C66" i="17"/>
  <c r="D66" i="17"/>
  <c r="C58" i="17"/>
  <c r="D58" i="17"/>
  <c r="C59" i="23"/>
  <c r="D52" i="20"/>
  <c r="C73" i="18"/>
  <c r="D73" i="18"/>
  <c r="C65" i="18"/>
  <c r="D65" i="18"/>
  <c r="C57" i="18"/>
  <c r="D57" i="18"/>
  <c r="C72" i="17"/>
  <c r="D72" i="17"/>
  <c r="C64" i="17"/>
  <c r="D64" i="17"/>
  <c r="C56" i="17"/>
  <c r="D56" i="17"/>
  <c r="C68" i="6"/>
  <c r="C67" i="28"/>
  <c r="D67" i="28"/>
  <c r="C57" i="23"/>
  <c r="D57" i="23"/>
  <c r="C63" i="18"/>
  <c r="D63" i="18"/>
  <c r="C70" i="17"/>
  <c r="D70" i="17"/>
  <c r="C54" i="17"/>
  <c r="D54" i="17"/>
  <c r="C65" i="17"/>
  <c r="C66" i="18"/>
  <c r="C71" i="23"/>
  <c r="D71" i="23"/>
  <c r="C58" i="18"/>
  <c r="C61" i="28"/>
  <c r="C57" i="17"/>
  <c r="C61" i="23"/>
  <c r="D61" i="23"/>
  <c r="M11" i="32"/>
  <c r="N24" i="32" s="1"/>
  <c r="AA51" i="30" s="1"/>
  <c r="V57" i="30" s="1"/>
  <c r="M22" i="32"/>
  <c r="D52" i="19"/>
  <c r="D52" i="21"/>
  <c r="D52" i="18"/>
  <c r="D52" i="17"/>
  <c r="D52" i="23"/>
  <c r="D52" i="6"/>
  <c r="P41" i="4"/>
  <c r="N36" i="4"/>
  <c r="P36" i="4"/>
  <c r="N25" i="4"/>
  <c r="N48" i="4"/>
  <c r="N46" i="4"/>
  <c r="N13" i="4"/>
  <c r="P51" i="4"/>
  <c r="P48" i="4"/>
  <c r="P13" i="4"/>
  <c r="P14" i="4"/>
  <c r="P45" i="4"/>
  <c r="P42" i="4"/>
  <c r="P50" i="4"/>
  <c r="P38" i="4"/>
  <c r="P15" i="4"/>
  <c r="P47" i="4"/>
  <c r="D10" i="24"/>
  <c r="D11" i="24"/>
  <c r="C30" i="28"/>
  <c r="E30" i="28"/>
  <c r="D30" i="28"/>
  <c r="C27" i="17"/>
  <c r="E27" i="17"/>
  <c r="C157" i="18"/>
  <c r="C189" i="18"/>
  <c r="C173" i="18"/>
  <c r="C175" i="20"/>
  <c r="E177" i="23"/>
  <c r="E171" i="17"/>
  <c r="E179" i="17"/>
  <c r="G177" i="23"/>
  <c r="E165" i="18"/>
  <c r="E187" i="17"/>
  <c r="F175" i="20"/>
  <c r="F189" i="18"/>
  <c r="E173" i="18"/>
  <c r="G167" i="19"/>
  <c r="C183" i="19"/>
  <c r="G171" i="17"/>
  <c r="E183" i="20"/>
  <c r="C181" i="18"/>
  <c r="C179" i="17"/>
  <c r="F187" i="17"/>
  <c r="G179" i="17"/>
  <c r="E185" i="23"/>
  <c r="C187" i="17"/>
  <c r="C175" i="19"/>
  <c r="F171" i="17"/>
  <c r="G187" i="17"/>
  <c r="E175" i="19"/>
  <c r="C142" i="18"/>
  <c r="C118" i="18"/>
  <c r="S39" i="30" s="1"/>
  <c r="F183" i="20"/>
  <c r="C135" i="18"/>
  <c r="C121" i="19"/>
  <c r="Z41" i="30" s="1"/>
  <c r="G183" i="20"/>
  <c r="C145" i="19"/>
  <c r="C129" i="19"/>
  <c r="C123" i="23"/>
  <c r="AB91" i="30" s="1"/>
  <c r="C113" i="19"/>
  <c r="Z33" i="30" s="1"/>
  <c r="C119" i="18"/>
  <c r="S40" i="30" s="1"/>
  <c r="C137" i="19"/>
  <c r="C143" i="18"/>
  <c r="C111" i="18"/>
  <c r="S32" i="30" s="1"/>
  <c r="C89" i="18"/>
  <c r="C74" i="17"/>
  <c r="D12" i="24"/>
  <c r="C98" i="6"/>
  <c r="C56" i="20"/>
  <c r="G12" i="4"/>
  <c r="Z12" i="4" s="1"/>
  <c r="G13" i="4"/>
  <c r="C72" i="18"/>
  <c r="C99" i="19"/>
  <c r="C74" i="28"/>
  <c r="C64" i="20"/>
  <c r="C72" i="20"/>
  <c r="C90" i="6"/>
  <c r="C67" i="21"/>
  <c r="C69" i="21"/>
  <c r="C74" i="6"/>
  <c r="C58" i="6"/>
  <c r="C62" i="17"/>
  <c r="C95" i="23"/>
  <c r="C65" i="6"/>
  <c r="D13" i="24"/>
  <c r="C64" i="19"/>
  <c r="C62" i="6"/>
  <c r="C72" i="19"/>
  <c r="D9" i="24"/>
  <c r="C178" i="18"/>
  <c r="F24" i="24"/>
  <c r="C52" i="19"/>
  <c r="Z25" i="30" s="1"/>
  <c r="F30" i="24"/>
  <c r="F22" i="24"/>
  <c r="F14" i="24"/>
  <c r="F28" i="24"/>
  <c r="F20" i="24"/>
  <c r="F12" i="24"/>
  <c r="C94" i="18"/>
  <c r="C67" i="18"/>
  <c r="F26" i="24"/>
  <c r="F18" i="24"/>
  <c r="F10" i="24"/>
  <c r="C102" i="17"/>
  <c r="C102" i="23"/>
  <c r="C66" i="6"/>
  <c r="C115" i="23"/>
  <c r="AB83" i="30" s="1"/>
  <c r="F169" i="17"/>
  <c r="G169" i="17"/>
  <c r="F163" i="18"/>
  <c r="C57" i="19"/>
  <c r="C56" i="18"/>
  <c r="C83" i="17"/>
  <c r="H25" i="30" s="1"/>
  <c r="C94" i="17"/>
  <c r="C59" i="28"/>
  <c r="C60" i="28"/>
  <c r="C88" i="23"/>
  <c r="C92" i="19"/>
  <c r="C56" i="21"/>
  <c r="C57" i="20"/>
  <c r="C74" i="19"/>
  <c r="C96" i="23"/>
  <c r="C67" i="6"/>
  <c r="C65" i="20"/>
  <c r="C65" i="19"/>
  <c r="C58" i="19"/>
  <c r="C74" i="23"/>
  <c r="C73" i="20"/>
  <c r="C66" i="19"/>
  <c r="E173" i="19"/>
  <c r="C161" i="17"/>
  <c r="G169" i="6"/>
  <c r="F177" i="6"/>
  <c r="K146" i="19"/>
  <c r="F164" i="19"/>
  <c r="C154" i="18"/>
  <c r="E163" i="18"/>
  <c r="E173" i="20"/>
  <c r="C173" i="19"/>
  <c r="E179" i="28"/>
  <c r="F161" i="17"/>
  <c r="C169" i="6"/>
  <c r="G185" i="17"/>
  <c r="G177" i="6"/>
  <c r="F185" i="17"/>
  <c r="C116" i="18"/>
  <c r="S37" i="30" s="1"/>
  <c r="C167" i="23"/>
  <c r="E169" i="6"/>
  <c r="F179" i="28"/>
  <c r="C110" i="19"/>
  <c r="Z30" i="30" s="1"/>
  <c r="C159" i="23"/>
  <c r="C165" i="19"/>
  <c r="F169" i="6"/>
  <c r="C179" i="28"/>
  <c r="E189" i="19"/>
  <c r="E169" i="17"/>
  <c r="G163" i="18"/>
  <c r="F189" i="19"/>
  <c r="E161" i="17"/>
  <c r="F165" i="19"/>
  <c r="F171" i="28"/>
  <c r="C189" i="19"/>
  <c r="G165" i="19"/>
  <c r="F173" i="20"/>
  <c r="C118" i="19"/>
  <c r="Z38" i="30" s="1"/>
  <c r="E165" i="19"/>
  <c r="F175" i="23"/>
  <c r="F181" i="19"/>
  <c r="C185" i="6"/>
  <c r="E185" i="17"/>
  <c r="C177" i="17"/>
  <c r="G173" i="19"/>
  <c r="C159" i="21"/>
  <c r="F163" i="28"/>
  <c r="C175" i="23"/>
  <c r="C181" i="19"/>
  <c r="C155" i="18"/>
  <c r="F185" i="6"/>
  <c r="C153" i="17"/>
  <c r="G175" i="23"/>
  <c r="C163" i="18"/>
  <c r="C173" i="20"/>
  <c r="E177" i="6"/>
  <c r="C169" i="17"/>
  <c r="C185" i="17"/>
  <c r="G161" i="17"/>
  <c r="G171" i="28"/>
  <c r="C52" i="18"/>
  <c r="S26" i="30" s="1"/>
  <c r="C60" i="20"/>
  <c r="C64" i="28"/>
  <c r="C56" i="28"/>
  <c r="C70" i="19"/>
  <c r="C62" i="19"/>
  <c r="E54" i="19"/>
  <c r="E69" i="18"/>
  <c r="E61" i="18"/>
  <c r="E53" i="18"/>
  <c r="E68" i="17"/>
  <c r="E60" i="17"/>
  <c r="C54" i="28"/>
  <c r="D103" i="21"/>
  <c r="D87" i="21"/>
  <c r="C89" i="28"/>
  <c r="D89" i="28"/>
  <c r="F94" i="6"/>
  <c r="D94" i="6"/>
  <c r="F86" i="6"/>
  <c r="D86" i="6"/>
  <c r="C97" i="19"/>
  <c r="D97" i="19"/>
  <c r="C86" i="18"/>
  <c r="D86" i="18"/>
  <c r="C99" i="17"/>
  <c r="D99" i="17"/>
  <c r="E69" i="21"/>
  <c r="C53" i="21"/>
  <c r="C54" i="20"/>
  <c r="F71" i="28"/>
  <c r="F63" i="28"/>
  <c r="F55" i="28"/>
  <c r="F70" i="6"/>
  <c r="F62" i="6"/>
  <c r="F54" i="6"/>
  <c r="F69" i="23"/>
  <c r="F61" i="23"/>
  <c r="C53" i="19"/>
  <c r="F68" i="18"/>
  <c r="C60" i="18"/>
  <c r="E67" i="17"/>
  <c r="D96" i="21"/>
  <c r="C98" i="19"/>
  <c r="D98" i="19"/>
  <c r="F55" i="6"/>
  <c r="F70" i="28"/>
  <c r="C62" i="28"/>
  <c r="C69" i="6"/>
  <c r="C61" i="6"/>
  <c r="C68" i="19"/>
  <c r="C60" i="19"/>
  <c r="E59" i="18"/>
  <c r="E66" i="17"/>
  <c r="E58" i="17"/>
  <c r="C103" i="18"/>
  <c r="D103" i="18"/>
  <c r="C70" i="21"/>
  <c r="C72" i="28"/>
  <c r="D93" i="21"/>
  <c r="D85" i="21"/>
  <c r="C98" i="20"/>
  <c r="D98" i="20"/>
  <c r="C90" i="20"/>
  <c r="D90" i="20"/>
  <c r="C95" i="28"/>
  <c r="D95" i="28"/>
  <c r="C87" i="28"/>
  <c r="D87" i="28"/>
  <c r="C100" i="6"/>
  <c r="D100" i="6"/>
  <c r="E67" i="21"/>
  <c r="C66" i="20"/>
  <c r="C59" i="20"/>
  <c r="F53" i="20"/>
  <c r="AW22" i="30" s="1"/>
  <c r="F69" i="28"/>
  <c r="F53" i="28"/>
  <c r="F68" i="6"/>
  <c r="F60" i="6"/>
  <c r="F67" i="23"/>
  <c r="F59" i="23"/>
  <c r="C67" i="19"/>
  <c r="C74" i="18"/>
  <c r="C85" i="20"/>
  <c r="D85" i="20"/>
  <c r="C88" i="19"/>
  <c r="D88" i="19"/>
  <c r="C97" i="20"/>
  <c r="D97" i="20"/>
  <c r="C94" i="28"/>
  <c r="D94" i="28"/>
  <c r="C86" i="28"/>
  <c r="D86" i="28"/>
  <c r="C99" i="6"/>
  <c r="D99" i="6"/>
  <c r="C58" i="21"/>
  <c r="C58" i="20"/>
  <c r="C59" i="6"/>
  <c r="E73" i="18"/>
  <c r="E65" i="18"/>
  <c r="E57" i="18"/>
  <c r="E72" i="17"/>
  <c r="E64" i="17"/>
  <c r="E56" i="17"/>
  <c r="C93" i="20"/>
  <c r="D93" i="20"/>
  <c r="C95" i="18"/>
  <c r="D95" i="18"/>
  <c r="C69" i="20"/>
  <c r="C99" i="20"/>
  <c r="D99" i="20"/>
  <c r="D99" i="21"/>
  <c r="C88" i="20"/>
  <c r="D88" i="20"/>
  <c r="C101" i="28"/>
  <c r="D101" i="28"/>
  <c r="C93" i="28"/>
  <c r="D93" i="28"/>
  <c r="C103" i="23"/>
  <c r="D103" i="23"/>
  <c r="E93" i="19"/>
  <c r="D93" i="19"/>
  <c r="E85" i="19"/>
  <c r="D85" i="19"/>
  <c r="E87" i="17"/>
  <c r="D87" i="17"/>
  <c r="E73" i="21"/>
  <c r="F67" i="28"/>
  <c r="F74" i="6"/>
  <c r="F58" i="6"/>
  <c r="F73" i="23"/>
  <c r="F65" i="23"/>
  <c r="F57" i="23"/>
  <c r="C73" i="19"/>
  <c r="C71" i="17"/>
  <c r="C63" i="17"/>
  <c r="C55" i="17"/>
  <c r="C87" i="18"/>
  <c r="D87" i="18"/>
  <c r="C61" i="20"/>
  <c r="D86" i="21"/>
  <c r="D90" i="21"/>
  <c r="C95" i="20"/>
  <c r="D95" i="20"/>
  <c r="C87" i="20"/>
  <c r="D87" i="20"/>
  <c r="C89" i="6"/>
  <c r="D89" i="6"/>
  <c r="C94" i="23"/>
  <c r="D94" i="23"/>
  <c r="C86" i="23"/>
  <c r="D86" i="23"/>
  <c r="C100" i="19"/>
  <c r="D100" i="19"/>
  <c r="C64" i="21"/>
  <c r="C71" i="20"/>
  <c r="C63" i="20"/>
  <c r="C58" i="28"/>
  <c r="C72" i="23"/>
  <c r="F71" i="18"/>
  <c r="E63" i="18"/>
  <c r="C55" i="18"/>
  <c r="E70" i="17"/>
  <c r="E54" i="17"/>
  <c r="D88" i="21"/>
  <c r="C63" i="6"/>
  <c r="D102" i="21"/>
  <c r="C91" i="20"/>
  <c r="D91" i="20"/>
  <c r="C70" i="23"/>
  <c r="C68" i="23"/>
  <c r="D97" i="21"/>
  <c r="C102" i="20"/>
  <c r="D102" i="20"/>
  <c r="C99" i="28"/>
  <c r="D99" i="28"/>
  <c r="C91" i="28"/>
  <c r="D91" i="28"/>
  <c r="E83" i="28"/>
  <c r="D83" i="28"/>
  <c r="C101" i="23"/>
  <c r="D101" i="23"/>
  <c r="C91" i="19"/>
  <c r="D91" i="19"/>
  <c r="C96" i="18"/>
  <c r="D96" i="18"/>
  <c r="C101" i="17"/>
  <c r="D101" i="17"/>
  <c r="C93" i="17"/>
  <c r="D93" i="17"/>
  <c r="C85" i="17"/>
  <c r="D85" i="17"/>
  <c r="E71" i="21"/>
  <c r="C63" i="21"/>
  <c r="C70" i="20"/>
  <c r="C62" i="20"/>
  <c r="C55" i="20"/>
  <c r="F73" i="28"/>
  <c r="F65" i="28"/>
  <c r="F57" i="28"/>
  <c r="F72" i="6"/>
  <c r="F64" i="6"/>
  <c r="F56" i="6"/>
  <c r="F71" i="23"/>
  <c r="C63" i="23"/>
  <c r="F55" i="23"/>
  <c r="C69" i="17"/>
  <c r="C61" i="17"/>
  <c r="C53" i="17"/>
  <c r="C186" i="17"/>
  <c r="W12" i="30"/>
  <c r="C126" i="19"/>
  <c r="C125" i="28"/>
  <c r="E165" i="17"/>
  <c r="C167" i="18"/>
  <c r="G176" i="19"/>
  <c r="G185" i="21"/>
  <c r="F174" i="18"/>
  <c r="C130" i="28"/>
  <c r="F166" i="28"/>
  <c r="E158" i="28"/>
  <c r="C184" i="19"/>
  <c r="K133" i="28"/>
  <c r="C117" i="28"/>
  <c r="I133" i="28"/>
  <c r="K141" i="28"/>
  <c r="K125" i="28"/>
  <c r="C141" i="28"/>
  <c r="I117" i="28"/>
  <c r="G173" i="20"/>
  <c r="K145" i="19"/>
  <c r="G111" i="18"/>
  <c r="C187" i="23"/>
  <c r="F175" i="21"/>
  <c r="K121" i="19"/>
  <c r="F111" i="18"/>
  <c r="K143" i="18"/>
  <c r="G129" i="19"/>
  <c r="K135" i="18"/>
  <c r="G113" i="19"/>
  <c r="K119" i="18"/>
  <c r="G143" i="18"/>
  <c r="G135" i="18"/>
  <c r="G174" i="18"/>
  <c r="E182" i="18"/>
  <c r="F184" i="19"/>
  <c r="C183" i="20"/>
  <c r="E185" i="21"/>
  <c r="F158" i="28"/>
  <c r="C160" i="20"/>
  <c r="C168" i="20"/>
  <c r="C154" i="23"/>
  <c r="F167" i="19"/>
  <c r="G183" i="19"/>
  <c r="G168" i="19"/>
  <c r="G153" i="21"/>
  <c r="G167" i="20"/>
  <c r="E184" i="19"/>
  <c r="F168" i="19"/>
  <c r="E176" i="19"/>
  <c r="G158" i="28"/>
  <c r="G184" i="19"/>
  <c r="F168" i="20"/>
  <c r="F185" i="23"/>
  <c r="E189" i="18"/>
  <c r="C155" i="6"/>
  <c r="F153" i="21"/>
  <c r="E157" i="28"/>
  <c r="E168" i="19"/>
  <c r="F175" i="19"/>
  <c r="F172" i="17"/>
  <c r="F176" i="19"/>
  <c r="C156" i="17"/>
  <c r="G185" i="23"/>
  <c r="G174" i="28"/>
  <c r="C172" i="17"/>
  <c r="G172" i="17"/>
  <c r="E153" i="21"/>
  <c r="E172" i="17"/>
  <c r="C167" i="20"/>
  <c r="G182" i="28"/>
  <c r="G134" i="23"/>
  <c r="C182" i="28"/>
  <c r="C153" i="21"/>
  <c r="F177" i="23"/>
  <c r="E179" i="6"/>
  <c r="F183" i="19"/>
  <c r="G173" i="18"/>
  <c r="G175" i="20"/>
  <c r="F182" i="28"/>
  <c r="C112" i="6"/>
  <c r="R80" i="30" s="1"/>
  <c r="C182" i="18"/>
  <c r="C152" i="19"/>
  <c r="F182" i="18"/>
  <c r="F173" i="18"/>
  <c r="E168" i="20"/>
  <c r="E175" i="20"/>
  <c r="E183" i="19"/>
  <c r="G189" i="18"/>
  <c r="G175" i="19"/>
  <c r="G182" i="18"/>
  <c r="G168" i="20"/>
  <c r="C125" i="20"/>
  <c r="AT42" i="30" s="1"/>
  <c r="F146" i="19"/>
  <c r="C144" i="6"/>
  <c r="C167" i="28"/>
  <c r="K111" i="18"/>
  <c r="G119" i="18"/>
  <c r="F167" i="28"/>
  <c r="C134" i="23"/>
  <c r="C128" i="6"/>
  <c r="R96" i="30" s="1"/>
  <c r="K113" i="19"/>
  <c r="E159" i="28"/>
  <c r="G141" i="17"/>
  <c r="O140" i="21"/>
  <c r="D140" i="21"/>
  <c r="O132" i="21"/>
  <c r="D132" i="21"/>
  <c r="O124" i="21"/>
  <c r="D124" i="21"/>
  <c r="I116" i="21"/>
  <c r="D116" i="21"/>
  <c r="C138" i="20"/>
  <c r="D138" i="20"/>
  <c r="C130" i="20"/>
  <c r="D130" i="20"/>
  <c r="D114" i="20"/>
  <c r="C142" i="6"/>
  <c r="D142" i="6"/>
  <c r="O134" i="6"/>
  <c r="D134" i="6"/>
  <c r="D118" i="6"/>
  <c r="G140" i="23"/>
  <c r="D140" i="23"/>
  <c r="O124" i="23"/>
  <c r="D124" i="23"/>
  <c r="D116" i="23"/>
  <c r="C146" i="19"/>
  <c r="D146" i="19"/>
  <c r="G138" i="19"/>
  <c r="D138" i="19"/>
  <c r="G130" i="19"/>
  <c r="D130" i="19"/>
  <c r="F122" i="19"/>
  <c r="D122" i="19"/>
  <c r="K114" i="19"/>
  <c r="D114" i="19"/>
  <c r="F144" i="18"/>
  <c r="D144" i="18"/>
  <c r="O136" i="18"/>
  <c r="D136" i="18"/>
  <c r="O120" i="18"/>
  <c r="D120" i="18"/>
  <c r="D112" i="18"/>
  <c r="D142" i="17"/>
  <c r="K126" i="17"/>
  <c r="D126" i="17"/>
  <c r="H37" i="30"/>
  <c r="D118" i="17"/>
  <c r="G187" i="21"/>
  <c r="D187" i="21"/>
  <c r="G179" i="21"/>
  <c r="D179" i="21"/>
  <c r="C171" i="21"/>
  <c r="D171" i="21"/>
  <c r="C163" i="21"/>
  <c r="D163" i="21"/>
  <c r="F155" i="21"/>
  <c r="D155" i="21"/>
  <c r="E177" i="20"/>
  <c r="D177" i="20"/>
  <c r="E161" i="20"/>
  <c r="I161" i="20" s="1"/>
  <c r="D161" i="20"/>
  <c r="C153" i="20"/>
  <c r="D153" i="20"/>
  <c r="C183" i="28"/>
  <c r="D183" i="28"/>
  <c r="W175" i="28"/>
  <c r="D175" i="28"/>
  <c r="S189" i="6"/>
  <c r="D189" i="6"/>
  <c r="C173" i="6"/>
  <c r="D173" i="6"/>
  <c r="C165" i="6"/>
  <c r="D165" i="6"/>
  <c r="F187" i="23"/>
  <c r="D187" i="23"/>
  <c r="E155" i="23"/>
  <c r="D155" i="23"/>
  <c r="G153" i="19"/>
  <c r="D153" i="19"/>
  <c r="U183" i="18"/>
  <c r="D183" i="18"/>
  <c r="F175" i="18"/>
  <c r="D175" i="18"/>
  <c r="R167" i="18"/>
  <c r="D167" i="18"/>
  <c r="C181" i="17"/>
  <c r="D181" i="17"/>
  <c r="F173" i="17"/>
  <c r="D173" i="17"/>
  <c r="C165" i="17"/>
  <c r="D165" i="17"/>
  <c r="D84" i="18"/>
  <c r="D84" i="23"/>
  <c r="D84" i="21"/>
  <c r="D84" i="6"/>
  <c r="D84" i="20"/>
  <c r="D84" i="19"/>
  <c r="D84" i="17"/>
  <c r="K147" i="21"/>
  <c r="D147" i="21"/>
  <c r="I139" i="21"/>
  <c r="D139" i="21"/>
  <c r="O131" i="21"/>
  <c r="D131" i="21"/>
  <c r="I123" i="21"/>
  <c r="D123" i="21"/>
  <c r="I115" i="21"/>
  <c r="D115" i="21"/>
  <c r="O145" i="20"/>
  <c r="D145" i="20"/>
  <c r="O129" i="20"/>
  <c r="D129" i="20"/>
  <c r="D121" i="20"/>
  <c r="D113" i="20"/>
  <c r="O143" i="28"/>
  <c r="D143" i="28"/>
  <c r="O135" i="28"/>
  <c r="D135" i="28"/>
  <c r="O127" i="28"/>
  <c r="D127" i="28"/>
  <c r="O119" i="28"/>
  <c r="D119" i="28"/>
  <c r="F111" i="28"/>
  <c r="D111" i="28"/>
  <c r="O141" i="6"/>
  <c r="D141" i="6"/>
  <c r="O125" i="6"/>
  <c r="D125" i="6"/>
  <c r="D117" i="6"/>
  <c r="O147" i="23"/>
  <c r="D147" i="23"/>
  <c r="O139" i="23"/>
  <c r="D139" i="23"/>
  <c r="O131" i="23"/>
  <c r="D131" i="23"/>
  <c r="D123" i="23"/>
  <c r="D115" i="23"/>
  <c r="O145" i="19"/>
  <c r="D145" i="19"/>
  <c r="O137" i="19"/>
  <c r="AP66" i="30" s="1"/>
  <c r="D137" i="19"/>
  <c r="O129" i="19"/>
  <c r="D129" i="19"/>
  <c r="O121" i="19"/>
  <c r="D121" i="19"/>
  <c r="O127" i="18"/>
  <c r="D127" i="18"/>
  <c r="G133" i="17"/>
  <c r="D133" i="17"/>
  <c r="U162" i="21"/>
  <c r="D162" i="21"/>
  <c r="E154" i="21"/>
  <c r="D154" i="21"/>
  <c r="C176" i="20"/>
  <c r="D176" i="20"/>
  <c r="W182" i="28"/>
  <c r="D182" i="28"/>
  <c r="W166" i="28"/>
  <c r="D166" i="28"/>
  <c r="W158" i="28"/>
  <c r="D158" i="28"/>
  <c r="W172" i="6"/>
  <c r="D172" i="6"/>
  <c r="F164" i="6"/>
  <c r="D164" i="6"/>
  <c r="C156" i="6"/>
  <c r="D156" i="6"/>
  <c r="U186" i="23"/>
  <c r="D186" i="23"/>
  <c r="C178" i="23"/>
  <c r="D178" i="23"/>
  <c r="C170" i="23"/>
  <c r="D170" i="23"/>
  <c r="C162" i="23"/>
  <c r="D162" i="23"/>
  <c r="V176" i="19"/>
  <c r="D176" i="19"/>
  <c r="D83" i="23"/>
  <c r="D83" i="6"/>
  <c r="K146" i="21"/>
  <c r="D146" i="21"/>
  <c r="O138" i="21"/>
  <c r="D138" i="21"/>
  <c r="O130" i="21"/>
  <c r="D130" i="21"/>
  <c r="O122" i="21"/>
  <c r="D122" i="21"/>
  <c r="O114" i="21"/>
  <c r="D114" i="21"/>
  <c r="O144" i="20"/>
  <c r="D144" i="20"/>
  <c r="O136" i="20"/>
  <c r="D136" i="20"/>
  <c r="O128" i="20"/>
  <c r="D128" i="20"/>
  <c r="D120" i="20"/>
  <c r="M142" i="28"/>
  <c r="D142" i="28"/>
  <c r="C126" i="28"/>
  <c r="D126" i="28"/>
  <c r="O118" i="28"/>
  <c r="D118" i="28"/>
  <c r="O140" i="6"/>
  <c r="D140" i="6"/>
  <c r="O124" i="6"/>
  <c r="D124" i="6"/>
  <c r="K116" i="6"/>
  <c r="D116" i="6"/>
  <c r="C146" i="23"/>
  <c r="D146" i="23"/>
  <c r="C130" i="23"/>
  <c r="AB98" i="30" s="1"/>
  <c r="D130" i="23"/>
  <c r="C114" i="23"/>
  <c r="AB82" i="30" s="1"/>
  <c r="D114" i="23"/>
  <c r="C144" i="19"/>
  <c r="D144" i="19"/>
  <c r="K128" i="19"/>
  <c r="D128" i="19"/>
  <c r="D112" i="19"/>
  <c r="O142" i="18"/>
  <c r="D142" i="18"/>
  <c r="O134" i="18"/>
  <c r="D134" i="18"/>
  <c r="O126" i="18"/>
  <c r="D126" i="18"/>
  <c r="O118" i="18"/>
  <c r="D118" i="18"/>
  <c r="G124" i="17"/>
  <c r="D124" i="17"/>
  <c r="C185" i="21"/>
  <c r="D185" i="21"/>
  <c r="V177" i="21"/>
  <c r="D177" i="21"/>
  <c r="G169" i="21"/>
  <c r="D169" i="21"/>
  <c r="G159" i="20"/>
  <c r="D159" i="20"/>
  <c r="W187" i="6"/>
  <c r="D187" i="6"/>
  <c r="F163" i="6"/>
  <c r="D163" i="6"/>
  <c r="W185" i="23"/>
  <c r="D185" i="23"/>
  <c r="T167" i="19"/>
  <c r="D167" i="19"/>
  <c r="E159" i="19"/>
  <c r="N159" i="19" s="1"/>
  <c r="D159" i="19"/>
  <c r="V179" i="17"/>
  <c r="D179" i="17"/>
  <c r="E155" i="17"/>
  <c r="D155" i="17"/>
  <c r="D83" i="20"/>
  <c r="D83" i="21"/>
  <c r="D83" i="17"/>
  <c r="D83" i="18"/>
  <c r="D83" i="19"/>
  <c r="O121" i="21"/>
  <c r="D121" i="21"/>
  <c r="O143" i="20"/>
  <c r="D143" i="20"/>
  <c r="O135" i="20"/>
  <c r="D135" i="20"/>
  <c r="C127" i="20"/>
  <c r="D127" i="20"/>
  <c r="F141" i="28"/>
  <c r="D141" i="28"/>
  <c r="F133" i="28"/>
  <c r="D133" i="28"/>
  <c r="F125" i="28"/>
  <c r="D125" i="28"/>
  <c r="F117" i="28"/>
  <c r="D117" i="28"/>
  <c r="O147" i="6"/>
  <c r="D147" i="6"/>
  <c r="O139" i="6"/>
  <c r="D139" i="6"/>
  <c r="O131" i="6"/>
  <c r="D131" i="6"/>
  <c r="O123" i="6"/>
  <c r="D123" i="6"/>
  <c r="O137" i="23"/>
  <c r="D137" i="23"/>
  <c r="K121" i="23"/>
  <c r="D121" i="23"/>
  <c r="C113" i="23"/>
  <c r="AB81" i="30" s="1"/>
  <c r="D113" i="23"/>
  <c r="O143" i="19"/>
  <c r="AP72" i="30" s="1"/>
  <c r="D143" i="19"/>
  <c r="O135" i="19"/>
  <c r="AP64" i="30" s="1"/>
  <c r="D135" i="19"/>
  <c r="O127" i="19"/>
  <c r="D127" i="19"/>
  <c r="O119" i="19"/>
  <c r="D119" i="19"/>
  <c r="C111" i="19"/>
  <c r="Z31" i="30" s="1"/>
  <c r="D111" i="19"/>
  <c r="C141" i="18"/>
  <c r="D141" i="18"/>
  <c r="C133" i="18"/>
  <c r="D133" i="18"/>
  <c r="C125" i="18"/>
  <c r="D125" i="18"/>
  <c r="C117" i="18"/>
  <c r="S38" i="30" s="1"/>
  <c r="D117" i="18"/>
  <c r="D147" i="17"/>
  <c r="G139" i="17"/>
  <c r="D139" i="17"/>
  <c r="D123" i="17"/>
  <c r="G115" i="17"/>
  <c r="D115" i="17"/>
  <c r="W184" i="21"/>
  <c r="D184" i="21"/>
  <c r="W176" i="21"/>
  <c r="D176" i="21"/>
  <c r="G182" i="20"/>
  <c r="D182" i="20"/>
  <c r="C188" i="28"/>
  <c r="D188" i="28"/>
  <c r="E164" i="28"/>
  <c r="D164" i="28"/>
  <c r="E186" i="6"/>
  <c r="D186" i="6"/>
  <c r="V178" i="6"/>
  <c r="D178" i="6"/>
  <c r="E154" i="6"/>
  <c r="I154" i="6" s="1"/>
  <c r="D154" i="6"/>
  <c r="W184" i="23"/>
  <c r="D184" i="23"/>
  <c r="E168" i="23"/>
  <c r="N168" i="23" s="1"/>
  <c r="D168" i="23"/>
  <c r="C160" i="23"/>
  <c r="D160" i="23"/>
  <c r="F182" i="19"/>
  <c r="D182" i="19"/>
  <c r="F174" i="19"/>
  <c r="D174" i="19"/>
  <c r="C158" i="19"/>
  <c r="D158" i="19"/>
  <c r="E188" i="18"/>
  <c r="D188" i="18"/>
  <c r="E180" i="18"/>
  <c r="D180" i="18"/>
  <c r="G172" i="18"/>
  <c r="D172" i="18"/>
  <c r="F164" i="18"/>
  <c r="D164" i="18"/>
  <c r="E156" i="18"/>
  <c r="D156" i="18"/>
  <c r="E186" i="17"/>
  <c r="D186" i="17"/>
  <c r="C162" i="17"/>
  <c r="D162" i="17"/>
  <c r="E154" i="17"/>
  <c r="I154" i="17" s="1"/>
  <c r="D154" i="17"/>
  <c r="O144" i="21"/>
  <c r="D144" i="21"/>
  <c r="O136" i="21"/>
  <c r="D136" i="21"/>
  <c r="O128" i="21"/>
  <c r="D128" i="21"/>
  <c r="O120" i="21"/>
  <c r="D120" i="21"/>
  <c r="O112" i="21"/>
  <c r="D112" i="21"/>
  <c r="C118" i="20"/>
  <c r="AT35" i="30" s="1"/>
  <c r="D118" i="20"/>
  <c r="O140" i="28"/>
  <c r="D140" i="28"/>
  <c r="F132" i="28"/>
  <c r="D132" i="28"/>
  <c r="O124" i="28"/>
  <c r="D124" i="28"/>
  <c r="O116" i="28"/>
  <c r="D116" i="28"/>
  <c r="O146" i="6"/>
  <c r="D146" i="6"/>
  <c r="C122" i="6"/>
  <c r="R90" i="30" s="1"/>
  <c r="D122" i="6"/>
  <c r="C144" i="23"/>
  <c r="D144" i="23"/>
  <c r="G128" i="23"/>
  <c r="D128" i="23"/>
  <c r="O120" i="23"/>
  <c r="D120" i="23"/>
  <c r="O112" i="23"/>
  <c r="D112" i="23"/>
  <c r="O142" i="19"/>
  <c r="AP71" i="30" s="1"/>
  <c r="D142" i="19"/>
  <c r="O134" i="19"/>
  <c r="AP63" i="30" s="1"/>
  <c r="D134" i="19"/>
  <c r="O118" i="19"/>
  <c r="D118" i="19"/>
  <c r="O140" i="18"/>
  <c r="D140" i="18"/>
  <c r="O132" i="18"/>
  <c r="D132" i="18"/>
  <c r="O124" i="18"/>
  <c r="D124" i="18"/>
  <c r="D116" i="18"/>
  <c r="K122" i="17"/>
  <c r="D122" i="17"/>
  <c r="W167" i="21"/>
  <c r="D167" i="21"/>
  <c r="G159" i="21"/>
  <c r="D159" i="21"/>
  <c r="C165" i="20"/>
  <c r="D165" i="20"/>
  <c r="E157" i="20"/>
  <c r="U157" i="20" s="1"/>
  <c r="D157" i="20"/>
  <c r="C187" i="28"/>
  <c r="D187" i="28"/>
  <c r="C153" i="6"/>
  <c r="D153" i="6"/>
  <c r="V189" i="19"/>
  <c r="D189" i="19"/>
  <c r="V173" i="19"/>
  <c r="D173" i="19"/>
  <c r="O143" i="21"/>
  <c r="D143" i="21"/>
  <c r="O135" i="21"/>
  <c r="D135" i="21"/>
  <c r="I127" i="21"/>
  <c r="D127" i="21"/>
  <c r="O111" i="21"/>
  <c r="D111" i="21"/>
  <c r="D117" i="20"/>
  <c r="K139" i="28"/>
  <c r="D139" i="28"/>
  <c r="K131" i="28"/>
  <c r="D131" i="28"/>
  <c r="O137" i="6"/>
  <c r="D137" i="6"/>
  <c r="O129" i="6"/>
  <c r="D129" i="6"/>
  <c r="O121" i="6"/>
  <c r="D121" i="6"/>
  <c r="D113" i="6"/>
  <c r="K143" i="23"/>
  <c r="D143" i="23"/>
  <c r="C135" i="23"/>
  <c r="D135" i="23"/>
  <c r="D119" i="23"/>
  <c r="G111" i="23"/>
  <c r="D111" i="23"/>
  <c r="O141" i="19"/>
  <c r="AP70" i="30" s="1"/>
  <c r="D141" i="19"/>
  <c r="O133" i="19"/>
  <c r="AP62" i="30" s="1"/>
  <c r="D133" i="19"/>
  <c r="O125" i="19"/>
  <c r="D125" i="19"/>
  <c r="D117" i="19"/>
  <c r="G147" i="18"/>
  <c r="D147" i="18"/>
  <c r="K139" i="18"/>
  <c r="D139" i="18"/>
  <c r="K131" i="18"/>
  <c r="D131" i="18"/>
  <c r="K123" i="18"/>
  <c r="D123" i="18"/>
  <c r="G115" i="18"/>
  <c r="D115" i="18"/>
  <c r="D129" i="17"/>
  <c r="G121" i="17"/>
  <c r="D121" i="17"/>
  <c r="G113" i="17"/>
  <c r="D113" i="17"/>
  <c r="G158" i="21"/>
  <c r="D158" i="21"/>
  <c r="W188" i="20"/>
  <c r="D188" i="20"/>
  <c r="C172" i="20"/>
  <c r="D172" i="20"/>
  <c r="F186" i="28"/>
  <c r="D186" i="28"/>
  <c r="G178" i="28"/>
  <c r="D178" i="28"/>
  <c r="C162" i="28"/>
  <c r="D162" i="28"/>
  <c r="U154" i="28"/>
  <c r="D154" i="28"/>
  <c r="C184" i="6"/>
  <c r="D184" i="6"/>
  <c r="C176" i="6"/>
  <c r="D176" i="6"/>
  <c r="U182" i="23"/>
  <c r="D182" i="23"/>
  <c r="E188" i="19"/>
  <c r="D188" i="19"/>
  <c r="E180" i="19"/>
  <c r="D180" i="19"/>
  <c r="C172" i="19"/>
  <c r="D172" i="19"/>
  <c r="C156" i="19"/>
  <c r="D156" i="19"/>
  <c r="C186" i="18"/>
  <c r="D186" i="18"/>
  <c r="G184" i="17"/>
  <c r="D184" i="17"/>
  <c r="C176" i="17"/>
  <c r="D176" i="17"/>
  <c r="W168" i="17"/>
  <c r="D168" i="17"/>
  <c r="G160" i="17"/>
  <c r="D160" i="17"/>
  <c r="O142" i="21"/>
  <c r="D142" i="21"/>
  <c r="O134" i="21"/>
  <c r="D134" i="21"/>
  <c r="O126" i="21"/>
  <c r="D126" i="21"/>
  <c r="O140" i="20"/>
  <c r="D140" i="20"/>
  <c r="C124" i="20"/>
  <c r="AT41" i="30" s="1"/>
  <c r="D124" i="20"/>
  <c r="C116" i="20"/>
  <c r="AT33" i="30" s="1"/>
  <c r="D116" i="20"/>
  <c r="O146" i="28"/>
  <c r="D146" i="28"/>
  <c r="F138" i="28"/>
  <c r="D138" i="28"/>
  <c r="C122" i="28"/>
  <c r="D122" i="28"/>
  <c r="O114" i="28"/>
  <c r="D114" i="28"/>
  <c r="O136" i="6"/>
  <c r="D136" i="6"/>
  <c r="O120" i="6"/>
  <c r="D120" i="6"/>
  <c r="G112" i="6"/>
  <c r="D112" i="6"/>
  <c r="F118" i="23"/>
  <c r="D118" i="23"/>
  <c r="F132" i="19"/>
  <c r="D132" i="19"/>
  <c r="D116" i="19"/>
  <c r="C138" i="18"/>
  <c r="D138" i="18"/>
  <c r="C122" i="18"/>
  <c r="D122" i="18"/>
  <c r="D114" i="18"/>
  <c r="D144" i="17"/>
  <c r="D136" i="17"/>
  <c r="K128" i="17"/>
  <c r="D128" i="17"/>
  <c r="G120" i="17"/>
  <c r="D120" i="17"/>
  <c r="G112" i="17"/>
  <c r="D112" i="17"/>
  <c r="F165" i="21"/>
  <c r="D165" i="21"/>
  <c r="G157" i="21"/>
  <c r="D157" i="21"/>
  <c r="G179" i="20"/>
  <c r="D179" i="20"/>
  <c r="F177" i="28"/>
  <c r="D177" i="28"/>
  <c r="T169" i="28"/>
  <c r="D169" i="28"/>
  <c r="G161" i="28"/>
  <c r="D161" i="28"/>
  <c r="U153" i="28"/>
  <c r="D153" i="28"/>
  <c r="U167" i="6"/>
  <c r="D167" i="6"/>
  <c r="C159" i="6"/>
  <c r="D159" i="6"/>
  <c r="C189" i="23"/>
  <c r="D189" i="23"/>
  <c r="S181" i="23"/>
  <c r="D181" i="23"/>
  <c r="C165" i="23"/>
  <c r="D165" i="23"/>
  <c r="C157" i="23"/>
  <c r="D157" i="23"/>
  <c r="C187" i="19"/>
  <c r="D187" i="19"/>
  <c r="C179" i="19"/>
  <c r="D179" i="19"/>
  <c r="C163" i="19"/>
  <c r="D163" i="19"/>
  <c r="C155" i="19"/>
  <c r="D155" i="19"/>
  <c r="V185" i="18"/>
  <c r="D185" i="18"/>
  <c r="F177" i="18"/>
  <c r="D177" i="18"/>
  <c r="F169" i="18"/>
  <c r="D169" i="18"/>
  <c r="T161" i="18"/>
  <c r="D161" i="18"/>
  <c r="C153" i="18"/>
  <c r="D153" i="18"/>
  <c r="G183" i="17"/>
  <c r="D183" i="17"/>
  <c r="F175" i="17"/>
  <c r="D175" i="17"/>
  <c r="F167" i="17"/>
  <c r="D167" i="17"/>
  <c r="E159" i="17"/>
  <c r="D159" i="17"/>
  <c r="C118" i="21"/>
  <c r="AM69" i="30" s="1"/>
  <c r="D118" i="21"/>
  <c r="O141" i="21"/>
  <c r="D141" i="21"/>
  <c r="O133" i="21"/>
  <c r="D133" i="21"/>
  <c r="O125" i="21"/>
  <c r="D125" i="21"/>
  <c r="O117" i="21"/>
  <c r="D117" i="21"/>
  <c r="O147" i="20"/>
  <c r="D147" i="20"/>
  <c r="O139" i="20"/>
  <c r="D139" i="20"/>
  <c r="C123" i="20"/>
  <c r="AT40" i="30" s="1"/>
  <c r="D123" i="20"/>
  <c r="D115" i="20"/>
  <c r="I145" i="28"/>
  <c r="D145" i="28"/>
  <c r="F137" i="28"/>
  <c r="D137" i="28"/>
  <c r="K129" i="28"/>
  <c r="D129" i="28"/>
  <c r="C121" i="28"/>
  <c r="D121" i="28"/>
  <c r="I113" i="28"/>
  <c r="D113" i="28"/>
  <c r="O143" i="6"/>
  <c r="D143" i="6"/>
  <c r="O135" i="6"/>
  <c r="D135" i="6"/>
  <c r="O127" i="6"/>
  <c r="D127" i="6"/>
  <c r="O111" i="6"/>
  <c r="D111" i="6"/>
  <c r="M141" i="23"/>
  <c r="D141" i="23"/>
  <c r="F133" i="23"/>
  <c r="D133" i="23"/>
  <c r="O125" i="23"/>
  <c r="D125" i="23"/>
  <c r="C117" i="23"/>
  <c r="AB85" i="30" s="1"/>
  <c r="D117" i="23"/>
  <c r="O147" i="19"/>
  <c r="D147" i="19"/>
  <c r="O139" i="19"/>
  <c r="AP68" i="30" s="1"/>
  <c r="D139" i="19"/>
  <c r="O123" i="19"/>
  <c r="D123" i="19"/>
  <c r="C115" i="19"/>
  <c r="Z35" i="30" s="1"/>
  <c r="D115" i="19"/>
  <c r="C145" i="18"/>
  <c r="D145" i="18"/>
  <c r="C137" i="18"/>
  <c r="D137" i="18"/>
  <c r="C129" i="18"/>
  <c r="D129" i="18"/>
  <c r="C121" i="18"/>
  <c r="D121" i="18"/>
  <c r="C113" i="18"/>
  <c r="S34" i="30" s="1"/>
  <c r="D113" i="18"/>
  <c r="D143" i="17"/>
  <c r="D119" i="17"/>
  <c r="C188" i="21"/>
  <c r="D188" i="21"/>
  <c r="E180" i="21"/>
  <c r="D180" i="21"/>
  <c r="C172" i="21"/>
  <c r="D172" i="21"/>
  <c r="W156" i="21"/>
  <c r="D156" i="21"/>
  <c r="E186" i="20"/>
  <c r="D186" i="20"/>
  <c r="C162" i="20"/>
  <c r="D162" i="20"/>
  <c r="C154" i="20"/>
  <c r="D154" i="20"/>
  <c r="L184" i="28"/>
  <c r="D184" i="28"/>
  <c r="E168" i="28"/>
  <c r="D168" i="28"/>
  <c r="G160" i="28"/>
  <c r="D160" i="28"/>
  <c r="G182" i="6"/>
  <c r="D182" i="6"/>
  <c r="V166" i="6"/>
  <c r="D166" i="6"/>
  <c r="C158" i="6"/>
  <c r="D158" i="6"/>
  <c r="V180" i="23"/>
  <c r="D180" i="23"/>
  <c r="C172" i="23"/>
  <c r="D172" i="23"/>
  <c r="C164" i="23"/>
  <c r="D164" i="23"/>
  <c r="C156" i="23"/>
  <c r="D156" i="23"/>
  <c r="C186" i="19"/>
  <c r="D186" i="19"/>
  <c r="C178" i="19"/>
  <c r="D178" i="19"/>
  <c r="E170" i="19"/>
  <c r="D170" i="19"/>
  <c r="C162" i="19"/>
  <c r="D162" i="19"/>
  <c r="C154" i="19"/>
  <c r="D154" i="19"/>
  <c r="V184" i="18"/>
  <c r="D184" i="18"/>
  <c r="E160" i="18"/>
  <c r="D160" i="18"/>
  <c r="F182" i="17"/>
  <c r="D182" i="17"/>
  <c r="C174" i="17"/>
  <c r="D174" i="17"/>
  <c r="U166" i="17"/>
  <c r="D166" i="17"/>
  <c r="E158" i="17"/>
  <c r="D158" i="17"/>
  <c r="C100" i="9"/>
  <c r="C71" i="19"/>
  <c r="C54" i="19"/>
  <c r="C65" i="28"/>
  <c r="C71" i="21"/>
  <c r="C55" i="23"/>
  <c r="C57" i="28"/>
  <c r="C73" i="28"/>
  <c r="C63" i="19"/>
  <c r="C55" i="19"/>
  <c r="C124" i="28"/>
  <c r="C60" i="21"/>
  <c r="E97" i="17"/>
  <c r="C97" i="17"/>
  <c r="C69" i="23"/>
  <c r="C54" i="6"/>
  <c r="C61" i="19"/>
  <c r="C53" i="20"/>
  <c r="AT22" i="30" s="1"/>
  <c r="C60" i="17"/>
  <c r="C69" i="19"/>
  <c r="C69" i="28"/>
  <c r="F62" i="23"/>
  <c r="C62" i="23"/>
  <c r="E95" i="6"/>
  <c r="C95" i="6"/>
  <c r="F88" i="6"/>
  <c r="C88" i="6"/>
  <c r="F66" i="23"/>
  <c r="C66" i="23"/>
  <c r="C88" i="17"/>
  <c r="F64" i="23"/>
  <c r="C64" i="23"/>
  <c r="F64" i="18"/>
  <c r="C64" i="18"/>
  <c r="E87" i="19"/>
  <c r="C87" i="19"/>
  <c r="C62" i="18"/>
  <c r="C99" i="18"/>
  <c r="C86" i="6"/>
  <c r="C90" i="17"/>
  <c r="C72" i="6"/>
  <c r="C69" i="18"/>
  <c r="C68" i="17"/>
  <c r="C53" i="18"/>
  <c r="C55" i="28"/>
  <c r="C68" i="18"/>
  <c r="C64" i="6"/>
  <c r="C86" i="19"/>
  <c r="C56" i="6"/>
  <c r="C65" i="23"/>
  <c r="C66" i="21"/>
  <c r="C59" i="19"/>
  <c r="C73" i="21"/>
  <c r="C71" i="28"/>
  <c r="C59" i="21"/>
  <c r="C70" i="28"/>
  <c r="C74" i="20"/>
  <c r="C61" i="18"/>
  <c r="C73" i="23"/>
  <c r="E92" i="18"/>
  <c r="C92" i="18"/>
  <c r="F57" i="6"/>
  <c r="C57" i="6"/>
  <c r="F60" i="23"/>
  <c r="C60" i="23"/>
  <c r="E54" i="18"/>
  <c r="C54" i="18"/>
  <c r="F99" i="23"/>
  <c r="C99" i="23"/>
  <c r="C83" i="18"/>
  <c r="S27" i="30" s="1"/>
  <c r="E85" i="6"/>
  <c r="C85" i="6"/>
  <c r="E98" i="18"/>
  <c r="C98" i="18"/>
  <c r="E89" i="17"/>
  <c r="C89" i="17"/>
  <c r="C102" i="19"/>
  <c r="C85" i="18"/>
  <c r="F60" i="17"/>
  <c r="G39" i="4"/>
  <c r="G38" i="4"/>
  <c r="F95" i="6"/>
  <c r="F97" i="17"/>
  <c r="F73" i="18"/>
  <c r="F73" i="21"/>
  <c r="F59" i="18"/>
  <c r="G36" i="4"/>
  <c r="F53" i="18"/>
  <c r="G14" i="4"/>
  <c r="F69" i="18"/>
  <c r="F57" i="18"/>
  <c r="F71" i="21"/>
  <c r="E90" i="18"/>
  <c r="C90" i="18"/>
  <c r="F66" i="28"/>
  <c r="C66" i="28"/>
  <c r="F71" i="6"/>
  <c r="C71" i="6"/>
  <c r="E56" i="19"/>
  <c r="C56" i="19"/>
  <c r="E100" i="23"/>
  <c r="F100" i="23"/>
  <c r="C100" i="23"/>
  <c r="C93" i="23"/>
  <c r="F93" i="23"/>
  <c r="E101" i="19"/>
  <c r="C101" i="19"/>
  <c r="C91" i="18"/>
  <c r="C84" i="18"/>
  <c r="S28" i="30" s="1"/>
  <c r="C98" i="17"/>
  <c r="C68" i="20"/>
  <c r="F56" i="23"/>
  <c r="C56" i="23"/>
  <c r="F91" i="23"/>
  <c r="C91" i="23"/>
  <c r="C101" i="18"/>
  <c r="C74" i="21"/>
  <c r="F74" i="21"/>
  <c r="F54" i="23"/>
  <c r="C54" i="23"/>
  <c r="E101" i="6"/>
  <c r="C101" i="6"/>
  <c r="E98" i="23"/>
  <c r="C98" i="23"/>
  <c r="E90" i="23"/>
  <c r="C90" i="23"/>
  <c r="E100" i="18"/>
  <c r="C100" i="18"/>
  <c r="E103" i="17"/>
  <c r="C103" i="17"/>
  <c r="C62" i="21"/>
  <c r="F52" i="28"/>
  <c r="C52" i="28"/>
  <c r="E53" i="23"/>
  <c r="C53" i="23"/>
  <c r="F53" i="23"/>
  <c r="E59" i="17"/>
  <c r="F59" i="17"/>
  <c r="C59" i="17"/>
  <c r="C67" i="20"/>
  <c r="F83" i="23"/>
  <c r="AF74" i="30" s="1"/>
  <c r="C83" i="23"/>
  <c r="AB74" i="30" s="1"/>
  <c r="C93" i="18"/>
  <c r="C86" i="17"/>
  <c r="C61" i="21"/>
  <c r="C54" i="21"/>
  <c r="E85" i="28"/>
  <c r="C85" i="28"/>
  <c r="F85" i="28"/>
  <c r="E103" i="19"/>
  <c r="C103" i="19"/>
  <c r="F103" i="19"/>
  <c r="C96" i="19"/>
  <c r="E70" i="18"/>
  <c r="C70" i="18"/>
  <c r="F102" i="6"/>
  <c r="C102" i="6"/>
  <c r="E93" i="6"/>
  <c r="C93" i="6"/>
  <c r="E95" i="19"/>
  <c r="C95" i="19"/>
  <c r="E95" i="17"/>
  <c r="C95" i="17"/>
  <c r="F68" i="28"/>
  <c r="C68" i="28"/>
  <c r="F73" i="6"/>
  <c r="C73" i="6"/>
  <c r="F58" i="23"/>
  <c r="C58" i="23"/>
  <c r="C94" i="19"/>
  <c r="F52" i="21"/>
  <c r="AQ56" i="30" s="1"/>
  <c r="C52" i="21"/>
  <c r="AM56" i="30" s="1"/>
  <c r="F53" i="6"/>
  <c r="C53" i="6"/>
  <c r="C85" i="19"/>
  <c r="C94" i="6"/>
  <c r="C83" i="28"/>
  <c r="C73" i="17"/>
  <c r="F92" i="18"/>
  <c r="F83" i="17"/>
  <c r="M25" i="30" s="1"/>
  <c r="F59" i="6"/>
  <c r="F63" i="23"/>
  <c r="F55" i="18"/>
  <c r="C63" i="28"/>
  <c r="C93" i="19"/>
  <c r="F87" i="19"/>
  <c r="F66" i="17"/>
  <c r="C84" i="23"/>
  <c r="AB75" i="30" s="1"/>
  <c r="C87" i="17"/>
  <c r="C55" i="6"/>
  <c r="F64" i="17"/>
  <c r="C96" i="17"/>
  <c r="C67" i="17"/>
  <c r="F83" i="28"/>
  <c r="F84" i="23"/>
  <c r="AF75" i="30" s="1"/>
  <c r="F52" i="19"/>
  <c r="AD25" i="30" s="1"/>
  <c r="C116" i="28"/>
  <c r="I132" i="28"/>
  <c r="F144" i="23"/>
  <c r="K132" i="28"/>
  <c r="I116" i="28"/>
  <c r="C146" i="6"/>
  <c r="C132" i="28"/>
  <c r="I124" i="28"/>
  <c r="K124" i="28"/>
  <c r="C116" i="21"/>
  <c r="AM67" i="30" s="1"/>
  <c r="F175" i="28"/>
  <c r="E187" i="21"/>
  <c r="E166" i="17"/>
  <c r="E184" i="18"/>
  <c r="E186" i="19"/>
  <c r="E167" i="18"/>
  <c r="G165" i="17"/>
  <c r="K138" i="19"/>
  <c r="K134" i="17"/>
  <c r="G114" i="19"/>
  <c r="C110" i="17"/>
  <c r="H29" i="30" s="1"/>
  <c r="C130" i="19"/>
  <c r="C146" i="21"/>
  <c r="C136" i="18"/>
  <c r="E175" i="28"/>
  <c r="C173" i="17"/>
  <c r="E173" i="17"/>
  <c r="F186" i="19"/>
  <c r="C187" i="21"/>
  <c r="E165" i="6"/>
  <c r="F181" i="17"/>
  <c r="G173" i="17"/>
  <c r="K136" i="18"/>
  <c r="F138" i="19"/>
  <c r="F184" i="18"/>
  <c r="C155" i="23"/>
  <c r="C161" i="20"/>
  <c r="F165" i="6"/>
  <c r="E181" i="17"/>
  <c r="G167" i="28"/>
  <c r="G165" i="6"/>
  <c r="G176" i="18"/>
  <c r="G181" i="17"/>
  <c r="K124" i="23"/>
  <c r="K130" i="19"/>
  <c r="F130" i="19"/>
  <c r="C184" i="18"/>
  <c r="C114" i="19"/>
  <c r="Z34" i="30" s="1"/>
  <c r="C175" i="28"/>
  <c r="E176" i="18"/>
  <c r="G175" i="28"/>
  <c r="G170" i="19"/>
  <c r="G184" i="18"/>
  <c r="F166" i="17"/>
  <c r="E178" i="19"/>
  <c r="I142" i="28"/>
  <c r="C176" i="18"/>
  <c r="E183" i="28"/>
  <c r="F159" i="28"/>
  <c r="C158" i="17"/>
  <c r="G189" i="6"/>
  <c r="G187" i="23"/>
  <c r="G178" i="19"/>
  <c r="K116" i="23"/>
  <c r="G122" i="19"/>
  <c r="E171" i="21"/>
  <c r="F170" i="19"/>
  <c r="F189" i="6"/>
  <c r="G167" i="18"/>
  <c r="F116" i="23"/>
  <c r="F136" i="18"/>
  <c r="C29" i="20"/>
  <c r="F29" i="20"/>
  <c r="C24" i="17"/>
  <c r="D24" i="17"/>
  <c r="F25" i="20"/>
  <c r="G25" i="20"/>
  <c r="D22" i="21"/>
  <c r="D21" i="6"/>
  <c r="T62" i="30" s="1"/>
  <c r="E99" i="20"/>
  <c r="F99" i="20"/>
  <c r="E91" i="20"/>
  <c r="F91" i="20"/>
  <c r="F83" i="20"/>
  <c r="AW23" i="30" s="1"/>
  <c r="C83" i="20"/>
  <c r="AT23" i="30" s="1"/>
  <c r="E96" i="28"/>
  <c r="F96" i="28"/>
  <c r="C96" i="28"/>
  <c r="E88" i="28"/>
  <c r="F88" i="28"/>
  <c r="C88" i="28"/>
  <c r="E90" i="6"/>
  <c r="F90" i="6"/>
  <c r="E96" i="23"/>
  <c r="F96" i="23"/>
  <c r="E99" i="19"/>
  <c r="F99" i="19"/>
  <c r="E89" i="19"/>
  <c r="C89" i="19"/>
  <c r="F89" i="19"/>
  <c r="E101" i="17"/>
  <c r="F101" i="17"/>
  <c r="E92" i="17"/>
  <c r="F92" i="17"/>
  <c r="C92" i="17"/>
  <c r="E68" i="21"/>
  <c r="C68" i="21"/>
  <c r="F68" i="21"/>
  <c r="E98" i="20"/>
  <c r="F98" i="20"/>
  <c r="E90" i="20"/>
  <c r="F90" i="20"/>
  <c r="E103" i="28"/>
  <c r="C103" i="28"/>
  <c r="F103" i="28"/>
  <c r="E95" i="28"/>
  <c r="F95" i="28"/>
  <c r="E87" i="28"/>
  <c r="F87" i="28"/>
  <c r="E100" i="6"/>
  <c r="F100" i="6"/>
  <c r="E89" i="6"/>
  <c r="F89" i="6"/>
  <c r="E95" i="23"/>
  <c r="F95" i="23"/>
  <c r="E98" i="19"/>
  <c r="F98" i="19"/>
  <c r="E89" i="18"/>
  <c r="F89" i="18"/>
  <c r="E100" i="17"/>
  <c r="F100" i="17"/>
  <c r="C100" i="17"/>
  <c r="E91" i="17"/>
  <c r="C91" i="17"/>
  <c r="F91" i="17"/>
  <c r="E97" i="20"/>
  <c r="F97" i="20"/>
  <c r="E89" i="20"/>
  <c r="F89" i="20"/>
  <c r="C89" i="20"/>
  <c r="E102" i="28"/>
  <c r="F102" i="28"/>
  <c r="C102" i="28"/>
  <c r="E94" i="28"/>
  <c r="F94" i="28"/>
  <c r="E86" i="28"/>
  <c r="F86" i="28"/>
  <c r="E99" i="6"/>
  <c r="F99" i="6"/>
  <c r="C84" i="6"/>
  <c r="R75" i="30" s="1"/>
  <c r="F84" i="6"/>
  <c r="V75" i="30" s="1"/>
  <c r="E94" i="23"/>
  <c r="F94" i="23"/>
  <c r="E97" i="19"/>
  <c r="F97" i="19"/>
  <c r="E97" i="18"/>
  <c r="F97" i="18"/>
  <c r="C97" i="18"/>
  <c r="E88" i="18"/>
  <c r="F88" i="18"/>
  <c r="C88" i="18"/>
  <c r="E99" i="17"/>
  <c r="F99" i="17"/>
  <c r="E72" i="21"/>
  <c r="C72" i="21"/>
  <c r="F72" i="21"/>
  <c r="C23" i="20"/>
  <c r="E23" i="20"/>
  <c r="F83" i="21"/>
  <c r="AQ57" i="30" s="1"/>
  <c r="E96" i="20"/>
  <c r="C96" i="20"/>
  <c r="F96" i="20"/>
  <c r="E88" i="20"/>
  <c r="F88" i="20"/>
  <c r="E101" i="28"/>
  <c r="F101" i="28"/>
  <c r="E93" i="28"/>
  <c r="F93" i="28"/>
  <c r="E98" i="6"/>
  <c r="F98" i="6"/>
  <c r="C83" i="6"/>
  <c r="R74" i="30" s="1"/>
  <c r="F83" i="6"/>
  <c r="V74" i="30" s="1"/>
  <c r="E89" i="23"/>
  <c r="C89" i="23"/>
  <c r="F89" i="23"/>
  <c r="E96" i="18"/>
  <c r="F96" i="18"/>
  <c r="E87" i="18"/>
  <c r="F87" i="18"/>
  <c r="E57" i="21"/>
  <c r="F57" i="21"/>
  <c r="C57" i="21"/>
  <c r="C22" i="20"/>
  <c r="E22" i="20"/>
  <c r="E103" i="20"/>
  <c r="F103" i="20"/>
  <c r="C103" i="20"/>
  <c r="E95" i="20"/>
  <c r="F95" i="20"/>
  <c r="E87" i="20"/>
  <c r="F87" i="20"/>
  <c r="E100" i="28"/>
  <c r="F100" i="28"/>
  <c r="C100" i="28"/>
  <c r="E92" i="28"/>
  <c r="C92" i="28"/>
  <c r="F92" i="28"/>
  <c r="E103" i="6"/>
  <c r="F103" i="6"/>
  <c r="C103" i="6"/>
  <c r="E97" i="6"/>
  <c r="C97" i="6"/>
  <c r="F97" i="6"/>
  <c r="E103" i="23"/>
  <c r="F103" i="23"/>
  <c r="E88" i="23"/>
  <c r="F88" i="23"/>
  <c r="F84" i="19"/>
  <c r="AD27" i="30" s="1"/>
  <c r="E95" i="18"/>
  <c r="F95" i="18"/>
  <c r="E86" i="18"/>
  <c r="F86" i="18"/>
  <c r="E65" i="21"/>
  <c r="F65" i="21"/>
  <c r="C65" i="21"/>
  <c r="E56" i="21"/>
  <c r="F56" i="21"/>
  <c r="E102" i="20"/>
  <c r="F102" i="20"/>
  <c r="E94" i="20"/>
  <c r="C94" i="20"/>
  <c r="F94" i="20"/>
  <c r="E86" i="20"/>
  <c r="C86" i="20"/>
  <c r="F86" i="20"/>
  <c r="E99" i="28"/>
  <c r="F99" i="28"/>
  <c r="E91" i="28"/>
  <c r="F91" i="28"/>
  <c r="E96" i="6"/>
  <c r="C96" i="6"/>
  <c r="F96" i="6"/>
  <c r="E87" i="6"/>
  <c r="F87" i="6"/>
  <c r="C87" i="6"/>
  <c r="E102" i="23"/>
  <c r="F102" i="23"/>
  <c r="E87" i="23"/>
  <c r="F87" i="23"/>
  <c r="C87" i="23"/>
  <c r="E92" i="19"/>
  <c r="F92" i="19"/>
  <c r="F83" i="19"/>
  <c r="AD26" i="30" s="1"/>
  <c r="C83" i="19"/>
  <c r="Z26" i="30" s="1"/>
  <c r="E94" i="18"/>
  <c r="F94" i="18"/>
  <c r="E70" i="21"/>
  <c r="F70" i="21"/>
  <c r="E55" i="21"/>
  <c r="F55" i="21"/>
  <c r="C55" i="21"/>
  <c r="E101" i="20"/>
  <c r="F101" i="20"/>
  <c r="C101" i="20"/>
  <c r="E93" i="20"/>
  <c r="F93" i="20"/>
  <c r="E85" i="20"/>
  <c r="F85" i="20"/>
  <c r="E98" i="28"/>
  <c r="F98" i="28"/>
  <c r="C98" i="28"/>
  <c r="E90" i="28"/>
  <c r="F90" i="28"/>
  <c r="C90" i="28"/>
  <c r="E92" i="6"/>
  <c r="F92" i="6"/>
  <c r="C92" i="6"/>
  <c r="E101" i="23"/>
  <c r="F101" i="23"/>
  <c r="E92" i="23"/>
  <c r="F92" i="23"/>
  <c r="C92" i="23"/>
  <c r="E86" i="23"/>
  <c r="F86" i="23"/>
  <c r="E91" i="19"/>
  <c r="F91" i="19"/>
  <c r="E103" i="18"/>
  <c r="F103" i="18"/>
  <c r="E94" i="17"/>
  <c r="F94" i="17"/>
  <c r="E85" i="17"/>
  <c r="F85" i="17"/>
  <c r="E100" i="20"/>
  <c r="C100" i="20"/>
  <c r="F100" i="20"/>
  <c r="E92" i="20"/>
  <c r="F92" i="20"/>
  <c r="C92" i="20"/>
  <c r="C84" i="20"/>
  <c r="AT24" i="30" s="1"/>
  <c r="F84" i="20"/>
  <c r="AW24" i="30" s="1"/>
  <c r="E97" i="28"/>
  <c r="C97" i="28"/>
  <c r="F97" i="28"/>
  <c r="E89" i="28"/>
  <c r="F89" i="28"/>
  <c r="E84" i="28"/>
  <c r="F84" i="28"/>
  <c r="C84" i="28"/>
  <c r="E91" i="6"/>
  <c r="F91" i="6"/>
  <c r="C91" i="6"/>
  <c r="E97" i="23"/>
  <c r="F97" i="23"/>
  <c r="C97" i="23"/>
  <c r="E85" i="23"/>
  <c r="C85" i="23"/>
  <c r="F85" i="23"/>
  <c r="E100" i="19"/>
  <c r="F100" i="19"/>
  <c r="E90" i="19"/>
  <c r="F90" i="19"/>
  <c r="C90" i="19"/>
  <c r="E102" i="18"/>
  <c r="F102" i="18"/>
  <c r="C102" i="18"/>
  <c r="E102" i="17"/>
  <c r="F102" i="17"/>
  <c r="E93" i="17"/>
  <c r="F93" i="17"/>
  <c r="E63" i="21"/>
  <c r="F63" i="21"/>
  <c r="F93" i="6"/>
  <c r="F98" i="23"/>
  <c r="F101" i="19"/>
  <c r="F85" i="19"/>
  <c r="F90" i="18"/>
  <c r="F95" i="17"/>
  <c r="E62" i="21"/>
  <c r="F62" i="21"/>
  <c r="E65" i="20"/>
  <c r="F65" i="20"/>
  <c r="F54" i="20"/>
  <c r="E72" i="28"/>
  <c r="F72" i="28"/>
  <c r="E64" i="28"/>
  <c r="F64" i="28"/>
  <c r="E58" i="28"/>
  <c r="F58" i="28"/>
  <c r="E66" i="6"/>
  <c r="F66" i="6"/>
  <c r="E74" i="23"/>
  <c r="F74" i="23"/>
  <c r="N38" i="4"/>
  <c r="N45" i="4"/>
  <c r="P25" i="4"/>
  <c r="N47" i="4"/>
  <c r="P49" i="4"/>
  <c r="E86" i="17"/>
  <c r="F86" i="17"/>
  <c r="F84" i="17"/>
  <c r="M26" i="30" s="1"/>
  <c r="E59" i="21"/>
  <c r="F59" i="21"/>
  <c r="E72" i="20"/>
  <c r="F72" i="20"/>
  <c r="E64" i="20"/>
  <c r="F64" i="20"/>
  <c r="E59" i="20"/>
  <c r="F59" i="20"/>
  <c r="E65" i="6"/>
  <c r="F65" i="6"/>
  <c r="N15" i="4"/>
  <c r="E30" i="20"/>
  <c r="E102" i="6"/>
  <c r="E86" i="6"/>
  <c r="E91" i="23"/>
  <c r="E94" i="19"/>
  <c r="F94" i="19"/>
  <c r="E99" i="18"/>
  <c r="F99" i="18"/>
  <c r="F83" i="18"/>
  <c r="W27" i="30" s="1"/>
  <c r="E88" i="17"/>
  <c r="F88" i="17"/>
  <c r="E71" i="20"/>
  <c r="F71" i="20"/>
  <c r="E63" i="20"/>
  <c r="F63" i="20"/>
  <c r="E58" i="20"/>
  <c r="F58" i="20"/>
  <c r="E56" i="28"/>
  <c r="F56" i="28"/>
  <c r="E72" i="23"/>
  <c r="F72" i="23"/>
  <c r="P39" i="4"/>
  <c r="P46" i="4"/>
  <c r="N39" i="4"/>
  <c r="E88" i="6"/>
  <c r="E93" i="23"/>
  <c r="E96" i="19"/>
  <c r="F96" i="19"/>
  <c r="E101" i="18"/>
  <c r="F101" i="18"/>
  <c r="E85" i="18"/>
  <c r="F85" i="18"/>
  <c r="E90" i="17"/>
  <c r="F90" i="17"/>
  <c r="F67" i="21"/>
  <c r="E64" i="21"/>
  <c r="F64" i="21"/>
  <c r="E61" i="21"/>
  <c r="F61" i="21"/>
  <c r="E58" i="21"/>
  <c r="F58" i="21"/>
  <c r="E57" i="20"/>
  <c r="F57" i="20"/>
  <c r="E62" i="28"/>
  <c r="F62" i="28"/>
  <c r="E63" i="6"/>
  <c r="F63" i="6"/>
  <c r="N51" i="4"/>
  <c r="F101" i="6"/>
  <c r="F85" i="6"/>
  <c r="F90" i="23"/>
  <c r="F93" i="19"/>
  <c r="F98" i="18"/>
  <c r="F103" i="17"/>
  <c r="F87" i="17"/>
  <c r="E54" i="21"/>
  <c r="F54" i="21"/>
  <c r="E70" i="20"/>
  <c r="F70" i="20"/>
  <c r="E62" i="20"/>
  <c r="F62" i="20"/>
  <c r="E56" i="20"/>
  <c r="F56" i="20"/>
  <c r="E70" i="28"/>
  <c r="E69" i="6"/>
  <c r="F69" i="6"/>
  <c r="E70" i="23"/>
  <c r="F70" i="23"/>
  <c r="N11" i="4"/>
  <c r="N41" i="4"/>
  <c r="N50" i="4"/>
  <c r="F95" i="19"/>
  <c r="F100" i="18"/>
  <c r="F84" i="18"/>
  <c r="W28" i="30" s="1"/>
  <c r="F89" i="17"/>
  <c r="F69" i="21"/>
  <c r="E74" i="20"/>
  <c r="F74" i="20"/>
  <c r="F52" i="20"/>
  <c r="AW21" i="30" s="1"/>
  <c r="E61" i="28"/>
  <c r="F61" i="28"/>
  <c r="E54" i="28"/>
  <c r="F54" i="28"/>
  <c r="N42" i="4"/>
  <c r="N49" i="4"/>
  <c r="G30" i="20"/>
  <c r="C25" i="20"/>
  <c r="H25" i="20"/>
  <c r="E94" i="6"/>
  <c r="E99" i="23"/>
  <c r="E102" i="19"/>
  <c r="F102" i="19"/>
  <c r="E86" i="19"/>
  <c r="F86" i="19"/>
  <c r="E91" i="18"/>
  <c r="F91" i="18"/>
  <c r="E96" i="17"/>
  <c r="F96" i="17"/>
  <c r="E60" i="21"/>
  <c r="F60" i="21"/>
  <c r="E69" i="20"/>
  <c r="F69" i="20"/>
  <c r="E61" i="20"/>
  <c r="F61" i="20"/>
  <c r="E74" i="28"/>
  <c r="F74" i="28"/>
  <c r="E60" i="28"/>
  <c r="F60" i="28"/>
  <c r="E61" i="6"/>
  <c r="F61" i="6"/>
  <c r="N14" i="4"/>
  <c r="N52" i="4"/>
  <c r="G29" i="20"/>
  <c r="E88" i="19"/>
  <c r="F88" i="19"/>
  <c r="E93" i="18"/>
  <c r="F93" i="18"/>
  <c r="E98" i="17"/>
  <c r="F98" i="17"/>
  <c r="E74" i="21"/>
  <c r="E66" i="21"/>
  <c r="F66" i="21"/>
  <c r="E53" i="21"/>
  <c r="F53" i="21"/>
  <c r="E73" i="20"/>
  <c r="F73" i="20"/>
  <c r="E66" i="20"/>
  <c r="F66" i="20"/>
  <c r="E60" i="20"/>
  <c r="F60" i="20"/>
  <c r="E59" i="28"/>
  <c r="F59" i="28"/>
  <c r="E67" i="6"/>
  <c r="F67" i="6"/>
  <c r="E68" i="23"/>
  <c r="F68" i="23"/>
  <c r="E71" i="28"/>
  <c r="E55" i="28"/>
  <c r="E62" i="6"/>
  <c r="F52" i="6"/>
  <c r="V73" i="30" s="1"/>
  <c r="E69" i="23"/>
  <c r="E56" i="23"/>
  <c r="E72" i="19"/>
  <c r="F72" i="19"/>
  <c r="E67" i="19"/>
  <c r="F67" i="19"/>
  <c r="E68" i="18"/>
  <c r="AB63" i="30"/>
  <c r="AD63" i="30"/>
  <c r="E71" i="6"/>
  <c r="E68" i="6"/>
  <c r="E55" i="6"/>
  <c r="E62" i="23"/>
  <c r="E59" i="23"/>
  <c r="E66" i="19"/>
  <c r="F66" i="19"/>
  <c r="E61" i="19"/>
  <c r="F61" i="19"/>
  <c r="E71" i="18"/>
  <c r="E67" i="18"/>
  <c r="F67" i="18"/>
  <c r="E58" i="18"/>
  <c r="F58" i="18"/>
  <c r="E73" i="17"/>
  <c r="F73" i="17"/>
  <c r="E63" i="17"/>
  <c r="F63" i="17"/>
  <c r="E53" i="17"/>
  <c r="F53" i="17"/>
  <c r="E67" i="20"/>
  <c r="F67" i="20"/>
  <c r="E55" i="20"/>
  <c r="F55" i="20"/>
  <c r="E67" i="28"/>
  <c r="E74" i="6"/>
  <c r="E58" i="6"/>
  <c r="E65" i="23"/>
  <c r="F52" i="23"/>
  <c r="AF73" i="30" s="1"/>
  <c r="E71" i="19"/>
  <c r="F71" i="19"/>
  <c r="E60" i="19"/>
  <c r="F60" i="19"/>
  <c r="E62" i="17"/>
  <c r="F62" i="17"/>
  <c r="E73" i="28"/>
  <c r="E57" i="28"/>
  <c r="E64" i="6"/>
  <c r="E71" i="23"/>
  <c r="E58" i="23"/>
  <c r="E55" i="23"/>
  <c r="E70" i="19"/>
  <c r="F70" i="19"/>
  <c r="E65" i="19"/>
  <c r="F65" i="19"/>
  <c r="E74" i="18"/>
  <c r="F74" i="18"/>
  <c r="E66" i="18"/>
  <c r="F66" i="18"/>
  <c r="E62" i="18"/>
  <c r="F62" i="18"/>
  <c r="E71" i="17"/>
  <c r="F71" i="17"/>
  <c r="E61" i="17"/>
  <c r="F61" i="17"/>
  <c r="C26" i="19"/>
  <c r="E26" i="19"/>
  <c r="E66" i="28"/>
  <c r="E63" i="28"/>
  <c r="E73" i="6"/>
  <c r="E70" i="6"/>
  <c r="E57" i="6"/>
  <c r="E54" i="6"/>
  <c r="E64" i="23"/>
  <c r="E61" i="23"/>
  <c r="E64" i="19"/>
  <c r="F64" i="19"/>
  <c r="E59" i="19"/>
  <c r="F59" i="19"/>
  <c r="E55" i="19"/>
  <c r="F55" i="19"/>
  <c r="E57" i="17"/>
  <c r="F57" i="17"/>
  <c r="F52" i="17"/>
  <c r="M24" i="30" s="1"/>
  <c r="C20" i="21"/>
  <c r="D20" i="21"/>
  <c r="R64" i="30"/>
  <c r="T64" i="30"/>
  <c r="E69" i="28"/>
  <c r="E53" i="28"/>
  <c r="E60" i="6"/>
  <c r="E67" i="23"/>
  <c r="E54" i="23"/>
  <c r="E74" i="19"/>
  <c r="F74" i="19"/>
  <c r="E69" i="19"/>
  <c r="F69" i="19"/>
  <c r="E58" i="19"/>
  <c r="F58" i="19"/>
  <c r="E60" i="18"/>
  <c r="F60" i="18"/>
  <c r="E56" i="18"/>
  <c r="F56" i="18"/>
  <c r="F52" i="18"/>
  <c r="W26" i="30" s="1"/>
  <c r="E65" i="17"/>
  <c r="F65" i="17"/>
  <c r="C31" i="21"/>
  <c r="E31" i="21"/>
  <c r="E53" i="6"/>
  <c r="E73" i="23"/>
  <c r="E60" i="23"/>
  <c r="E57" i="23"/>
  <c r="E68" i="19"/>
  <c r="F68" i="19"/>
  <c r="E63" i="19"/>
  <c r="F63" i="19"/>
  <c r="E64" i="18"/>
  <c r="E69" i="17"/>
  <c r="F69" i="17"/>
  <c r="E55" i="17"/>
  <c r="F55" i="17"/>
  <c r="E68" i="20"/>
  <c r="F68" i="20"/>
  <c r="E68" i="28"/>
  <c r="E65" i="28"/>
  <c r="E52" i="28"/>
  <c r="E72" i="6"/>
  <c r="E59" i="6"/>
  <c r="E56" i="6"/>
  <c r="E66" i="23"/>
  <c r="E63" i="23"/>
  <c r="E73" i="19"/>
  <c r="F73" i="19"/>
  <c r="E62" i="19"/>
  <c r="F62" i="19"/>
  <c r="E57" i="19"/>
  <c r="F57" i="19"/>
  <c r="E53" i="19"/>
  <c r="F53" i="19"/>
  <c r="E72" i="18"/>
  <c r="F72" i="18"/>
  <c r="E55" i="18"/>
  <c r="E74" i="17"/>
  <c r="F74" i="17"/>
  <c r="C31" i="28"/>
  <c r="E31" i="28"/>
  <c r="D22" i="28"/>
  <c r="F63" i="18"/>
  <c r="F70" i="17"/>
  <c r="F54" i="17"/>
  <c r="C30" i="21"/>
  <c r="E30" i="21"/>
  <c r="F65" i="18"/>
  <c r="F72" i="17"/>
  <c r="F56" i="17"/>
  <c r="F67" i="17"/>
  <c r="F58" i="17"/>
  <c r="C20" i="28"/>
  <c r="D20" i="28"/>
  <c r="C31" i="19"/>
  <c r="D31" i="19"/>
  <c r="D28" i="21"/>
  <c r="E23" i="21"/>
  <c r="AB65" i="30"/>
  <c r="E25" i="19"/>
  <c r="C26" i="17"/>
  <c r="E26" i="17"/>
  <c r="C23" i="28"/>
  <c r="E23" i="28"/>
  <c r="C28" i="28"/>
  <c r="D28" i="28"/>
  <c r="R65" i="30"/>
  <c r="F56" i="19"/>
  <c r="F54" i="19"/>
  <c r="F70" i="18"/>
  <c r="F61" i="18"/>
  <c r="F54" i="18"/>
  <c r="F68" i="17"/>
  <c r="D30" i="21"/>
  <c r="C23" i="19"/>
  <c r="D23" i="19"/>
  <c r="F132" i="18"/>
  <c r="C141" i="23"/>
  <c r="C134" i="6"/>
  <c r="G134" i="6"/>
  <c r="G120" i="6"/>
  <c r="K116" i="21"/>
  <c r="K138" i="28"/>
  <c r="E188" i="20"/>
  <c r="F110" i="19"/>
  <c r="K134" i="6"/>
  <c r="K147" i="18"/>
  <c r="G110" i="6"/>
  <c r="C139" i="21"/>
  <c r="C121" i="20"/>
  <c r="AT38" i="30" s="1"/>
  <c r="K110" i="6"/>
  <c r="C177" i="28"/>
  <c r="C161" i="28"/>
  <c r="E182" i="19"/>
  <c r="E164" i="18"/>
  <c r="E184" i="23"/>
  <c r="C180" i="18"/>
  <c r="C188" i="18"/>
  <c r="G180" i="18"/>
  <c r="G178" i="6"/>
  <c r="G135" i="23"/>
  <c r="C164" i="28"/>
  <c r="C182" i="19"/>
  <c r="C156" i="18"/>
  <c r="C164" i="18"/>
  <c r="C184" i="23"/>
  <c r="G182" i="19"/>
  <c r="K115" i="17"/>
  <c r="F135" i="23"/>
  <c r="G116" i="20"/>
  <c r="C143" i="19"/>
  <c r="F178" i="6"/>
  <c r="G176" i="21"/>
  <c r="C121" i="23"/>
  <c r="AB89" i="30" s="1"/>
  <c r="H34" i="30"/>
  <c r="C154" i="6"/>
  <c r="E188" i="28"/>
  <c r="E178" i="6"/>
  <c r="F184" i="23"/>
  <c r="F182" i="20"/>
  <c r="G184" i="21"/>
  <c r="F121" i="23"/>
  <c r="C154" i="17"/>
  <c r="C184" i="21"/>
  <c r="F186" i="17"/>
  <c r="C168" i="23"/>
  <c r="E176" i="21"/>
  <c r="E182" i="20"/>
  <c r="G184" i="23"/>
  <c r="F188" i="28"/>
  <c r="C135" i="19"/>
  <c r="C178" i="6"/>
  <c r="F176" i="21"/>
  <c r="F172" i="18"/>
  <c r="G172" i="28"/>
  <c r="M141" i="28"/>
  <c r="C127" i="19"/>
  <c r="C119" i="19"/>
  <c r="Z39" i="30" s="1"/>
  <c r="E184" i="21"/>
  <c r="F184" i="21"/>
  <c r="F172" i="28"/>
  <c r="C176" i="21"/>
  <c r="C172" i="18"/>
  <c r="C133" i="23"/>
  <c r="C164" i="19"/>
  <c r="F162" i="28"/>
  <c r="C160" i="17"/>
  <c r="G176" i="6"/>
  <c r="G164" i="19"/>
  <c r="K133" i="19"/>
  <c r="C147" i="21"/>
  <c r="C115" i="18"/>
  <c r="S36" i="30" s="1"/>
  <c r="K145" i="28"/>
  <c r="K115" i="21"/>
  <c r="E164" i="19"/>
  <c r="F172" i="19"/>
  <c r="E186" i="18"/>
  <c r="F184" i="6"/>
  <c r="C166" i="21"/>
  <c r="C188" i="20"/>
  <c r="G184" i="6"/>
  <c r="G168" i="17"/>
  <c r="K115" i="18"/>
  <c r="K121" i="17"/>
  <c r="G133" i="19"/>
  <c r="K137" i="28"/>
  <c r="E172" i="19"/>
  <c r="E168" i="17"/>
  <c r="F186" i="18"/>
  <c r="E158" i="21"/>
  <c r="F188" i="20"/>
  <c r="G172" i="19"/>
  <c r="G188" i="20"/>
  <c r="G186" i="18"/>
  <c r="G176" i="17"/>
  <c r="G131" i="18"/>
  <c r="C131" i="18"/>
  <c r="C133" i="19"/>
  <c r="C147" i="18"/>
  <c r="C129" i="28"/>
  <c r="C111" i="23"/>
  <c r="AB79" i="30" s="1"/>
  <c r="C119" i="23"/>
  <c r="AB87" i="30" s="1"/>
  <c r="I137" i="28"/>
  <c r="K139" i="21"/>
  <c r="F168" i="17"/>
  <c r="E184" i="6"/>
  <c r="C188" i="19"/>
  <c r="F158" i="21"/>
  <c r="C158" i="23"/>
  <c r="G178" i="18"/>
  <c r="K111" i="6"/>
  <c r="K111" i="23"/>
  <c r="K113" i="17"/>
  <c r="G123" i="18"/>
  <c r="I129" i="28"/>
  <c r="C168" i="17"/>
  <c r="C182" i="23"/>
  <c r="F184" i="17"/>
  <c r="G180" i="19"/>
  <c r="G188" i="19"/>
  <c r="K117" i="19"/>
  <c r="G141" i="23"/>
  <c r="H32" i="30"/>
  <c r="E178" i="18"/>
  <c r="F180" i="19"/>
  <c r="E178" i="28"/>
  <c r="F176" i="17"/>
  <c r="C137" i="28"/>
  <c r="C131" i="21"/>
  <c r="K113" i="28"/>
  <c r="K131" i="21"/>
  <c r="F178" i="18"/>
  <c r="F176" i="6"/>
  <c r="E176" i="17"/>
  <c r="F182" i="23"/>
  <c r="F188" i="19"/>
  <c r="E184" i="17"/>
  <c r="G132" i="28"/>
  <c r="K141" i="23"/>
  <c r="G146" i="6"/>
  <c r="F141" i="23"/>
  <c r="C158" i="21"/>
  <c r="I131" i="21"/>
  <c r="C117" i="19"/>
  <c r="Z37" i="30" s="1"/>
  <c r="C178" i="28"/>
  <c r="F146" i="6"/>
  <c r="I143" i="28"/>
  <c r="C119" i="28"/>
  <c r="C125" i="6"/>
  <c r="R93" i="30" s="1"/>
  <c r="I119" i="28"/>
  <c r="C127" i="28"/>
  <c r="C140" i="23"/>
  <c r="C147" i="23"/>
  <c r="I111" i="28"/>
  <c r="E169" i="28"/>
  <c r="E173" i="21"/>
  <c r="E181" i="23"/>
  <c r="E181" i="21"/>
  <c r="E161" i="28"/>
  <c r="I135" i="28"/>
  <c r="F171" i="20"/>
  <c r="C157" i="21"/>
  <c r="C163" i="20"/>
  <c r="G169" i="28"/>
  <c r="G181" i="23"/>
  <c r="G128" i="17"/>
  <c r="E177" i="28"/>
  <c r="G153" i="28"/>
  <c r="C111" i="28"/>
  <c r="K135" i="28"/>
  <c r="C167" i="6"/>
  <c r="C173" i="21"/>
  <c r="G173" i="21"/>
  <c r="G177" i="28"/>
  <c r="C117" i="6"/>
  <c r="R85" i="30" s="1"/>
  <c r="I127" i="28"/>
  <c r="F167" i="6"/>
  <c r="F178" i="19"/>
  <c r="G181" i="21"/>
  <c r="F134" i="6"/>
  <c r="H31" i="30"/>
  <c r="E167" i="6"/>
  <c r="E165" i="21"/>
  <c r="E189" i="23"/>
  <c r="F153" i="28"/>
  <c r="K120" i="17"/>
  <c r="C169" i="28"/>
  <c r="F181" i="23"/>
  <c r="K119" i="28"/>
  <c r="F169" i="28"/>
  <c r="C153" i="28"/>
  <c r="F161" i="28"/>
  <c r="F173" i="21"/>
  <c r="E161" i="23"/>
  <c r="I161" i="23" s="1"/>
  <c r="C161" i="23"/>
  <c r="F110" i="28"/>
  <c r="C135" i="28"/>
  <c r="C112" i="21"/>
  <c r="AM63" i="30" s="1"/>
  <c r="K143" i="28"/>
  <c r="K111" i="28"/>
  <c r="E171" i="20"/>
  <c r="G171" i="20"/>
  <c r="F112" i="21"/>
  <c r="G146" i="23"/>
  <c r="C142" i="28"/>
  <c r="C171" i="20"/>
  <c r="G188" i="21"/>
  <c r="G170" i="20"/>
  <c r="F145" i="28"/>
  <c r="C116" i="6"/>
  <c r="R84" i="30" s="1"/>
  <c r="I110" i="28"/>
  <c r="E152" i="28"/>
  <c r="C161" i="18"/>
  <c r="K117" i="6"/>
  <c r="G152" i="28"/>
  <c r="C180" i="21"/>
  <c r="F157" i="21"/>
  <c r="F140" i="23"/>
  <c r="C147" i="19"/>
  <c r="C143" i="28"/>
  <c r="K127" i="28"/>
  <c r="C181" i="21"/>
  <c r="E153" i="28"/>
  <c r="F188" i="21"/>
  <c r="E157" i="21"/>
  <c r="C155" i="20"/>
  <c r="G167" i="6"/>
  <c r="G111" i="28"/>
  <c r="G172" i="21"/>
  <c r="G127" i="21"/>
  <c r="G110" i="28"/>
  <c r="C169" i="18"/>
  <c r="E188" i="21"/>
  <c r="G126" i="28"/>
  <c r="C188" i="23"/>
  <c r="C160" i="28"/>
  <c r="C166" i="6"/>
  <c r="K126" i="28"/>
  <c r="C139" i="19"/>
  <c r="E179" i="19"/>
  <c r="C185" i="18"/>
  <c r="E184" i="28"/>
  <c r="E166" i="6"/>
  <c r="G142" i="28"/>
  <c r="F126" i="28"/>
  <c r="K146" i="23"/>
  <c r="K122" i="19"/>
  <c r="G110" i="19"/>
  <c r="E133" i="28"/>
  <c r="E171" i="19"/>
  <c r="C180" i="23"/>
  <c r="F156" i="21"/>
  <c r="F172" i="21"/>
  <c r="F142" i="28"/>
  <c r="K127" i="21"/>
  <c r="I126" i="28"/>
  <c r="C113" i="28"/>
  <c r="C125" i="23"/>
  <c r="AB93" i="30" s="1"/>
  <c r="F170" i="20"/>
  <c r="E183" i="17"/>
  <c r="C171" i="19"/>
  <c r="E172" i="21"/>
  <c r="C177" i="18"/>
  <c r="F180" i="23"/>
  <c r="E156" i="21"/>
  <c r="F160" i="28"/>
  <c r="G171" i="19"/>
  <c r="K125" i="6"/>
  <c r="K140" i="23"/>
  <c r="G116" i="23"/>
  <c r="G118" i="19"/>
  <c r="F180" i="21"/>
  <c r="C156" i="21"/>
  <c r="E160" i="28"/>
  <c r="G180" i="23"/>
  <c r="E180" i="23"/>
  <c r="G179" i="19"/>
  <c r="C136" i="20"/>
  <c r="C123" i="19"/>
  <c r="C110" i="28"/>
  <c r="K142" i="28"/>
  <c r="G188" i="23"/>
  <c r="G187" i="19"/>
  <c r="G156" i="21"/>
  <c r="K110" i="17"/>
  <c r="G126" i="17"/>
  <c r="M119" i="21"/>
  <c r="O119" i="21"/>
  <c r="V185" i="20"/>
  <c r="F185" i="20"/>
  <c r="O134" i="28"/>
  <c r="C134" i="28"/>
  <c r="I134" i="28"/>
  <c r="K134" i="28"/>
  <c r="F134" i="28"/>
  <c r="G134" i="28"/>
  <c r="F127" i="17"/>
  <c r="O127" i="17"/>
  <c r="C145" i="6"/>
  <c r="O145" i="6"/>
  <c r="V174" i="20"/>
  <c r="C174" i="20"/>
  <c r="G174" i="20"/>
  <c r="F174" i="20"/>
  <c r="E174" i="20"/>
  <c r="F145" i="21"/>
  <c r="O145" i="21"/>
  <c r="C145" i="21"/>
  <c r="I145" i="21"/>
  <c r="K145" i="21"/>
  <c r="G129" i="21"/>
  <c r="O129" i="21"/>
  <c r="M113" i="21"/>
  <c r="O113" i="21"/>
  <c r="I113" i="21"/>
  <c r="C113" i="21"/>
  <c r="AM64" i="30" s="1"/>
  <c r="I137" i="21"/>
  <c r="O137" i="21"/>
  <c r="G122" i="28"/>
  <c r="K144" i="19"/>
  <c r="G142" i="20"/>
  <c r="O142" i="20"/>
  <c r="G134" i="20"/>
  <c r="O134" i="20"/>
  <c r="G126" i="20"/>
  <c r="O126" i="20"/>
  <c r="M119" i="20"/>
  <c r="AW36" i="30" s="1"/>
  <c r="M111" i="20"/>
  <c r="E145" i="28"/>
  <c r="O145" i="28"/>
  <c r="E137" i="28"/>
  <c r="O137" i="28"/>
  <c r="E129" i="28"/>
  <c r="O129" i="28"/>
  <c r="M121" i="28"/>
  <c r="O121" i="28"/>
  <c r="E113" i="28"/>
  <c r="O113" i="28"/>
  <c r="G144" i="6"/>
  <c r="O144" i="6"/>
  <c r="G128" i="6"/>
  <c r="O128" i="6"/>
  <c r="I112" i="6"/>
  <c r="C142" i="23"/>
  <c r="O142" i="23"/>
  <c r="M135" i="23"/>
  <c r="O135" i="23"/>
  <c r="M129" i="23"/>
  <c r="AF97" i="30" s="1"/>
  <c r="I121" i="23"/>
  <c r="M111" i="19"/>
  <c r="AD31" i="30" s="1"/>
  <c r="M141" i="18"/>
  <c r="O141" i="18"/>
  <c r="M133" i="18"/>
  <c r="O133" i="18"/>
  <c r="M125" i="18"/>
  <c r="O125" i="18"/>
  <c r="M117" i="18"/>
  <c r="W38" i="30" s="1"/>
  <c r="O117" i="18"/>
  <c r="O147" i="17"/>
  <c r="F147" i="17"/>
  <c r="O139" i="17"/>
  <c r="F139" i="17"/>
  <c r="O132" i="17"/>
  <c r="F132" i="17"/>
  <c r="G125" i="17"/>
  <c r="O125" i="17"/>
  <c r="F125" i="17"/>
  <c r="G117" i="17"/>
  <c r="O117" i="17"/>
  <c r="F117" i="17"/>
  <c r="F122" i="28"/>
  <c r="G143" i="23"/>
  <c r="I122" i="28"/>
  <c r="K112" i="21"/>
  <c r="F171" i="19"/>
  <c r="C164" i="20"/>
  <c r="C179" i="21"/>
  <c r="F179" i="19"/>
  <c r="C174" i="23"/>
  <c r="E176" i="6"/>
  <c r="F188" i="23"/>
  <c r="F178" i="28"/>
  <c r="F187" i="21"/>
  <c r="C169" i="21"/>
  <c r="E176" i="28"/>
  <c r="G174" i="23"/>
  <c r="F121" i="28"/>
  <c r="K137" i="6"/>
  <c r="F112" i="6"/>
  <c r="F143" i="23"/>
  <c r="F128" i="19"/>
  <c r="F126" i="18"/>
  <c r="K118" i="21"/>
  <c r="O118" i="21"/>
  <c r="F132" i="20"/>
  <c r="O132" i="20"/>
  <c r="F124" i="20"/>
  <c r="O111" i="28"/>
  <c r="K142" i="6"/>
  <c r="O142" i="6"/>
  <c r="K126" i="6"/>
  <c r="O126" i="6"/>
  <c r="M110" i="6"/>
  <c r="V78" i="30" s="1"/>
  <c r="O141" i="23"/>
  <c r="M133" i="23"/>
  <c r="O133" i="23"/>
  <c r="C127" i="23"/>
  <c r="AB95" i="30" s="1"/>
  <c r="O127" i="23"/>
  <c r="M111" i="23"/>
  <c r="AF79" i="30" s="1"/>
  <c r="O111" i="23"/>
  <c r="M147" i="18"/>
  <c r="O147" i="18"/>
  <c r="M139" i="18"/>
  <c r="O139" i="18"/>
  <c r="M131" i="18"/>
  <c r="O131" i="18"/>
  <c r="C123" i="18"/>
  <c r="O123" i="18"/>
  <c r="M115" i="18"/>
  <c r="W36" i="30" s="1"/>
  <c r="G145" i="17"/>
  <c r="F145" i="17"/>
  <c r="O145" i="17"/>
  <c r="O137" i="17"/>
  <c r="F137" i="17"/>
  <c r="F130" i="17"/>
  <c r="O130" i="17"/>
  <c r="O123" i="17"/>
  <c r="F123" i="17"/>
  <c r="I115" i="17"/>
  <c r="M112" i="20"/>
  <c r="AW29" i="30" s="1"/>
  <c r="I130" i="28"/>
  <c r="O130" i="28"/>
  <c r="M136" i="23"/>
  <c r="O136" i="23"/>
  <c r="I138" i="28"/>
  <c r="K122" i="28"/>
  <c r="F144" i="19"/>
  <c r="M127" i="21"/>
  <c r="O127" i="21"/>
  <c r="F133" i="20"/>
  <c r="O133" i="20"/>
  <c r="M118" i="20"/>
  <c r="AW35" i="30" s="1"/>
  <c r="C144" i="28"/>
  <c r="O144" i="28"/>
  <c r="C120" i="28"/>
  <c r="O120" i="28"/>
  <c r="M126" i="19"/>
  <c r="O126" i="19"/>
  <c r="O146" i="17"/>
  <c r="F146" i="17"/>
  <c r="F138" i="17"/>
  <c r="O138" i="17"/>
  <c r="M131" i="17"/>
  <c r="O131" i="17"/>
  <c r="F131" i="17"/>
  <c r="O124" i="17"/>
  <c r="F124" i="17"/>
  <c r="C124" i="18"/>
  <c r="C143" i="23"/>
  <c r="C126" i="18"/>
  <c r="C114" i="28"/>
  <c r="C145" i="28"/>
  <c r="K121" i="28"/>
  <c r="C111" i="6"/>
  <c r="R79" i="30" s="1"/>
  <c r="I112" i="21"/>
  <c r="C152" i="28"/>
  <c r="F183" i="17"/>
  <c r="F179" i="21"/>
  <c r="F174" i="23"/>
  <c r="E188" i="23"/>
  <c r="E169" i="21"/>
  <c r="C154" i="28"/>
  <c r="F176" i="28"/>
  <c r="C177" i="21"/>
  <c r="G163" i="21"/>
  <c r="G166" i="6"/>
  <c r="G185" i="18"/>
  <c r="G154" i="28"/>
  <c r="G161" i="18"/>
  <c r="G182" i="23"/>
  <c r="D110" i="17"/>
  <c r="K124" i="17"/>
  <c r="G112" i="20"/>
  <c r="G111" i="6"/>
  <c r="G130" i="23"/>
  <c r="G115" i="23"/>
  <c r="G126" i="19"/>
  <c r="F124" i="18"/>
  <c r="K131" i="20"/>
  <c r="O131" i="20"/>
  <c r="K123" i="20"/>
  <c r="O142" i="28"/>
  <c r="O126" i="28"/>
  <c r="E110" i="28"/>
  <c r="O110" i="28"/>
  <c r="K133" i="6"/>
  <c r="O133" i="6"/>
  <c r="M140" i="23"/>
  <c r="O140" i="23"/>
  <c r="F126" i="23"/>
  <c r="O126" i="23"/>
  <c r="M118" i="23"/>
  <c r="AF86" i="30" s="1"/>
  <c r="M110" i="23"/>
  <c r="AF78" i="30" s="1"/>
  <c r="M140" i="19"/>
  <c r="O140" i="19"/>
  <c r="AP69" i="30" s="1"/>
  <c r="M132" i="19"/>
  <c r="O132" i="19"/>
  <c r="M124" i="19"/>
  <c r="O124" i="19"/>
  <c r="F146" i="18"/>
  <c r="O146" i="18"/>
  <c r="F138" i="18"/>
  <c r="O138" i="18"/>
  <c r="C130" i="18"/>
  <c r="O130" i="18"/>
  <c r="F122" i="18"/>
  <c r="O122" i="18"/>
  <c r="C114" i="18"/>
  <c r="S35" i="30" s="1"/>
  <c r="O144" i="17"/>
  <c r="F144" i="17"/>
  <c r="F136" i="17"/>
  <c r="O136" i="17"/>
  <c r="F129" i="17"/>
  <c r="O129" i="17"/>
  <c r="F122" i="17"/>
  <c r="O122" i="17"/>
  <c r="M114" i="17"/>
  <c r="M33" i="30" s="1"/>
  <c r="F141" i="20"/>
  <c r="O141" i="20"/>
  <c r="K136" i="28"/>
  <c r="O136" i="28"/>
  <c r="G128" i="28"/>
  <c r="O128" i="28"/>
  <c r="G112" i="28"/>
  <c r="O112" i="28"/>
  <c r="M134" i="23"/>
  <c r="O134" i="23"/>
  <c r="O116" i="17"/>
  <c r="F116" i="17"/>
  <c r="C146" i="28"/>
  <c r="C137" i="6"/>
  <c r="C138" i="28"/>
  <c r="K114" i="28"/>
  <c r="C112" i="20"/>
  <c r="AT29" i="30" s="1"/>
  <c r="C129" i="6"/>
  <c r="R97" i="30" s="1"/>
  <c r="I114" i="28"/>
  <c r="I121" i="28"/>
  <c r="E169" i="18"/>
  <c r="E162" i="28"/>
  <c r="E185" i="18"/>
  <c r="E161" i="18"/>
  <c r="F163" i="21"/>
  <c r="C176" i="28"/>
  <c r="F177" i="21"/>
  <c r="G176" i="28"/>
  <c r="G162" i="28"/>
  <c r="G169" i="18"/>
  <c r="K112" i="23"/>
  <c r="K112" i="19"/>
  <c r="K126" i="18"/>
  <c r="K139" i="17"/>
  <c r="F111" i="6"/>
  <c r="F114" i="23"/>
  <c r="G137" i="19"/>
  <c r="F126" i="19"/>
  <c r="F142" i="18"/>
  <c r="F116" i="21"/>
  <c r="O116" i="21"/>
  <c r="G146" i="20"/>
  <c r="O146" i="20"/>
  <c r="G138" i="20"/>
  <c r="O138" i="20"/>
  <c r="G130" i="20"/>
  <c r="O130" i="20"/>
  <c r="C122" i="20"/>
  <c r="AT39" i="30" s="1"/>
  <c r="O122" i="20"/>
  <c r="E141" i="28"/>
  <c r="O141" i="28"/>
  <c r="M133" i="28"/>
  <c r="O133" i="28"/>
  <c r="E125" i="28"/>
  <c r="O125" i="28"/>
  <c r="E117" i="28"/>
  <c r="O117" i="28"/>
  <c r="G132" i="6"/>
  <c r="O132" i="6"/>
  <c r="G116" i="6"/>
  <c r="M146" i="23"/>
  <c r="O146" i="23"/>
  <c r="K132" i="23"/>
  <c r="O132" i="23"/>
  <c r="C131" i="19"/>
  <c r="O131" i="19"/>
  <c r="M115" i="19"/>
  <c r="AD35" i="30" s="1"/>
  <c r="M145" i="18"/>
  <c r="O145" i="18"/>
  <c r="M137" i="18"/>
  <c r="O137" i="18"/>
  <c r="M129" i="18"/>
  <c r="O129" i="18"/>
  <c r="M121" i="18"/>
  <c r="O121" i="18"/>
  <c r="M113" i="18"/>
  <c r="W34" i="30" s="1"/>
  <c r="F143" i="17"/>
  <c r="O143" i="17"/>
  <c r="F135" i="17"/>
  <c r="O135" i="17"/>
  <c r="O128" i="17"/>
  <c r="F128" i="17"/>
  <c r="O121" i="17"/>
  <c r="F121" i="17"/>
  <c r="K127" i="20"/>
  <c r="O127" i="20"/>
  <c r="O122" i="28"/>
  <c r="M143" i="23"/>
  <c r="O143" i="23"/>
  <c r="C113" i="6"/>
  <c r="R81" i="30" s="1"/>
  <c r="F125" i="20"/>
  <c r="M128" i="23"/>
  <c r="AF96" i="30" s="1"/>
  <c r="C132" i="18"/>
  <c r="C127" i="21"/>
  <c r="C136" i="23"/>
  <c r="I146" i="28"/>
  <c r="C110" i="20"/>
  <c r="AT27" i="30" s="1"/>
  <c r="D152" i="28"/>
  <c r="E170" i="20"/>
  <c r="E177" i="18"/>
  <c r="F185" i="18"/>
  <c r="F161" i="18"/>
  <c r="F154" i="28"/>
  <c r="E163" i="21"/>
  <c r="F184" i="28"/>
  <c r="C160" i="6"/>
  <c r="E177" i="21"/>
  <c r="G184" i="28"/>
  <c r="G177" i="18"/>
  <c r="G138" i="28"/>
  <c r="G123" i="23"/>
  <c r="F140" i="18"/>
  <c r="I147" i="21"/>
  <c r="O147" i="21"/>
  <c r="F139" i="21"/>
  <c r="O139" i="21"/>
  <c r="C123" i="21"/>
  <c r="O123" i="21"/>
  <c r="C115" i="21"/>
  <c r="AM66" i="30" s="1"/>
  <c r="O115" i="21"/>
  <c r="C137" i="20"/>
  <c r="O137" i="20"/>
  <c r="O132" i="28"/>
  <c r="C145" i="23"/>
  <c r="O145" i="23"/>
  <c r="M138" i="23"/>
  <c r="O138" i="23"/>
  <c r="M146" i="19"/>
  <c r="O146" i="19"/>
  <c r="M138" i="19"/>
  <c r="O138" i="19"/>
  <c r="AP67" i="30" s="1"/>
  <c r="M130" i="19"/>
  <c r="O130" i="19"/>
  <c r="M122" i="19"/>
  <c r="O122" i="19"/>
  <c r="G144" i="18"/>
  <c r="O144" i="18"/>
  <c r="F128" i="18"/>
  <c r="O128" i="18"/>
  <c r="O142" i="17"/>
  <c r="F142" i="17"/>
  <c r="F120" i="17"/>
  <c r="O120" i="17"/>
  <c r="K146" i="28"/>
  <c r="E179" i="21"/>
  <c r="E182" i="23"/>
  <c r="E154" i="28"/>
  <c r="C184" i="28"/>
  <c r="F166" i="6"/>
  <c r="C183" i="17"/>
  <c r="G177" i="21"/>
  <c r="K135" i="23"/>
  <c r="K133" i="17"/>
  <c r="G121" i="23"/>
  <c r="F112" i="19"/>
  <c r="F118" i="18"/>
  <c r="I146" i="21"/>
  <c r="O146" i="21"/>
  <c r="C147" i="28"/>
  <c r="O147" i="28"/>
  <c r="C139" i="28"/>
  <c r="O139" i="28"/>
  <c r="C131" i="28"/>
  <c r="O131" i="28"/>
  <c r="M123" i="28"/>
  <c r="O123" i="28"/>
  <c r="I115" i="28"/>
  <c r="O115" i="28"/>
  <c r="G138" i="6"/>
  <c r="O138" i="6"/>
  <c r="C130" i="6"/>
  <c r="R98" i="30" s="1"/>
  <c r="O130" i="6"/>
  <c r="G122" i="6"/>
  <c r="O122" i="6"/>
  <c r="C114" i="6"/>
  <c r="R82" i="30" s="1"/>
  <c r="M144" i="23"/>
  <c r="O144" i="23"/>
  <c r="M113" i="19"/>
  <c r="AD33" i="30" s="1"/>
  <c r="M143" i="18"/>
  <c r="O143" i="18"/>
  <c r="M135" i="18"/>
  <c r="O135" i="18"/>
  <c r="M119" i="18"/>
  <c r="W40" i="30" s="1"/>
  <c r="O119" i="18"/>
  <c r="I111" i="18"/>
  <c r="O141" i="17"/>
  <c r="F141" i="17"/>
  <c r="O134" i="17"/>
  <c r="F134" i="17"/>
  <c r="F119" i="17"/>
  <c r="O119" i="17"/>
  <c r="H30" i="30"/>
  <c r="F111" i="17"/>
  <c r="O138" i="28"/>
  <c r="K122" i="23"/>
  <c r="K114" i="23"/>
  <c r="M144" i="19"/>
  <c r="O144" i="19"/>
  <c r="M136" i="19"/>
  <c r="O136" i="19"/>
  <c r="AP65" i="30" s="1"/>
  <c r="M128" i="19"/>
  <c r="O128" i="19"/>
  <c r="F120" i="19"/>
  <c r="O120" i="19"/>
  <c r="O140" i="17"/>
  <c r="F140" i="17"/>
  <c r="O133" i="17"/>
  <c r="F133" i="17"/>
  <c r="M126" i="17"/>
  <c r="O126" i="17"/>
  <c r="F126" i="17"/>
  <c r="K118" i="17"/>
  <c r="O118" i="17"/>
  <c r="F118" i="17"/>
  <c r="I110" i="17"/>
  <c r="F110" i="17"/>
  <c r="D60" i="24"/>
  <c r="S185" i="28"/>
  <c r="C185" i="28"/>
  <c r="E185" i="28"/>
  <c r="G185" i="28"/>
  <c r="F185" i="28"/>
  <c r="U183" i="6"/>
  <c r="C183" i="6"/>
  <c r="E183" i="6"/>
  <c r="G183" i="6"/>
  <c r="F183" i="6"/>
  <c r="F170" i="18"/>
  <c r="C170" i="18"/>
  <c r="G170" i="18"/>
  <c r="E170" i="18"/>
  <c r="C111" i="21"/>
  <c r="AM62" i="30" s="1"/>
  <c r="I134" i="21"/>
  <c r="K134" i="21"/>
  <c r="C134" i="21"/>
  <c r="W180" i="6"/>
  <c r="E180" i="6"/>
  <c r="G180" i="6"/>
  <c r="C180" i="6"/>
  <c r="F180" i="6"/>
  <c r="C124" i="6"/>
  <c r="R92" i="30" s="1"/>
  <c r="G124" i="6"/>
  <c r="K124" i="6"/>
  <c r="K135" i="17"/>
  <c r="E180" i="20"/>
  <c r="G180" i="20"/>
  <c r="F180" i="20"/>
  <c r="C180" i="20"/>
  <c r="W178" i="17"/>
  <c r="G178" i="17"/>
  <c r="E178" i="17"/>
  <c r="F178" i="17"/>
  <c r="C178" i="17"/>
  <c r="K143" i="20"/>
  <c r="C143" i="20"/>
  <c r="C110" i="23"/>
  <c r="AB78" i="30" s="1"/>
  <c r="C132" i="19"/>
  <c r="C126" i="20"/>
  <c r="C126" i="23"/>
  <c r="AB94" i="30" s="1"/>
  <c r="C123" i="28"/>
  <c r="C124" i="19"/>
  <c r="C146" i="18"/>
  <c r="I118" i="21"/>
  <c r="H36" i="30"/>
  <c r="C153" i="19"/>
  <c r="C160" i="18"/>
  <c r="E175" i="17"/>
  <c r="E175" i="18"/>
  <c r="C167" i="17"/>
  <c r="G164" i="28"/>
  <c r="F124" i="19"/>
  <c r="F130" i="18"/>
  <c r="M122" i="28"/>
  <c r="C118" i="23"/>
  <c r="AB86" i="30" s="1"/>
  <c r="I131" i="28"/>
  <c r="I139" i="28"/>
  <c r="F172" i="20"/>
  <c r="F183" i="18"/>
  <c r="F164" i="28"/>
  <c r="F160" i="18"/>
  <c r="R160" i="18" s="1"/>
  <c r="E172" i="28"/>
  <c r="F172" i="6"/>
  <c r="E168" i="18"/>
  <c r="C162" i="21"/>
  <c r="E186" i="23"/>
  <c r="G186" i="23"/>
  <c r="G167" i="17"/>
  <c r="K145" i="17"/>
  <c r="K117" i="17"/>
  <c r="C140" i="19"/>
  <c r="C138" i="23"/>
  <c r="C134" i="20"/>
  <c r="E183" i="18"/>
  <c r="C172" i="28"/>
  <c r="C172" i="6"/>
  <c r="E178" i="23"/>
  <c r="C175" i="17"/>
  <c r="G172" i="6"/>
  <c r="G186" i="6"/>
  <c r="F140" i="19"/>
  <c r="K147" i="28"/>
  <c r="F186" i="6"/>
  <c r="E167" i="17"/>
  <c r="F179" i="20"/>
  <c r="F178" i="23"/>
  <c r="C186" i="23"/>
  <c r="G175" i="18"/>
  <c r="G160" i="18"/>
  <c r="K138" i="23"/>
  <c r="K125" i="17"/>
  <c r="F162" i="21"/>
  <c r="F186" i="23"/>
  <c r="G164" i="6"/>
  <c r="C119" i="20"/>
  <c r="AT36" i="30" s="1"/>
  <c r="K115" i="28"/>
  <c r="C115" i="28"/>
  <c r="I147" i="28"/>
  <c r="K123" i="28"/>
  <c r="C186" i="6"/>
  <c r="F154" i="21"/>
  <c r="E179" i="20"/>
  <c r="E185" i="20"/>
  <c r="G183" i="18"/>
  <c r="G185" i="20"/>
  <c r="K118" i="20"/>
  <c r="G118" i="20"/>
  <c r="G138" i="23"/>
  <c r="C183" i="18"/>
  <c r="E172" i="6"/>
  <c r="G175" i="17"/>
  <c r="C142" i="20"/>
  <c r="I123" i="28"/>
  <c r="C161" i="19"/>
  <c r="C179" i="20"/>
  <c r="C185" i="20"/>
  <c r="F129" i="28"/>
  <c r="F113" i="28"/>
  <c r="K112" i="20"/>
  <c r="F136" i="23"/>
  <c r="M132" i="28"/>
  <c r="V178" i="21"/>
  <c r="E178" i="21"/>
  <c r="C178" i="21"/>
  <c r="G178" i="21"/>
  <c r="F178" i="21"/>
  <c r="M137" i="23"/>
  <c r="F137" i="23"/>
  <c r="G137" i="23"/>
  <c r="K137" i="23"/>
  <c r="C137" i="23"/>
  <c r="F140" i="20"/>
  <c r="C140" i="20"/>
  <c r="C136" i="6"/>
  <c r="G136" i="6"/>
  <c r="C121" i="6"/>
  <c r="R89" i="30" s="1"/>
  <c r="K121" i="6"/>
  <c r="S160" i="21"/>
  <c r="E160" i="21"/>
  <c r="C160" i="21"/>
  <c r="G160" i="21"/>
  <c r="F160" i="21"/>
  <c r="E184" i="20"/>
  <c r="F184" i="20"/>
  <c r="G184" i="20"/>
  <c r="C184" i="20"/>
  <c r="G166" i="18"/>
  <c r="E166" i="18"/>
  <c r="F166" i="18"/>
  <c r="C166" i="18"/>
  <c r="F188" i="17"/>
  <c r="C188" i="17"/>
  <c r="G188" i="17"/>
  <c r="G137" i="17"/>
  <c r="K137" i="17"/>
  <c r="G116" i="17"/>
  <c r="K116" i="17"/>
  <c r="H35" i="30"/>
  <c r="G178" i="20"/>
  <c r="E178" i="20"/>
  <c r="C178" i="20"/>
  <c r="F178" i="20"/>
  <c r="E152" i="23"/>
  <c r="I152" i="23" s="1"/>
  <c r="C152" i="23"/>
  <c r="U174" i="21"/>
  <c r="G174" i="21"/>
  <c r="C174" i="21"/>
  <c r="E174" i="21"/>
  <c r="F174" i="21"/>
  <c r="V163" i="17"/>
  <c r="E163" i="17"/>
  <c r="G163" i="17"/>
  <c r="F163" i="17"/>
  <c r="C163" i="17"/>
  <c r="M121" i="21"/>
  <c r="G121" i="21"/>
  <c r="K121" i="21"/>
  <c r="I121" i="21"/>
  <c r="C121" i="21"/>
  <c r="AM72" i="30" s="1"/>
  <c r="F121" i="21"/>
  <c r="I136" i="21"/>
  <c r="K136" i="21"/>
  <c r="F136" i="21"/>
  <c r="C136" i="21"/>
  <c r="I128" i="21"/>
  <c r="F128" i="21"/>
  <c r="K128" i="21"/>
  <c r="C128" i="21"/>
  <c r="I113" i="20"/>
  <c r="M113" i="20"/>
  <c r="G113" i="20"/>
  <c r="C113" i="20"/>
  <c r="AT30" i="30" s="1"/>
  <c r="W164" i="21"/>
  <c r="G164" i="21"/>
  <c r="F164" i="21"/>
  <c r="E164" i="21"/>
  <c r="C164" i="21"/>
  <c r="V174" i="6"/>
  <c r="E174" i="6"/>
  <c r="C174" i="6"/>
  <c r="F174" i="6"/>
  <c r="G174" i="6"/>
  <c r="M135" i="21"/>
  <c r="I135" i="21"/>
  <c r="G135" i="21"/>
  <c r="F140" i="28"/>
  <c r="G140" i="28"/>
  <c r="C140" i="28"/>
  <c r="I140" i="28"/>
  <c r="K140" i="28"/>
  <c r="G166" i="20"/>
  <c r="C166" i="20"/>
  <c r="U165" i="28"/>
  <c r="C165" i="28"/>
  <c r="G165" i="28"/>
  <c r="E165" i="28"/>
  <c r="F165" i="28"/>
  <c r="G179" i="23"/>
  <c r="E179" i="23"/>
  <c r="C179" i="23"/>
  <c r="F179" i="23"/>
  <c r="K134" i="20"/>
  <c r="E123" i="28"/>
  <c r="F113" i="21"/>
  <c r="K126" i="20"/>
  <c r="M137" i="28"/>
  <c r="G137" i="21"/>
  <c r="K119" i="20"/>
  <c r="M113" i="28"/>
  <c r="M145" i="28"/>
  <c r="M145" i="21"/>
  <c r="G158" i="23"/>
  <c r="M121" i="23"/>
  <c r="AF89" i="30" s="1"/>
  <c r="K142" i="20"/>
  <c r="M129" i="28"/>
  <c r="G140" i="6"/>
  <c r="K140" i="6"/>
  <c r="E187" i="20"/>
  <c r="C187" i="20"/>
  <c r="F187" i="20"/>
  <c r="G187" i="20"/>
  <c r="F181" i="6"/>
  <c r="G164" i="17"/>
  <c r="E164" i="17"/>
  <c r="F164" i="17"/>
  <c r="C164" i="17"/>
  <c r="M110" i="20"/>
  <c r="AW27" i="30" s="1"/>
  <c r="K110" i="20"/>
  <c r="G110" i="20"/>
  <c r="F124" i="28"/>
  <c r="G124" i="28"/>
  <c r="F116" i="28"/>
  <c r="G116" i="28"/>
  <c r="M116" i="28"/>
  <c r="F124" i="23"/>
  <c r="G124" i="23"/>
  <c r="W183" i="21"/>
  <c r="C183" i="21"/>
  <c r="E183" i="21"/>
  <c r="F183" i="21"/>
  <c r="G183" i="21"/>
  <c r="G155" i="21"/>
  <c r="C155" i="21"/>
  <c r="E155" i="21"/>
  <c r="C186" i="28"/>
  <c r="E186" i="28"/>
  <c r="G186" i="28"/>
  <c r="W157" i="28"/>
  <c r="F157" i="28"/>
  <c r="C157" i="28"/>
  <c r="G157" i="28"/>
  <c r="C153" i="23"/>
  <c r="G185" i="19"/>
  <c r="F185" i="19"/>
  <c r="C185" i="19"/>
  <c r="E185" i="19"/>
  <c r="G177" i="19"/>
  <c r="F177" i="19"/>
  <c r="C177" i="19"/>
  <c r="E177" i="19"/>
  <c r="F169" i="19"/>
  <c r="G169" i="19"/>
  <c r="E169" i="19"/>
  <c r="C169" i="19"/>
  <c r="W169" i="19"/>
  <c r="W170" i="17"/>
  <c r="F170" i="17"/>
  <c r="E170" i="17"/>
  <c r="R170" i="17"/>
  <c r="C170" i="17"/>
  <c r="G170" i="17"/>
  <c r="E157" i="17"/>
  <c r="C157" i="17"/>
  <c r="C180" i="28"/>
  <c r="G180" i="28"/>
  <c r="E180" i="28"/>
  <c r="F180" i="28"/>
  <c r="W188" i="6"/>
  <c r="C188" i="6"/>
  <c r="G188" i="6"/>
  <c r="F188" i="6"/>
  <c r="E188" i="6"/>
  <c r="K123" i="21"/>
  <c r="F122" i="6"/>
  <c r="I121" i="20"/>
  <c r="M147" i="28"/>
  <c r="E147" i="28"/>
  <c r="E139" i="28"/>
  <c r="M139" i="28"/>
  <c r="M131" i="28"/>
  <c r="E131" i="28"/>
  <c r="F131" i="23"/>
  <c r="G131" i="23"/>
  <c r="K131" i="23"/>
  <c r="G182" i="21"/>
  <c r="F182" i="21"/>
  <c r="C182" i="21"/>
  <c r="C175" i="21"/>
  <c r="E175" i="21"/>
  <c r="V168" i="21"/>
  <c r="C168" i="21"/>
  <c r="F168" i="21"/>
  <c r="G168" i="21"/>
  <c r="E168" i="21"/>
  <c r="E161" i="21"/>
  <c r="F161" i="21"/>
  <c r="G161" i="21"/>
  <c r="U171" i="28"/>
  <c r="E171" i="28"/>
  <c r="C171" i="28"/>
  <c r="V156" i="28"/>
  <c r="C156" i="28"/>
  <c r="E156" i="28"/>
  <c r="F156" i="28"/>
  <c r="G156" i="28"/>
  <c r="K140" i="17"/>
  <c r="C133" i="6"/>
  <c r="G136" i="20"/>
  <c r="F136" i="20"/>
  <c r="F146" i="28"/>
  <c r="G146" i="28"/>
  <c r="F114" i="28"/>
  <c r="G114" i="28"/>
  <c r="M114" i="28"/>
  <c r="K147" i="23"/>
  <c r="F147" i="23"/>
  <c r="G147" i="23"/>
  <c r="K130" i="23"/>
  <c r="F130" i="23"/>
  <c r="M119" i="17"/>
  <c r="G119" i="17"/>
  <c r="K119" i="17"/>
  <c r="K112" i="17"/>
  <c r="F189" i="21"/>
  <c r="C189" i="21"/>
  <c r="E189" i="21"/>
  <c r="G189" i="21"/>
  <c r="N170" i="28"/>
  <c r="G170" i="28"/>
  <c r="F170" i="28"/>
  <c r="C170" i="28"/>
  <c r="E170" i="28"/>
  <c r="G163" i="28"/>
  <c r="E163" i="28"/>
  <c r="C163" i="28"/>
  <c r="V179" i="6"/>
  <c r="G179" i="6"/>
  <c r="F179" i="6"/>
  <c r="C179" i="6"/>
  <c r="G157" i="6"/>
  <c r="C157" i="6"/>
  <c r="E157" i="6"/>
  <c r="V157" i="6" s="1"/>
  <c r="E159" i="18"/>
  <c r="U159" i="18" s="1"/>
  <c r="C159" i="18"/>
  <c r="W189" i="17"/>
  <c r="G189" i="17"/>
  <c r="C189" i="17"/>
  <c r="E189" i="17"/>
  <c r="F189" i="17"/>
  <c r="U182" i="17"/>
  <c r="E182" i="17"/>
  <c r="C182" i="17"/>
  <c r="G182" i="17"/>
  <c r="E162" i="17"/>
  <c r="G162" i="17"/>
  <c r="F162" i="17"/>
  <c r="I142" i="23"/>
  <c r="M142" i="23"/>
  <c r="G142" i="23"/>
  <c r="W181" i="20"/>
  <c r="C181" i="20"/>
  <c r="E181" i="20"/>
  <c r="F181" i="20"/>
  <c r="G181" i="20"/>
  <c r="M139" i="21"/>
  <c r="F130" i="6"/>
  <c r="G130" i="6"/>
  <c r="K120" i="18"/>
  <c r="F120" i="18"/>
  <c r="G158" i="20"/>
  <c r="C158" i="20"/>
  <c r="W171" i="6"/>
  <c r="G171" i="6"/>
  <c r="F171" i="6"/>
  <c r="C171" i="6"/>
  <c r="E171" i="6"/>
  <c r="G171" i="23"/>
  <c r="C171" i="23"/>
  <c r="G163" i="23"/>
  <c r="C163" i="23"/>
  <c r="E163" i="23"/>
  <c r="K163" i="23" s="1"/>
  <c r="C166" i="19"/>
  <c r="E166" i="19"/>
  <c r="G166" i="19"/>
  <c r="F166" i="19"/>
  <c r="F162" i="18"/>
  <c r="G162" i="18"/>
  <c r="C162" i="18"/>
  <c r="C131" i="20"/>
  <c r="C140" i="6"/>
  <c r="C181" i="6"/>
  <c r="K145" i="23"/>
  <c r="F145" i="23"/>
  <c r="G145" i="23"/>
  <c r="I113" i="23"/>
  <c r="K113" i="23"/>
  <c r="F113" i="23"/>
  <c r="G113" i="23"/>
  <c r="M127" i="18"/>
  <c r="G127" i="18"/>
  <c r="K127" i="18"/>
  <c r="C112" i="18"/>
  <c r="S33" i="30" s="1"/>
  <c r="F112" i="18"/>
  <c r="F168" i="28"/>
  <c r="G168" i="28"/>
  <c r="C168" i="28"/>
  <c r="W170" i="6"/>
  <c r="G170" i="6"/>
  <c r="C170" i="6"/>
  <c r="T170" i="6"/>
  <c r="E170" i="6"/>
  <c r="F170" i="6"/>
  <c r="G187" i="18"/>
  <c r="E187" i="18"/>
  <c r="F187" i="18"/>
  <c r="W179" i="18"/>
  <c r="G179" i="18"/>
  <c r="E179" i="18"/>
  <c r="F179" i="18"/>
  <c r="C179" i="18"/>
  <c r="G171" i="18"/>
  <c r="E171" i="18"/>
  <c r="F171" i="18"/>
  <c r="C171" i="18"/>
  <c r="F165" i="18"/>
  <c r="G165" i="18"/>
  <c r="C165" i="18"/>
  <c r="V174" i="17"/>
  <c r="F174" i="17"/>
  <c r="E174" i="17"/>
  <c r="G174" i="17"/>
  <c r="M147" i="21"/>
  <c r="F147" i="21"/>
  <c r="G147" i="21"/>
  <c r="M131" i="21"/>
  <c r="G131" i="21"/>
  <c r="G123" i="21"/>
  <c r="F123" i="21"/>
  <c r="M115" i="21"/>
  <c r="F115" i="21"/>
  <c r="G115" i="21"/>
  <c r="F142" i="6"/>
  <c r="G142" i="6"/>
  <c r="F120" i="23"/>
  <c r="K120" i="23"/>
  <c r="G120" i="23"/>
  <c r="F112" i="23"/>
  <c r="G112" i="23"/>
  <c r="M142" i="19"/>
  <c r="F142" i="19"/>
  <c r="G142" i="19"/>
  <c r="M134" i="19"/>
  <c r="F134" i="19"/>
  <c r="G134" i="19"/>
  <c r="K134" i="18"/>
  <c r="F134" i="18"/>
  <c r="W189" i="20"/>
  <c r="G189" i="20"/>
  <c r="C189" i="20"/>
  <c r="F189" i="20"/>
  <c r="E189" i="20"/>
  <c r="G177" i="20"/>
  <c r="F177" i="20"/>
  <c r="C177" i="20"/>
  <c r="W189" i="28"/>
  <c r="F189" i="28"/>
  <c r="G189" i="28"/>
  <c r="E189" i="28"/>
  <c r="C189" i="28"/>
  <c r="U174" i="28"/>
  <c r="E174" i="28"/>
  <c r="F174" i="28"/>
  <c r="C174" i="28"/>
  <c r="E162" i="6"/>
  <c r="I162" i="6" s="1"/>
  <c r="C162" i="6"/>
  <c r="G162" i="6"/>
  <c r="W180" i="17"/>
  <c r="E180" i="17"/>
  <c r="C180" i="17"/>
  <c r="G180" i="17"/>
  <c r="F180" i="17"/>
  <c r="M119" i="23"/>
  <c r="AF87" i="30" s="1"/>
  <c r="G119" i="23"/>
  <c r="K119" i="23"/>
  <c r="F110" i="18"/>
  <c r="K110" i="18"/>
  <c r="M135" i="17"/>
  <c r="G135" i="17"/>
  <c r="M129" i="17"/>
  <c r="K129" i="17"/>
  <c r="G129" i="17"/>
  <c r="G169" i="20"/>
  <c r="E169" i="20"/>
  <c r="C169" i="20"/>
  <c r="F169" i="20"/>
  <c r="W181" i="28"/>
  <c r="G181" i="28"/>
  <c r="F181" i="28"/>
  <c r="E181" i="28"/>
  <c r="C181" i="28"/>
  <c r="V173" i="28"/>
  <c r="F173" i="28"/>
  <c r="G166" i="28"/>
  <c r="C166" i="28"/>
  <c r="E182" i="6"/>
  <c r="C182" i="6"/>
  <c r="F182" i="6"/>
  <c r="S175" i="6"/>
  <c r="G175" i="6"/>
  <c r="C168" i="6"/>
  <c r="E168" i="6"/>
  <c r="G168" i="6"/>
  <c r="F168" i="6"/>
  <c r="E161" i="6"/>
  <c r="N161" i="6" s="1"/>
  <c r="C161" i="6"/>
  <c r="V183" i="23"/>
  <c r="F183" i="23"/>
  <c r="G176" i="23"/>
  <c r="F176" i="23"/>
  <c r="M138" i="28"/>
  <c r="M117" i="28"/>
  <c r="M125" i="28"/>
  <c r="K113" i="20"/>
  <c r="W160" i="21"/>
  <c r="I120" i="20"/>
  <c r="M120" i="20"/>
  <c r="AW37" i="30" s="1"/>
  <c r="C120" i="20"/>
  <c r="AT37" i="30" s="1"/>
  <c r="G120" i="20"/>
  <c r="K120" i="20"/>
  <c r="I130" i="21"/>
  <c r="K130" i="21"/>
  <c r="C130" i="21"/>
  <c r="I114" i="21"/>
  <c r="C114" i="21"/>
  <c r="AM65" i="30" s="1"/>
  <c r="K114" i="21"/>
  <c r="K135" i="20"/>
  <c r="C135" i="20"/>
  <c r="C144" i="21"/>
  <c r="K144" i="21"/>
  <c r="I144" i="21"/>
  <c r="F120" i="21"/>
  <c r="C120" i="21"/>
  <c r="AM71" i="30" s="1"/>
  <c r="I120" i="21"/>
  <c r="K120" i="21"/>
  <c r="G144" i="20"/>
  <c r="C144" i="20"/>
  <c r="F144" i="20"/>
  <c r="C139" i="20"/>
  <c r="K139" i="20"/>
  <c r="M143" i="21"/>
  <c r="I143" i="21"/>
  <c r="F143" i="21"/>
  <c r="K143" i="21"/>
  <c r="G143" i="21"/>
  <c r="C143" i="21"/>
  <c r="G128" i="20"/>
  <c r="F128" i="20"/>
  <c r="C128" i="20"/>
  <c r="M118" i="28"/>
  <c r="C118" i="28"/>
  <c r="F118" i="28"/>
  <c r="I118" i="28"/>
  <c r="G118" i="28"/>
  <c r="K118" i="28"/>
  <c r="K118" i="6"/>
  <c r="G118" i="6"/>
  <c r="C118" i="6"/>
  <c r="R86" i="30" s="1"/>
  <c r="C110" i="21"/>
  <c r="AM61" i="30" s="1"/>
  <c r="F110" i="21"/>
  <c r="M115" i="20"/>
  <c r="AW32" i="30" s="1"/>
  <c r="K115" i="20"/>
  <c r="G115" i="20"/>
  <c r="C115" i="20"/>
  <c r="AT32" i="30" s="1"/>
  <c r="K132" i="21"/>
  <c r="C132" i="21"/>
  <c r="F132" i="21"/>
  <c r="I132" i="21"/>
  <c r="C147" i="20"/>
  <c r="K147" i="20"/>
  <c r="K141" i="6"/>
  <c r="C141" i="6"/>
  <c r="M139" i="23"/>
  <c r="E169" i="23"/>
  <c r="V169" i="23" s="1"/>
  <c r="G169" i="23"/>
  <c r="C139" i="23"/>
  <c r="C129" i="21"/>
  <c r="E173" i="28"/>
  <c r="C159" i="17"/>
  <c r="G163" i="6"/>
  <c r="F130" i="28"/>
  <c r="F138" i="6"/>
  <c r="G126" i="6"/>
  <c r="G132" i="23"/>
  <c r="G127" i="23"/>
  <c r="G122" i="17"/>
  <c r="M123" i="21"/>
  <c r="M126" i="28"/>
  <c r="M111" i="28"/>
  <c r="M112" i="6"/>
  <c r="V80" i="30" s="1"/>
  <c r="I120" i="23"/>
  <c r="M120" i="23"/>
  <c r="AF88" i="30" s="1"/>
  <c r="U173" i="20"/>
  <c r="W173" i="20"/>
  <c r="V184" i="6"/>
  <c r="P184" i="6"/>
  <c r="E157" i="18"/>
  <c r="V157" i="18" s="1"/>
  <c r="G157" i="18"/>
  <c r="G114" i="20"/>
  <c r="M114" i="20"/>
  <c r="AW31" i="30" s="1"/>
  <c r="I120" i="28"/>
  <c r="C137" i="21"/>
  <c r="C138" i="6"/>
  <c r="C146" i="20"/>
  <c r="C111" i="20"/>
  <c r="AT28" i="30" s="1"/>
  <c r="K129" i="21"/>
  <c r="E187" i="6"/>
  <c r="C167" i="21"/>
  <c r="C163" i="6"/>
  <c r="E167" i="21"/>
  <c r="G173" i="28"/>
  <c r="F126" i="6"/>
  <c r="G114" i="6"/>
  <c r="F132" i="23"/>
  <c r="M140" i="28"/>
  <c r="E111" i="28"/>
  <c r="I130" i="23"/>
  <c r="M130" i="23"/>
  <c r="AF98" i="30" s="1"/>
  <c r="M122" i="17"/>
  <c r="C132" i="6"/>
  <c r="I129" i="21"/>
  <c r="C114" i="20"/>
  <c r="AT31" i="30" s="1"/>
  <c r="C154" i="21"/>
  <c r="C187" i="6"/>
  <c r="C175" i="6"/>
  <c r="F167" i="21"/>
  <c r="G167" i="21"/>
  <c r="G154" i="21"/>
  <c r="F128" i="28"/>
  <c r="K111" i="20"/>
  <c r="K132" i="6"/>
  <c r="K127" i="23"/>
  <c r="F114" i="6"/>
  <c r="E115" i="28"/>
  <c r="M115" i="28"/>
  <c r="I112" i="23"/>
  <c r="M112" i="23"/>
  <c r="AF80" i="30" s="1"/>
  <c r="M141" i="17"/>
  <c r="E160" i="20"/>
  <c r="V160" i="20" s="1"/>
  <c r="G160" i="20"/>
  <c r="E153" i="19"/>
  <c r="O153" i="19" s="1"/>
  <c r="E155" i="18"/>
  <c r="V155" i="18" s="1"/>
  <c r="W167" i="17"/>
  <c r="V167" i="17"/>
  <c r="K130" i="28"/>
  <c r="C126" i="6"/>
  <c r="R94" i="30" s="1"/>
  <c r="F175" i="6"/>
  <c r="G187" i="6"/>
  <c r="F131" i="21"/>
  <c r="K139" i="23"/>
  <c r="M146" i="28"/>
  <c r="M124" i="28"/>
  <c r="I118" i="19"/>
  <c r="M118" i="19"/>
  <c r="AD38" i="30" s="1"/>
  <c r="U182" i="6"/>
  <c r="V182" i="6"/>
  <c r="E155" i="6"/>
  <c r="T155" i="6" s="1"/>
  <c r="G155" i="6"/>
  <c r="F187" i="6"/>
  <c r="E175" i="6"/>
  <c r="F129" i="21"/>
  <c r="M137" i="21"/>
  <c r="M129" i="21"/>
  <c r="I111" i="6"/>
  <c r="M111" i="6"/>
  <c r="V79" i="30" s="1"/>
  <c r="M139" i="17"/>
  <c r="M112" i="17"/>
  <c r="M31" i="30" s="1"/>
  <c r="R168" i="21"/>
  <c r="W168" i="21"/>
  <c r="U170" i="19"/>
  <c r="T170" i="19"/>
  <c r="W170" i="19"/>
  <c r="E163" i="19"/>
  <c r="V163" i="19" s="1"/>
  <c r="M130" i="28"/>
  <c r="E153" i="6"/>
  <c r="V153" i="6" s="1"/>
  <c r="C132" i="20"/>
  <c r="E183" i="23"/>
  <c r="F188" i="18"/>
  <c r="F137" i="21"/>
  <c r="G111" i="20"/>
  <c r="G139" i="23"/>
  <c r="M147" i="23"/>
  <c r="T186" i="6"/>
  <c r="R186" i="6"/>
  <c r="E175" i="23"/>
  <c r="N175" i="23" s="1"/>
  <c r="K137" i="21"/>
  <c r="C132" i="23"/>
  <c r="K144" i="28"/>
  <c r="C169" i="23"/>
  <c r="C173" i="28"/>
  <c r="G130" i="28"/>
  <c r="F111" i="20"/>
  <c r="F139" i="23"/>
  <c r="M134" i="28"/>
  <c r="E121" i="28"/>
  <c r="I131" i="23"/>
  <c r="M131" i="23"/>
  <c r="AF99" i="30" s="1"/>
  <c r="M137" i="17"/>
  <c r="E152" i="20"/>
  <c r="N152" i="20" s="1"/>
  <c r="D152" i="20"/>
  <c r="G152" i="20"/>
  <c r="P178" i="28"/>
  <c r="V178" i="28"/>
  <c r="S161" i="28"/>
  <c r="T161" i="28"/>
  <c r="E167" i="23"/>
  <c r="V167" i="23" s="1"/>
  <c r="E161" i="19"/>
  <c r="G161" i="19"/>
  <c r="G155" i="19"/>
  <c r="E155" i="19"/>
  <c r="N155" i="19" s="1"/>
  <c r="V158" i="17"/>
  <c r="G158" i="17"/>
  <c r="W174" i="28"/>
  <c r="M145" i="23"/>
  <c r="M113" i="23"/>
  <c r="AF81" i="30" s="1"/>
  <c r="G163" i="20"/>
  <c r="G161" i="23"/>
  <c r="G154" i="18"/>
  <c r="U188" i="6"/>
  <c r="M120" i="17"/>
  <c r="E171" i="23"/>
  <c r="U171" i="23" s="1"/>
  <c r="W161" i="18"/>
  <c r="V165" i="28"/>
  <c r="M128" i="17"/>
  <c r="G157" i="17"/>
  <c r="V180" i="17"/>
  <c r="G153" i="23"/>
  <c r="U170" i="17"/>
  <c r="V171" i="6"/>
  <c r="E131" i="6"/>
  <c r="U99" i="30" s="1"/>
  <c r="I131" i="6"/>
  <c r="M131" i="6"/>
  <c r="V99" i="30" s="1"/>
  <c r="G131" i="6"/>
  <c r="K131" i="6"/>
  <c r="C131" i="6"/>
  <c r="R99" i="30" s="1"/>
  <c r="F131" i="6"/>
  <c r="E139" i="6"/>
  <c r="I139" i="6"/>
  <c r="M139" i="6"/>
  <c r="G139" i="6"/>
  <c r="K139" i="6"/>
  <c r="C139" i="6"/>
  <c r="F139" i="6"/>
  <c r="G157" i="19"/>
  <c r="E157" i="19"/>
  <c r="C157" i="19"/>
  <c r="E143" i="6"/>
  <c r="I143" i="6"/>
  <c r="M143" i="6"/>
  <c r="G143" i="6"/>
  <c r="K143" i="6"/>
  <c r="F143" i="6"/>
  <c r="C143" i="6"/>
  <c r="E138" i="21"/>
  <c r="M138" i="21"/>
  <c r="F138" i="21"/>
  <c r="G138" i="21"/>
  <c r="C138" i="21"/>
  <c r="I138" i="21"/>
  <c r="K138" i="21"/>
  <c r="E122" i="21"/>
  <c r="M122" i="21"/>
  <c r="F122" i="21"/>
  <c r="G122" i="21"/>
  <c r="I122" i="21"/>
  <c r="K122" i="21"/>
  <c r="C122" i="21"/>
  <c r="H170" i="21"/>
  <c r="I170" i="21"/>
  <c r="K170" i="21"/>
  <c r="J170" i="21"/>
  <c r="L170" i="21"/>
  <c r="M170" i="21"/>
  <c r="O170" i="21"/>
  <c r="P170" i="21"/>
  <c r="Q170" i="21"/>
  <c r="N170" i="21"/>
  <c r="S170" i="21"/>
  <c r="R170" i="21"/>
  <c r="V170" i="21"/>
  <c r="W170" i="21"/>
  <c r="T170" i="21"/>
  <c r="U170" i="21"/>
  <c r="C170" i="21"/>
  <c r="G170" i="21"/>
  <c r="E170" i="21"/>
  <c r="F170" i="21"/>
  <c r="E147" i="6"/>
  <c r="I147" i="6"/>
  <c r="M147" i="6"/>
  <c r="G147" i="6"/>
  <c r="K147" i="6"/>
  <c r="C147" i="6"/>
  <c r="F147" i="6"/>
  <c r="I115" i="6"/>
  <c r="M115" i="6"/>
  <c r="V83" i="30" s="1"/>
  <c r="G115" i="6"/>
  <c r="K115" i="6"/>
  <c r="C115" i="6"/>
  <c r="R83" i="30" s="1"/>
  <c r="F115" i="6"/>
  <c r="H186" i="21"/>
  <c r="I186" i="21"/>
  <c r="K186" i="21"/>
  <c r="J186" i="21"/>
  <c r="M186" i="21"/>
  <c r="O186" i="21"/>
  <c r="P186" i="21"/>
  <c r="Q186" i="21"/>
  <c r="N186" i="21"/>
  <c r="L186" i="21"/>
  <c r="T186" i="21"/>
  <c r="R186" i="21"/>
  <c r="W186" i="21"/>
  <c r="U186" i="21"/>
  <c r="V186" i="21"/>
  <c r="G186" i="21"/>
  <c r="S186" i="21"/>
  <c r="C186" i="21"/>
  <c r="F186" i="21"/>
  <c r="E186" i="21"/>
  <c r="E142" i="21"/>
  <c r="M142" i="21"/>
  <c r="F142" i="21"/>
  <c r="G142" i="21"/>
  <c r="C142" i="21"/>
  <c r="K142" i="21"/>
  <c r="I142" i="21"/>
  <c r="E126" i="21"/>
  <c r="M126" i="21"/>
  <c r="F126" i="21"/>
  <c r="G126" i="21"/>
  <c r="C126" i="21"/>
  <c r="I126" i="21"/>
  <c r="K126" i="21"/>
  <c r="I119" i="6"/>
  <c r="M119" i="6"/>
  <c r="V87" i="30" s="1"/>
  <c r="G119" i="6"/>
  <c r="K119" i="6"/>
  <c r="C119" i="6"/>
  <c r="R87" i="30" s="1"/>
  <c r="E141" i="21"/>
  <c r="M141" i="21"/>
  <c r="G141" i="21"/>
  <c r="I141" i="21"/>
  <c r="C141" i="21"/>
  <c r="F141" i="21"/>
  <c r="K141" i="21"/>
  <c r="E133" i="21"/>
  <c r="F133" i="21"/>
  <c r="M133" i="21"/>
  <c r="G133" i="21"/>
  <c r="K133" i="21"/>
  <c r="I133" i="21"/>
  <c r="C133" i="21"/>
  <c r="E125" i="21"/>
  <c r="M125" i="21"/>
  <c r="F125" i="21"/>
  <c r="G125" i="21"/>
  <c r="I125" i="21"/>
  <c r="C125" i="21"/>
  <c r="K125" i="21"/>
  <c r="E117" i="21"/>
  <c r="G117" i="21"/>
  <c r="I117" i="21"/>
  <c r="K117" i="21"/>
  <c r="M117" i="21"/>
  <c r="F117" i="21"/>
  <c r="C117" i="21"/>
  <c r="AM68" i="30" s="1"/>
  <c r="E123" i="6"/>
  <c r="U91" i="30" s="1"/>
  <c r="I123" i="6"/>
  <c r="M123" i="6"/>
  <c r="V91" i="30" s="1"/>
  <c r="G123" i="6"/>
  <c r="K123" i="6"/>
  <c r="C123" i="6"/>
  <c r="R91" i="30" s="1"/>
  <c r="F123" i="6"/>
  <c r="E135" i="6"/>
  <c r="I135" i="6"/>
  <c r="M135" i="6"/>
  <c r="G135" i="6"/>
  <c r="K135" i="6"/>
  <c r="F135" i="6"/>
  <c r="C135" i="6"/>
  <c r="E127" i="6"/>
  <c r="U95" i="30" s="1"/>
  <c r="I127" i="6"/>
  <c r="M127" i="6"/>
  <c r="V95" i="30" s="1"/>
  <c r="G127" i="6"/>
  <c r="K127" i="6"/>
  <c r="F127" i="6"/>
  <c r="C127" i="6"/>
  <c r="R95" i="30" s="1"/>
  <c r="H155" i="28"/>
  <c r="I155" i="28"/>
  <c r="J155" i="28"/>
  <c r="M155" i="28"/>
  <c r="Q155" i="28"/>
  <c r="L155" i="28"/>
  <c r="S155" i="28"/>
  <c r="O155" i="28"/>
  <c r="R155" i="28"/>
  <c r="K155" i="28"/>
  <c r="N155" i="28"/>
  <c r="P155" i="28"/>
  <c r="T155" i="28"/>
  <c r="U155" i="28"/>
  <c r="W155" i="28"/>
  <c r="C155" i="28"/>
  <c r="F155" i="28"/>
  <c r="V155" i="28"/>
  <c r="G155" i="28"/>
  <c r="E155" i="28"/>
  <c r="E145" i="20"/>
  <c r="I145" i="20"/>
  <c r="M145" i="20"/>
  <c r="G145" i="20"/>
  <c r="K145" i="20"/>
  <c r="E129" i="20"/>
  <c r="I129" i="20"/>
  <c r="M129" i="20"/>
  <c r="G129" i="20"/>
  <c r="K129" i="20"/>
  <c r="I117" i="20"/>
  <c r="M117" i="20"/>
  <c r="AW34" i="30" s="1"/>
  <c r="G117" i="20"/>
  <c r="K117" i="20"/>
  <c r="C128" i="18"/>
  <c r="C112" i="28"/>
  <c r="C120" i="19"/>
  <c r="Z40" i="30" s="1"/>
  <c r="K120" i="28"/>
  <c r="I111" i="21"/>
  <c r="F111" i="21"/>
  <c r="K144" i="20"/>
  <c r="K128" i="20"/>
  <c r="K136" i="19"/>
  <c r="K120" i="19"/>
  <c r="E146" i="21"/>
  <c r="M146" i="21"/>
  <c r="F146" i="21"/>
  <c r="G146" i="21"/>
  <c r="E130" i="21"/>
  <c r="M130" i="21"/>
  <c r="F130" i="21"/>
  <c r="G130" i="21"/>
  <c r="E114" i="21"/>
  <c r="M114" i="21"/>
  <c r="F114" i="21"/>
  <c r="G114" i="21"/>
  <c r="E112" i="21"/>
  <c r="G112" i="21"/>
  <c r="M112" i="21"/>
  <c r="I123" i="20"/>
  <c r="F123" i="20"/>
  <c r="G123" i="20"/>
  <c r="I112" i="20"/>
  <c r="G145" i="28"/>
  <c r="G137" i="28"/>
  <c r="G129" i="28"/>
  <c r="G121" i="28"/>
  <c r="G113" i="28"/>
  <c r="I146" i="6"/>
  <c r="E146" i="6"/>
  <c r="K146" i="6"/>
  <c r="M146" i="6"/>
  <c r="E142" i="6"/>
  <c r="I142" i="6"/>
  <c r="M142" i="6"/>
  <c r="I138" i="6"/>
  <c r="E138" i="6"/>
  <c r="K138" i="6"/>
  <c r="M138" i="6"/>
  <c r="E134" i="6"/>
  <c r="I134" i="6"/>
  <c r="M134" i="6"/>
  <c r="I130" i="6"/>
  <c r="E130" i="6"/>
  <c r="U98" i="30" s="1"/>
  <c r="K130" i="6"/>
  <c r="M130" i="6"/>
  <c r="V98" i="30" s="1"/>
  <c r="E126" i="6"/>
  <c r="U94" i="30" s="1"/>
  <c r="I126" i="6"/>
  <c r="M126" i="6"/>
  <c r="V94" i="30" s="1"/>
  <c r="I122" i="6"/>
  <c r="E122" i="6"/>
  <c r="U90" i="30" s="1"/>
  <c r="K122" i="6"/>
  <c r="M122" i="6"/>
  <c r="V90" i="30" s="1"/>
  <c r="I118" i="6"/>
  <c r="M118" i="6"/>
  <c r="V86" i="30" s="1"/>
  <c r="I114" i="6"/>
  <c r="K114" i="6"/>
  <c r="M114" i="6"/>
  <c r="V82" i="30" s="1"/>
  <c r="E142" i="23"/>
  <c r="F142" i="23"/>
  <c r="K142" i="23"/>
  <c r="E134" i="23"/>
  <c r="I134" i="23"/>
  <c r="F134" i="23"/>
  <c r="K134" i="23"/>
  <c r="I123" i="23"/>
  <c r="F123" i="23"/>
  <c r="I115" i="23"/>
  <c r="F115" i="23"/>
  <c r="E147" i="19"/>
  <c r="I147" i="19"/>
  <c r="F147" i="19"/>
  <c r="K147" i="19"/>
  <c r="M147" i="19"/>
  <c r="G147" i="19"/>
  <c r="E142" i="19"/>
  <c r="I142" i="19"/>
  <c r="K142" i="19"/>
  <c r="E131" i="19"/>
  <c r="I131" i="19"/>
  <c r="F131" i="19"/>
  <c r="K131" i="19"/>
  <c r="M131" i="19"/>
  <c r="G131" i="19"/>
  <c r="E126" i="19"/>
  <c r="I126" i="19"/>
  <c r="K126" i="19"/>
  <c r="M120" i="19"/>
  <c r="AD40" i="30" s="1"/>
  <c r="I112" i="19"/>
  <c r="M112" i="19"/>
  <c r="AD32" i="30" s="1"/>
  <c r="G112" i="19"/>
  <c r="E145" i="18"/>
  <c r="I145" i="18"/>
  <c r="F145" i="18"/>
  <c r="K145" i="18"/>
  <c r="G145" i="18"/>
  <c r="I134" i="18"/>
  <c r="E134" i="18"/>
  <c r="M134" i="18"/>
  <c r="G134" i="18"/>
  <c r="E129" i="18"/>
  <c r="I129" i="18"/>
  <c r="F129" i="18"/>
  <c r="K129" i="18"/>
  <c r="G129" i="18"/>
  <c r="M123" i="18"/>
  <c r="I118" i="18"/>
  <c r="E118" i="18"/>
  <c r="V39" i="30" s="1"/>
  <c r="M118" i="18"/>
  <c r="W39" i="30" s="1"/>
  <c r="G118" i="18"/>
  <c r="I113" i="18"/>
  <c r="F113" i="18"/>
  <c r="K113" i="18"/>
  <c r="G113" i="18"/>
  <c r="I147" i="17"/>
  <c r="E147" i="17"/>
  <c r="G147" i="17"/>
  <c r="M147" i="17"/>
  <c r="K147" i="17"/>
  <c r="I143" i="17"/>
  <c r="E143" i="17"/>
  <c r="K143" i="17"/>
  <c r="G143" i="17"/>
  <c r="M143" i="17"/>
  <c r="I140" i="17"/>
  <c r="E140" i="17"/>
  <c r="G140" i="17"/>
  <c r="M140" i="17"/>
  <c r="I123" i="17"/>
  <c r="E123" i="17"/>
  <c r="M123" i="17"/>
  <c r="G123" i="17"/>
  <c r="K123" i="17"/>
  <c r="H180" i="21"/>
  <c r="I180" i="21"/>
  <c r="J180" i="21"/>
  <c r="K180" i="21"/>
  <c r="L180" i="21"/>
  <c r="M180" i="21"/>
  <c r="N180" i="21"/>
  <c r="Q180" i="21"/>
  <c r="R180" i="21"/>
  <c r="P180" i="21"/>
  <c r="O180" i="21"/>
  <c r="S180" i="21"/>
  <c r="V180" i="21"/>
  <c r="U180" i="21"/>
  <c r="W180" i="21"/>
  <c r="T180" i="21"/>
  <c r="G180" i="21"/>
  <c r="H172" i="20"/>
  <c r="I172" i="20"/>
  <c r="J172" i="20"/>
  <c r="L172" i="20"/>
  <c r="O172" i="20"/>
  <c r="P172" i="20"/>
  <c r="K172" i="20"/>
  <c r="N172" i="20"/>
  <c r="S172" i="20"/>
  <c r="M172" i="20"/>
  <c r="Q172" i="20"/>
  <c r="T172" i="20"/>
  <c r="U172" i="20"/>
  <c r="R172" i="20"/>
  <c r="E172" i="20"/>
  <c r="W172" i="20"/>
  <c r="G172" i="20"/>
  <c r="E167" i="20"/>
  <c r="H167" i="20" s="1"/>
  <c r="H183" i="28"/>
  <c r="I183" i="28"/>
  <c r="K183" i="28"/>
  <c r="J183" i="28"/>
  <c r="L183" i="28"/>
  <c r="M183" i="28"/>
  <c r="Q183" i="28"/>
  <c r="P183" i="28"/>
  <c r="O183" i="28"/>
  <c r="T183" i="28"/>
  <c r="U183" i="28"/>
  <c r="N183" i="28"/>
  <c r="R183" i="28"/>
  <c r="S183" i="28"/>
  <c r="V183" i="28"/>
  <c r="G183" i="28"/>
  <c r="F183" i="28"/>
  <c r="W183" i="28"/>
  <c r="H169" i="6"/>
  <c r="I169" i="6"/>
  <c r="J169" i="6"/>
  <c r="K169" i="6"/>
  <c r="M169" i="6"/>
  <c r="L169" i="6"/>
  <c r="Q169" i="6"/>
  <c r="S169" i="6"/>
  <c r="N169" i="6"/>
  <c r="R169" i="6"/>
  <c r="P169" i="6"/>
  <c r="T169" i="6"/>
  <c r="O169" i="6"/>
  <c r="W169" i="6"/>
  <c r="V169" i="6"/>
  <c r="U169" i="6"/>
  <c r="E164" i="6"/>
  <c r="L164" i="6" s="1"/>
  <c r="C164" i="6"/>
  <c r="E156" i="23"/>
  <c r="G156" i="23"/>
  <c r="E140" i="21"/>
  <c r="G140" i="21"/>
  <c r="M140" i="21"/>
  <c r="E135" i="21"/>
  <c r="E144" i="28"/>
  <c r="E141" i="19"/>
  <c r="I141" i="19"/>
  <c r="M141" i="19"/>
  <c r="F141" i="19"/>
  <c r="I136" i="19"/>
  <c r="E136" i="19"/>
  <c r="G136" i="19"/>
  <c r="E173" i="23"/>
  <c r="M173" i="23" s="1"/>
  <c r="G173" i="23"/>
  <c r="F176" i="20"/>
  <c r="C186" i="20"/>
  <c r="F135" i="21"/>
  <c r="G120" i="28"/>
  <c r="E145" i="21"/>
  <c r="E134" i="21"/>
  <c r="M134" i="21"/>
  <c r="F134" i="21"/>
  <c r="G134" i="21"/>
  <c r="E129" i="21"/>
  <c r="E118" i="21"/>
  <c r="M118" i="21"/>
  <c r="F118" i="21"/>
  <c r="G118" i="21"/>
  <c r="E113" i="21"/>
  <c r="I125" i="20"/>
  <c r="M125" i="20"/>
  <c r="O125" i="20" s="1"/>
  <c r="G125" i="20"/>
  <c r="K125" i="20"/>
  <c r="I114" i="20"/>
  <c r="K114" i="20"/>
  <c r="M120" i="28"/>
  <c r="F143" i="28"/>
  <c r="G143" i="28"/>
  <c r="F135" i="28"/>
  <c r="G135" i="28"/>
  <c r="F127" i="28"/>
  <c r="G127" i="28"/>
  <c r="F119" i="28"/>
  <c r="G119" i="28"/>
  <c r="E145" i="6"/>
  <c r="I145" i="6"/>
  <c r="M145" i="6"/>
  <c r="F145" i="6"/>
  <c r="G145" i="6"/>
  <c r="E141" i="6"/>
  <c r="I141" i="6"/>
  <c r="M141" i="6"/>
  <c r="F141" i="6"/>
  <c r="G141" i="6"/>
  <c r="E137" i="6"/>
  <c r="I137" i="6"/>
  <c r="M137" i="6"/>
  <c r="F137" i="6"/>
  <c r="G137" i="6"/>
  <c r="E133" i="6"/>
  <c r="I133" i="6"/>
  <c r="M133" i="6"/>
  <c r="F133" i="6"/>
  <c r="G133" i="6"/>
  <c r="I129" i="6"/>
  <c r="E129" i="6"/>
  <c r="U97" i="30" s="1"/>
  <c r="M129" i="6"/>
  <c r="V97" i="30" s="1"/>
  <c r="F129" i="6"/>
  <c r="G129" i="6"/>
  <c r="E125" i="6"/>
  <c r="U93" i="30" s="1"/>
  <c r="I125" i="6"/>
  <c r="M125" i="6"/>
  <c r="V93" i="30" s="1"/>
  <c r="F125" i="6"/>
  <c r="G125" i="6"/>
  <c r="E121" i="6"/>
  <c r="U89" i="30" s="1"/>
  <c r="I121" i="6"/>
  <c r="M121" i="6"/>
  <c r="V89" i="30" s="1"/>
  <c r="F121" i="6"/>
  <c r="G121" i="6"/>
  <c r="I117" i="6"/>
  <c r="M117" i="6"/>
  <c r="V85" i="30" s="1"/>
  <c r="F117" i="6"/>
  <c r="G117" i="6"/>
  <c r="I113" i="6"/>
  <c r="M113" i="6"/>
  <c r="V81" i="30" s="1"/>
  <c r="F113" i="6"/>
  <c r="G113" i="6"/>
  <c r="E144" i="23"/>
  <c r="I144" i="23"/>
  <c r="K144" i="23"/>
  <c r="E136" i="23"/>
  <c r="I136" i="23"/>
  <c r="K136" i="23"/>
  <c r="I125" i="23"/>
  <c r="M125" i="23"/>
  <c r="AF93" i="30" s="1"/>
  <c r="F125" i="23"/>
  <c r="K125" i="23"/>
  <c r="G125" i="23"/>
  <c r="I117" i="23"/>
  <c r="M117" i="23"/>
  <c r="AF85" i="30" s="1"/>
  <c r="F117" i="23"/>
  <c r="K117" i="23"/>
  <c r="G117" i="23"/>
  <c r="I146" i="19"/>
  <c r="E146" i="19"/>
  <c r="I135" i="19"/>
  <c r="E135" i="19"/>
  <c r="F135" i="19"/>
  <c r="M135" i="19"/>
  <c r="G135" i="19"/>
  <c r="K135" i="19"/>
  <c r="I130" i="19"/>
  <c r="E130" i="19"/>
  <c r="I119" i="19"/>
  <c r="F119" i="19"/>
  <c r="M119" i="19"/>
  <c r="AD39" i="30" s="1"/>
  <c r="G119" i="19"/>
  <c r="K119" i="19"/>
  <c r="I111" i="19"/>
  <c r="F111" i="19"/>
  <c r="G111" i="19"/>
  <c r="K111" i="19"/>
  <c r="E138" i="18"/>
  <c r="I138" i="18"/>
  <c r="M138" i="18"/>
  <c r="K138" i="18"/>
  <c r="G138" i="18"/>
  <c r="I133" i="18"/>
  <c r="E133" i="18"/>
  <c r="F133" i="18"/>
  <c r="G133" i="18"/>
  <c r="K133" i="18"/>
  <c r="E122" i="18"/>
  <c r="I122" i="18"/>
  <c r="M122" i="18"/>
  <c r="K122" i="18"/>
  <c r="G122" i="18"/>
  <c r="I117" i="18"/>
  <c r="E117" i="18"/>
  <c r="F117" i="18"/>
  <c r="G117" i="18"/>
  <c r="K117" i="18"/>
  <c r="E146" i="17"/>
  <c r="I146" i="17"/>
  <c r="K146" i="17"/>
  <c r="M146" i="17"/>
  <c r="G146" i="17"/>
  <c r="I142" i="17"/>
  <c r="E142" i="17"/>
  <c r="M142" i="17"/>
  <c r="G142" i="17"/>
  <c r="I134" i="17"/>
  <c r="E134" i="17"/>
  <c r="M134" i="17"/>
  <c r="G134" i="17"/>
  <c r="D152" i="21"/>
  <c r="G152" i="21"/>
  <c r="E152" i="21"/>
  <c r="J152" i="21" s="1"/>
  <c r="H167" i="28"/>
  <c r="I167" i="28"/>
  <c r="L167" i="28"/>
  <c r="K167" i="28"/>
  <c r="J167" i="28"/>
  <c r="M167" i="28"/>
  <c r="Q167" i="28"/>
  <c r="P167" i="28"/>
  <c r="O167" i="28"/>
  <c r="U167" i="28"/>
  <c r="R167" i="28"/>
  <c r="S167" i="28"/>
  <c r="N167" i="28"/>
  <c r="E167" i="28"/>
  <c r="W167" i="28"/>
  <c r="V167" i="28"/>
  <c r="H177" i="6"/>
  <c r="I177" i="6"/>
  <c r="J177" i="6"/>
  <c r="K177" i="6"/>
  <c r="M177" i="6"/>
  <c r="L177" i="6"/>
  <c r="Q177" i="6"/>
  <c r="S177" i="6"/>
  <c r="O177" i="6"/>
  <c r="R177" i="6"/>
  <c r="N177" i="6"/>
  <c r="P177" i="6"/>
  <c r="T177" i="6"/>
  <c r="U177" i="6"/>
  <c r="V177" i="6"/>
  <c r="W177" i="6"/>
  <c r="C177" i="6"/>
  <c r="E172" i="23"/>
  <c r="G172" i="23"/>
  <c r="E166" i="23"/>
  <c r="I166" i="23" s="1"/>
  <c r="C166" i="23"/>
  <c r="G166" i="23"/>
  <c r="E162" i="23"/>
  <c r="J162" i="23" s="1"/>
  <c r="G162" i="23"/>
  <c r="G156" i="17"/>
  <c r="E156" i="17"/>
  <c r="I156" i="17" s="1"/>
  <c r="E152" i="17"/>
  <c r="L152" i="17" s="1"/>
  <c r="D152" i="17"/>
  <c r="C152" i="17"/>
  <c r="E128" i="28"/>
  <c r="I129" i="23"/>
  <c r="G129" i="23"/>
  <c r="K129" i="23"/>
  <c r="I122" i="23"/>
  <c r="M122" i="23"/>
  <c r="AF90" i="30" s="1"/>
  <c r="G122" i="23"/>
  <c r="I127" i="17"/>
  <c r="E127" i="17"/>
  <c r="K127" i="17"/>
  <c r="G127" i="17"/>
  <c r="M127" i="17"/>
  <c r="F140" i="21"/>
  <c r="F120" i="28"/>
  <c r="F136" i="19"/>
  <c r="E144" i="21"/>
  <c r="G144" i="21"/>
  <c r="M144" i="21"/>
  <c r="E139" i="21"/>
  <c r="E128" i="21"/>
  <c r="G128" i="21"/>
  <c r="M128" i="21"/>
  <c r="E123" i="21"/>
  <c r="M111" i="21"/>
  <c r="I110" i="21"/>
  <c r="D110" i="21"/>
  <c r="K110" i="21"/>
  <c r="M110" i="21"/>
  <c r="AQ61" i="30" s="1"/>
  <c r="I144" i="20"/>
  <c r="E144" i="20"/>
  <c r="M144" i="20"/>
  <c r="E140" i="20"/>
  <c r="I140" i="20"/>
  <c r="K140" i="20"/>
  <c r="M140" i="20"/>
  <c r="I136" i="20"/>
  <c r="E136" i="20"/>
  <c r="M136" i="20"/>
  <c r="E132" i="20"/>
  <c r="I132" i="20"/>
  <c r="K132" i="20"/>
  <c r="M132" i="20"/>
  <c r="I128" i="20"/>
  <c r="E128" i="20"/>
  <c r="M128" i="20"/>
  <c r="M128" i="28"/>
  <c r="M119" i="28"/>
  <c r="I133" i="23"/>
  <c r="E133" i="23"/>
  <c r="G133" i="23"/>
  <c r="K133" i="23"/>
  <c r="I128" i="23"/>
  <c r="K128" i="23"/>
  <c r="I145" i="19"/>
  <c r="E145" i="19"/>
  <c r="M145" i="19"/>
  <c r="F145" i="19"/>
  <c r="E140" i="19"/>
  <c r="I140" i="19"/>
  <c r="K140" i="19"/>
  <c r="G140" i="19"/>
  <c r="I129" i="19"/>
  <c r="E129" i="19"/>
  <c r="M129" i="19"/>
  <c r="F129" i="19"/>
  <c r="E124" i="19"/>
  <c r="I124" i="19"/>
  <c r="K124" i="19"/>
  <c r="G124" i="19"/>
  <c r="I110" i="19"/>
  <c r="D110" i="19"/>
  <c r="M110" i="19"/>
  <c r="AD30" i="30" s="1"/>
  <c r="K110" i="19"/>
  <c r="E143" i="18"/>
  <c r="I143" i="18"/>
  <c r="F143" i="18"/>
  <c r="I132" i="18"/>
  <c r="E132" i="18"/>
  <c r="M132" i="18"/>
  <c r="K132" i="18"/>
  <c r="G132" i="18"/>
  <c r="E127" i="18"/>
  <c r="I127" i="18"/>
  <c r="F127" i="18"/>
  <c r="I116" i="18"/>
  <c r="M116" i="18"/>
  <c r="W37" i="30" s="1"/>
  <c r="K116" i="18"/>
  <c r="G116" i="18"/>
  <c r="H162" i="21"/>
  <c r="I162" i="21"/>
  <c r="K162" i="21"/>
  <c r="M162" i="21"/>
  <c r="L162" i="21"/>
  <c r="J162" i="21"/>
  <c r="O162" i="21"/>
  <c r="P162" i="21"/>
  <c r="N162" i="21"/>
  <c r="S162" i="21"/>
  <c r="R162" i="21"/>
  <c r="T162" i="21"/>
  <c r="W162" i="21"/>
  <c r="V162" i="21"/>
  <c r="Q162" i="21"/>
  <c r="G162" i="21"/>
  <c r="E162" i="21"/>
  <c r="H170" i="20"/>
  <c r="I170" i="20"/>
  <c r="J170" i="20"/>
  <c r="K170" i="20"/>
  <c r="M170" i="20"/>
  <c r="N170" i="20"/>
  <c r="Q170" i="20"/>
  <c r="T170" i="20"/>
  <c r="P170" i="20"/>
  <c r="L170" i="20"/>
  <c r="O170" i="20"/>
  <c r="S170" i="20"/>
  <c r="V170" i="20"/>
  <c r="R170" i="20"/>
  <c r="W170" i="20"/>
  <c r="U170" i="20"/>
  <c r="C170" i="20"/>
  <c r="G162" i="20"/>
  <c r="E162" i="20"/>
  <c r="P162" i="20" s="1"/>
  <c r="H181" i="6"/>
  <c r="I181" i="6"/>
  <c r="J181" i="6"/>
  <c r="K181" i="6"/>
  <c r="L181" i="6"/>
  <c r="Q181" i="6"/>
  <c r="N181" i="6"/>
  <c r="O181" i="6"/>
  <c r="S181" i="6"/>
  <c r="M181" i="6"/>
  <c r="R181" i="6"/>
  <c r="U181" i="6"/>
  <c r="P181" i="6"/>
  <c r="T181" i="6"/>
  <c r="V181" i="6"/>
  <c r="E181" i="6"/>
  <c r="G181" i="6"/>
  <c r="E152" i="6"/>
  <c r="R152" i="6" s="1"/>
  <c r="G152" i="6"/>
  <c r="D152" i="6"/>
  <c r="H183" i="23"/>
  <c r="I183" i="23"/>
  <c r="J183" i="23"/>
  <c r="K183" i="23"/>
  <c r="L183" i="23"/>
  <c r="M183" i="23"/>
  <c r="N183" i="23"/>
  <c r="S183" i="23"/>
  <c r="O183" i="23"/>
  <c r="Q183" i="23"/>
  <c r="R183" i="23"/>
  <c r="T183" i="23"/>
  <c r="P183" i="23"/>
  <c r="U183" i="23"/>
  <c r="W183" i="23"/>
  <c r="G183" i="23"/>
  <c r="C183" i="23"/>
  <c r="H177" i="23"/>
  <c r="J177" i="23"/>
  <c r="I177" i="23"/>
  <c r="K177" i="23"/>
  <c r="M177" i="23"/>
  <c r="P177" i="23"/>
  <c r="R177" i="23"/>
  <c r="L177" i="23"/>
  <c r="O177" i="23"/>
  <c r="Q177" i="23"/>
  <c r="N177" i="23"/>
  <c r="S177" i="23"/>
  <c r="U177" i="23"/>
  <c r="T177" i="23"/>
  <c r="V177" i="23"/>
  <c r="C177" i="23"/>
  <c r="H188" i="18"/>
  <c r="J188" i="18"/>
  <c r="I188" i="18"/>
  <c r="K188" i="18"/>
  <c r="L188" i="18"/>
  <c r="N188" i="18"/>
  <c r="O188" i="18"/>
  <c r="T188" i="18"/>
  <c r="M188" i="18"/>
  <c r="V188" i="18"/>
  <c r="P188" i="18"/>
  <c r="R188" i="18"/>
  <c r="U188" i="18"/>
  <c r="Q188" i="18"/>
  <c r="S188" i="18"/>
  <c r="G188" i="18"/>
  <c r="H175" i="18"/>
  <c r="K175" i="18"/>
  <c r="J175" i="18"/>
  <c r="L175" i="18"/>
  <c r="I175" i="18"/>
  <c r="M175" i="18"/>
  <c r="N175" i="18"/>
  <c r="P175" i="18"/>
  <c r="O175" i="18"/>
  <c r="R175" i="18"/>
  <c r="T175" i="18"/>
  <c r="Q175" i="18"/>
  <c r="V175" i="18"/>
  <c r="U175" i="18"/>
  <c r="W175" i="18"/>
  <c r="S175" i="18"/>
  <c r="C175" i="18"/>
  <c r="I169" i="18"/>
  <c r="J169" i="18"/>
  <c r="H169" i="18"/>
  <c r="L169" i="18"/>
  <c r="N169" i="18"/>
  <c r="M169" i="18"/>
  <c r="K169" i="18"/>
  <c r="Q169" i="18"/>
  <c r="S169" i="18"/>
  <c r="P169" i="18"/>
  <c r="T169" i="18"/>
  <c r="O169" i="18"/>
  <c r="U169" i="18"/>
  <c r="W169" i="18"/>
  <c r="R169" i="18"/>
  <c r="V169" i="18"/>
  <c r="H162" i="18"/>
  <c r="K162" i="18"/>
  <c r="J162" i="18"/>
  <c r="L162" i="18"/>
  <c r="N162" i="18"/>
  <c r="I162" i="18"/>
  <c r="M162" i="18"/>
  <c r="Q162" i="18"/>
  <c r="R162" i="18"/>
  <c r="P162" i="18"/>
  <c r="T162" i="18"/>
  <c r="S162" i="18"/>
  <c r="O162" i="18"/>
  <c r="U162" i="18"/>
  <c r="V162" i="18"/>
  <c r="W162" i="18"/>
  <c r="E162" i="18"/>
  <c r="E158" i="18"/>
  <c r="G158" i="18"/>
  <c r="C158" i="18"/>
  <c r="H188" i="17"/>
  <c r="I188" i="17"/>
  <c r="J188" i="17"/>
  <c r="K188" i="17"/>
  <c r="L188" i="17"/>
  <c r="M188" i="17"/>
  <c r="N188" i="17"/>
  <c r="P188" i="17"/>
  <c r="R188" i="17"/>
  <c r="Q188" i="17"/>
  <c r="T188" i="17"/>
  <c r="O188" i="17"/>
  <c r="S188" i="17"/>
  <c r="U188" i="17"/>
  <c r="V188" i="17"/>
  <c r="W188" i="17"/>
  <c r="E188" i="17"/>
  <c r="H177" i="17"/>
  <c r="J177" i="17"/>
  <c r="I177" i="17"/>
  <c r="K177" i="17"/>
  <c r="L177" i="17"/>
  <c r="M177" i="17"/>
  <c r="N177" i="17"/>
  <c r="P177" i="17"/>
  <c r="R177" i="17"/>
  <c r="O177" i="17"/>
  <c r="T177" i="17"/>
  <c r="S177" i="17"/>
  <c r="Q177" i="17"/>
  <c r="U177" i="17"/>
  <c r="W177" i="17"/>
  <c r="V177" i="17"/>
  <c r="F177" i="17"/>
  <c r="G177" i="17"/>
  <c r="E177" i="17"/>
  <c r="W177" i="23"/>
  <c r="E124" i="21"/>
  <c r="G124" i="21"/>
  <c r="M124" i="21"/>
  <c r="E119" i="21"/>
  <c r="E141" i="20"/>
  <c r="I141" i="20"/>
  <c r="M141" i="20"/>
  <c r="G141" i="20"/>
  <c r="K141" i="20"/>
  <c r="E137" i="20"/>
  <c r="I137" i="20"/>
  <c r="M137" i="20"/>
  <c r="G137" i="20"/>
  <c r="K137" i="20"/>
  <c r="E133" i="20"/>
  <c r="I133" i="20"/>
  <c r="M133" i="20"/>
  <c r="G133" i="20"/>
  <c r="K133" i="20"/>
  <c r="I122" i="20"/>
  <c r="M122" i="20"/>
  <c r="AW39" i="30" s="1"/>
  <c r="F122" i="20"/>
  <c r="K122" i="20"/>
  <c r="E136" i="28"/>
  <c r="H173" i="6"/>
  <c r="I173" i="6"/>
  <c r="J173" i="6"/>
  <c r="K173" i="6"/>
  <c r="L173" i="6"/>
  <c r="M173" i="6"/>
  <c r="Q173" i="6"/>
  <c r="P173" i="6"/>
  <c r="O173" i="6"/>
  <c r="N173" i="6"/>
  <c r="U173" i="6"/>
  <c r="R173" i="6"/>
  <c r="S173" i="6"/>
  <c r="T173" i="6"/>
  <c r="V173" i="6"/>
  <c r="W173" i="6"/>
  <c r="F173" i="6"/>
  <c r="G173" i="6"/>
  <c r="E173" i="6"/>
  <c r="I144" i="28"/>
  <c r="K124" i="21"/>
  <c r="K135" i="21"/>
  <c r="C145" i="20"/>
  <c r="C122" i="23"/>
  <c r="AB90" i="30" s="1"/>
  <c r="K112" i="28"/>
  <c r="I124" i="21"/>
  <c r="C135" i="21"/>
  <c r="C136" i="19"/>
  <c r="C141" i="19"/>
  <c r="C141" i="20"/>
  <c r="C119" i="21"/>
  <c r="AM70" i="30" s="1"/>
  <c r="I136" i="28"/>
  <c r="I112" i="28"/>
  <c r="K113" i="21"/>
  <c r="F187" i="28"/>
  <c r="G145" i="21"/>
  <c r="G139" i="21"/>
  <c r="F127" i="21"/>
  <c r="G113" i="21"/>
  <c r="G144" i="28"/>
  <c r="K136" i="20"/>
  <c r="K145" i="6"/>
  <c r="K129" i="6"/>
  <c r="K113" i="6"/>
  <c r="G110" i="21"/>
  <c r="G140" i="20"/>
  <c r="G132" i="20"/>
  <c r="G124" i="20"/>
  <c r="G136" i="23"/>
  <c r="E111" i="21"/>
  <c r="I119" i="20"/>
  <c r="G119" i="20"/>
  <c r="I116" i="20"/>
  <c r="M116" i="20"/>
  <c r="AW33" i="30" s="1"/>
  <c r="K116" i="20"/>
  <c r="M136" i="28"/>
  <c r="M127" i="28"/>
  <c r="E119" i="28"/>
  <c r="G141" i="28"/>
  <c r="G133" i="28"/>
  <c r="G125" i="28"/>
  <c r="G117" i="28"/>
  <c r="G105" i="28"/>
  <c r="E40" i="28"/>
  <c r="F40" i="28" s="1"/>
  <c r="E39" i="28"/>
  <c r="F39" i="28" s="1"/>
  <c r="E41" i="28"/>
  <c r="F41" i="28" s="1"/>
  <c r="D110" i="28"/>
  <c r="M110" i="28"/>
  <c r="E144" i="6"/>
  <c r="I144" i="6"/>
  <c r="F144" i="6"/>
  <c r="K144" i="6"/>
  <c r="M144" i="6"/>
  <c r="E140" i="6"/>
  <c r="I140" i="6"/>
  <c r="F140" i="6"/>
  <c r="M140" i="6"/>
  <c r="E136" i="6"/>
  <c r="I136" i="6"/>
  <c r="F136" i="6"/>
  <c r="K136" i="6"/>
  <c r="M136" i="6"/>
  <c r="E132" i="6"/>
  <c r="I132" i="6"/>
  <c r="F132" i="6"/>
  <c r="M132" i="6"/>
  <c r="E128" i="6"/>
  <c r="U96" i="30" s="1"/>
  <c r="I128" i="6"/>
  <c r="F128" i="6"/>
  <c r="K128" i="6"/>
  <c r="M128" i="6"/>
  <c r="V96" i="30" s="1"/>
  <c r="E124" i="6"/>
  <c r="U92" i="30" s="1"/>
  <c r="I124" i="6"/>
  <c r="F124" i="6"/>
  <c r="M124" i="6"/>
  <c r="V92" i="30" s="1"/>
  <c r="I120" i="6"/>
  <c r="F120" i="6"/>
  <c r="K120" i="6"/>
  <c r="M120" i="6"/>
  <c r="V88" i="30" s="1"/>
  <c r="I116" i="6"/>
  <c r="F116" i="6"/>
  <c r="M116" i="6"/>
  <c r="I146" i="23"/>
  <c r="E146" i="23"/>
  <c r="F146" i="23"/>
  <c r="I138" i="23"/>
  <c r="E138" i="23"/>
  <c r="F138" i="23"/>
  <c r="E139" i="19"/>
  <c r="I139" i="19"/>
  <c r="F139" i="19"/>
  <c r="K139" i="19"/>
  <c r="M139" i="19"/>
  <c r="G139" i="19"/>
  <c r="E134" i="19"/>
  <c r="I134" i="19"/>
  <c r="K134" i="19"/>
  <c r="E123" i="19"/>
  <c r="I123" i="19"/>
  <c r="F123" i="19"/>
  <c r="K123" i="19"/>
  <c r="M123" i="19"/>
  <c r="G123" i="19"/>
  <c r="I115" i="19"/>
  <c r="K115" i="19"/>
  <c r="G115" i="19"/>
  <c r="I142" i="18"/>
  <c r="E142" i="18"/>
  <c r="M142" i="18"/>
  <c r="G142" i="18"/>
  <c r="E137" i="18"/>
  <c r="I137" i="18"/>
  <c r="F137" i="18"/>
  <c r="K137" i="18"/>
  <c r="G137" i="18"/>
  <c r="I126" i="18"/>
  <c r="E126" i="18"/>
  <c r="M126" i="18"/>
  <c r="G126" i="18"/>
  <c r="E121" i="18"/>
  <c r="I121" i="18"/>
  <c r="F121" i="18"/>
  <c r="K121" i="18"/>
  <c r="G121" i="18"/>
  <c r="E145" i="17"/>
  <c r="I145" i="17"/>
  <c r="M145" i="17"/>
  <c r="E136" i="17"/>
  <c r="I136" i="17"/>
  <c r="K136" i="17"/>
  <c r="G136" i="17"/>
  <c r="M136" i="17"/>
  <c r="E121" i="17"/>
  <c r="I121" i="17"/>
  <c r="M121" i="17"/>
  <c r="I118" i="17"/>
  <c r="E118" i="17"/>
  <c r="M118" i="17"/>
  <c r="M37" i="30" s="1"/>
  <c r="G118" i="17"/>
  <c r="I111" i="17"/>
  <c r="M111" i="17"/>
  <c r="M30" i="30" s="1"/>
  <c r="K111" i="17"/>
  <c r="G111" i="17"/>
  <c r="H161" i="21"/>
  <c r="I161" i="21"/>
  <c r="K161" i="21"/>
  <c r="M161" i="21"/>
  <c r="L161" i="21"/>
  <c r="J161" i="21"/>
  <c r="O161" i="21"/>
  <c r="Q161" i="21"/>
  <c r="S161" i="21"/>
  <c r="R161" i="21"/>
  <c r="P161" i="21"/>
  <c r="N161" i="21"/>
  <c r="T161" i="21"/>
  <c r="U161" i="21"/>
  <c r="V161" i="21"/>
  <c r="W161" i="21"/>
  <c r="C161" i="21"/>
  <c r="G165" i="20"/>
  <c r="E165" i="20"/>
  <c r="E159" i="20"/>
  <c r="O159" i="20" s="1"/>
  <c r="E156" i="20"/>
  <c r="O156" i="20" s="1"/>
  <c r="G156" i="20"/>
  <c r="C156" i="20"/>
  <c r="H185" i="6"/>
  <c r="I185" i="6"/>
  <c r="J185" i="6"/>
  <c r="L185" i="6"/>
  <c r="M185" i="6"/>
  <c r="K185" i="6"/>
  <c r="Q185" i="6"/>
  <c r="S185" i="6"/>
  <c r="N185" i="6"/>
  <c r="R185" i="6"/>
  <c r="P185" i="6"/>
  <c r="O185" i="6"/>
  <c r="U185" i="6"/>
  <c r="T185" i="6"/>
  <c r="W185" i="6"/>
  <c r="V185" i="6"/>
  <c r="G185" i="6"/>
  <c r="E185" i="6"/>
  <c r="H189" i="23"/>
  <c r="J189" i="23"/>
  <c r="I189" i="23"/>
  <c r="L189" i="23"/>
  <c r="K189" i="23"/>
  <c r="M189" i="23"/>
  <c r="N189" i="23"/>
  <c r="P189" i="23"/>
  <c r="R189" i="23"/>
  <c r="O189" i="23"/>
  <c r="Q189" i="23"/>
  <c r="V189" i="23"/>
  <c r="T189" i="23"/>
  <c r="S189" i="23"/>
  <c r="U189" i="23"/>
  <c r="W189" i="23"/>
  <c r="G189" i="23"/>
  <c r="F189" i="23"/>
  <c r="H176" i="23"/>
  <c r="J176" i="23"/>
  <c r="K176" i="23"/>
  <c r="I176" i="23"/>
  <c r="M176" i="23"/>
  <c r="P176" i="23"/>
  <c r="O176" i="23"/>
  <c r="Q176" i="23"/>
  <c r="T176" i="23"/>
  <c r="R176" i="23"/>
  <c r="N176" i="23"/>
  <c r="U176" i="23"/>
  <c r="L176" i="23"/>
  <c r="S176" i="23"/>
  <c r="V176" i="23"/>
  <c r="C176" i="23"/>
  <c r="W176" i="23"/>
  <c r="E176" i="23"/>
  <c r="H187" i="18"/>
  <c r="J187" i="18"/>
  <c r="I187" i="18"/>
  <c r="K187" i="18"/>
  <c r="L187" i="18"/>
  <c r="N187" i="18"/>
  <c r="M187" i="18"/>
  <c r="P187" i="18"/>
  <c r="O187" i="18"/>
  <c r="Q187" i="18"/>
  <c r="S187" i="18"/>
  <c r="U187" i="18"/>
  <c r="R187" i="18"/>
  <c r="T187" i="18"/>
  <c r="V187" i="18"/>
  <c r="C187" i="18"/>
  <c r="W187" i="18"/>
  <c r="H181" i="18"/>
  <c r="I181" i="18"/>
  <c r="J181" i="18"/>
  <c r="M181" i="18"/>
  <c r="K181" i="18"/>
  <c r="Q181" i="18"/>
  <c r="L181" i="18"/>
  <c r="R181" i="18"/>
  <c r="T181" i="18"/>
  <c r="N181" i="18"/>
  <c r="P181" i="18"/>
  <c r="S181" i="18"/>
  <c r="U181" i="18"/>
  <c r="V181" i="18"/>
  <c r="O181" i="18"/>
  <c r="W181" i="18"/>
  <c r="E181" i="18"/>
  <c r="G181" i="18"/>
  <c r="F181" i="18"/>
  <c r="H174" i="18"/>
  <c r="J174" i="18"/>
  <c r="I174" i="18"/>
  <c r="K174" i="18"/>
  <c r="M174" i="18"/>
  <c r="L174" i="18"/>
  <c r="P174" i="18"/>
  <c r="Q174" i="18"/>
  <c r="R174" i="18"/>
  <c r="N174" i="18"/>
  <c r="S174" i="18"/>
  <c r="O174" i="18"/>
  <c r="T174" i="18"/>
  <c r="V174" i="18"/>
  <c r="W174" i="18"/>
  <c r="U174" i="18"/>
  <c r="E174" i="18"/>
  <c r="C174" i="18"/>
  <c r="I168" i="18"/>
  <c r="J168" i="18"/>
  <c r="L168" i="18"/>
  <c r="N168" i="18"/>
  <c r="M168" i="18"/>
  <c r="K168" i="18"/>
  <c r="H168" i="18"/>
  <c r="O168" i="18"/>
  <c r="S168" i="18"/>
  <c r="R168" i="18"/>
  <c r="Q168" i="18"/>
  <c r="T168" i="18"/>
  <c r="W168" i="18"/>
  <c r="P168" i="18"/>
  <c r="U168" i="18"/>
  <c r="V168" i="18"/>
  <c r="G168" i="18"/>
  <c r="F168" i="18"/>
  <c r="C168" i="18"/>
  <c r="I176" i="17"/>
  <c r="H176" i="17"/>
  <c r="K176" i="17"/>
  <c r="L176" i="17"/>
  <c r="J176" i="17"/>
  <c r="M176" i="17"/>
  <c r="N176" i="17"/>
  <c r="P176" i="17"/>
  <c r="R176" i="17"/>
  <c r="O176" i="17"/>
  <c r="Q176" i="17"/>
  <c r="U176" i="17"/>
  <c r="S176" i="17"/>
  <c r="V176" i="17"/>
  <c r="T176" i="17"/>
  <c r="W176" i="17"/>
  <c r="H171" i="17"/>
  <c r="I171" i="17"/>
  <c r="K171" i="17"/>
  <c r="J171" i="17"/>
  <c r="L171" i="17"/>
  <c r="N171" i="17"/>
  <c r="Q171" i="17"/>
  <c r="R171" i="17"/>
  <c r="M171" i="17"/>
  <c r="S171" i="17"/>
  <c r="O171" i="17"/>
  <c r="U171" i="17"/>
  <c r="V171" i="17"/>
  <c r="T171" i="17"/>
  <c r="P171" i="17"/>
  <c r="W171" i="17"/>
  <c r="C171" i="17"/>
  <c r="E112" i="28"/>
  <c r="E125" i="19"/>
  <c r="I125" i="19"/>
  <c r="M125" i="19"/>
  <c r="F125" i="19"/>
  <c r="I120" i="19"/>
  <c r="G120" i="19"/>
  <c r="I116" i="19"/>
  <c r="K116" i="19"/>
  <c r="M116" i="19"/>
  <c r="AD36" i="30" s="1"/>
  <c r="G116" i="19"/>
  <c r="E144" i="18"/>
  <c r="I144" i="18"/>
  <c r="M144" i="18"/>
  <c r="E139" i="18"/>
  <c r="I139" i="18"/>
  <c r="F139" i="18"/>
  <c r="I112" i="18"/>
  <c r="M112" i="18"/>
  <c r="W33" i="30" s="1"/>
  <c r="G112" i="18"/>
  <c r="C129" i="23"/>
  <c r="AB97" i="30" s="1"/>
  <c r="C139" i="18"/>
  <c r="C116" i="19"/>
  <c r="Z36" i="30" s="1"/>
  <c r="K128" i="28"/>
  <c r="C173" i="23"/>
  <c r="G119" i="21"/>
  <c r="F144" i="28"/>
  <c r="F112" i="28"/>
  <c r="K141" i="19"/>
  <c r="K125" i="19"/>
  <c r="G139" i="18"/>
  <c r="E143" i="21"/>
  <c r="E132" i="21"/>
  <c r="G132" i="21"/>
  <c r="M132" i="21"/>
  <c r="E127" i="21"/>
  <c r="E116" i="21"/>
  <c r="G116" i="21"/>
  <c r="M116" i="21"/>
  <c r="E147" i="20"/>
  <c r="I147" i="20"/>
  <c r="M147" i="20"/>
  <c r="F147" i="20"/>
  <c r="G147" i="20"/>
  <c r="I143" i="20"/>
  <c r="E143" i="20"/>
  <c r="M143" i="20"/>
  <c r="F143" i="20"/>
  <c r="G143" i="20"/>
  <c r="E139" i="20"/>
  <c r="I139" i="20"/>
  <c r="M139" i="20"/>
  <c r="F139" i="20"/>
  <c r="G139" i="20"/>
  <c r="I135" i="20"/>
  <c r="E135" i="20"/>
  <c r="M135" i="20"/>
  <c r="F135" i="20"/>
  <c r="G135" i="20"/>
  <c r="E131" i="20"/>
  <c r="I131" i="20"/>
  <c r="M131" i="20"/>
  <c r="F131" i="20"/>
  <c r="G131" i="20"/>
  <c r="I127" i="20"/>
  <c r="E127" i="20"/>
  <c r="M127" i="20"/>
  <c r="F127" i="20"/>
  <c r="G127" i="20"/>
  <c r="I124" i="20"/>
  <c r="M124" i="20"/>
  <c r="K124" i="20"/>
  <c r="M144" i="28"/>
  <c r="M135" i="28"/>
  <c r="E127" i="28"/>
  <c r="I132" i="23"/>
  <c r="E132" i="23"/>
  <c r="M132" i="23"/>
  <c r="I127" i="23"/>
  <c r="M127" i="23"/>
  <c r="AF95" i="30" s="1"/>
  <c r="I124" i="23"/>
  <c r="M124" i="23"/>
  <c r="AF92" i="30" s="1"/>
  <c r="I119" i="23"/>
  <c r="F119" i="23"/>
  <c r="I116" i="23"/>
  <c r="M116" i="23"/>
  <c r="AF84" i="30" s="1"/>
  <c r="I111" i="23"/>
  <c r="F111" i="23"/>
  <c r="I144" i="19"/>
  <c r="E144" i="19"/>
  <c r="G144" i="19"/>
  <c r="E133" i="19"/>
  <c r="I133" i="19"/>
  <c r="M133" i="19"/>
  <c r="F133" i="19"/>
  <c r="I128" i="19"/>
  <c r="E128" i="19"/>
  <c r="G128" i="19"/>
  <c r="I114" i="19"/>
  <c r="M114" i="19"/>
  <c r="AD34" i="30" s="1"/>
  <c r="E147" i="18"/>
  <c r="I147" i="18"/>
  <c r="F147" i="18"/>
  <c r="E136" i="18"/>
  <c r="I136" i="18"/>
  <c r="M136" i="18"/>
  <c r="G136" i="18"/>
  <c r="E131" i="18"/>
  <c r="I131" i="18"/>
  <c r="F131" i="18"/>
  <c r="E120" i="18"/>
  <c r="I120" i="18"/>
  <c r="M120" i="18"/>
  <c r="G120" i="18"/>
  <c r="I115" i="18"/>
  <c r="I132" i="17"/>
  <c r="E132" i="17"/>
  <c r="M132" i="17"/>
  <c r="G132" i="17"/>
  <c r="I125" i="17"/>
  <c r="E125" i="17"/>
  <c r="M125" i="17"/>
  <c r="H171" i="21"/>
  <c r="I171" i="21"/>
  <c r="J171" i="21"/>
  <c r="K171" i="21"/>
  <c r="L171" i="21"/>
  <c r="M171" i="21"/>
  <c r="P171" i="21"/>
  <c r="Q171" i="21"/>
  <c r="N171" i="21"/>
  <c r="R171" i="21"/>
  <c r="O171" i="21"/>
  <c r="U171" i="21"/>
  <c r="S171" i="21"/>
  <c r="V171" i="21"/>
  <c r="W171" i="21"/>
  <c r="T171" i="21"/>
  <c r="G171" i="21"/>
  <c r="F171" i="21"/>
  <c r="H166" i="21"/>
  <c r="I166" i="21"/>
  <c r="J166" i="21"/>
  <c r="K166" i="21"/>
  <c r="L166" i="21"/>
  <c r="M166" i="21"/>
  <c r="O166" i="21"/>
  <c r="P166" i="21"/>
  <c r="N166" i="21"/>
  <c r="S166" i="21"/>
  <c r="R166" i="21"/>
  <c r="Q166" i="21"/>
  <c r="T166" i="21"/>
  <c r="U166" i="21"/>
  <c r="W166" i="21"/>
  <c r="G166" i="21"/>
  <c r="F166" i="21"/>
  <c r="E166" i="21"/>
  <c r="V166" i="21"/>
  <c r="I189" i="6"/>
  <c r="H189" i="6"/>
  <c r="K189" i="6"/>
  <c r="L189" i="6"/>
  <c r="M189" i="6"/>
  <c r="Q189" i="6"/>
  <c r="J189" i="6"/>
  <c r="P189" i="6"/>
  <c r="O189" i="6"/>
  <c r="T189" i="6"/>
  <c r="N189" i="6"/>
  <c r="U189" i="6"/>
  <c r="V189" i="6"/>
  <c r="E189" i="6"/>
  <c r="R189" i="6"/>
  <c r="W189" i="6"/>
  <c r="G160" i="19"/>
  <c r="C160" i="19"/>
  <c r="E160" i="19"/>
  <c r="J160" i="19" s="1"/>
  <c r="T167" i="28"/>
  <c r="E128" i="18"/>
  <c r="I128" i="18"/>
  <c r="M128" i="18"/>
  <c r="G128" i="18"/>
  <c r="E123" i="18"/>
  <c r="I123" i="18"/>
  <c r="F123" i="18"/>
  <c r="H186" i="20"/>
  <c r="I186" i="20"/>
  <c r="J186" i="20"/>
  <c r="K186" i="20"/>
  <c r="L186" i="20"/>
  <c r="M186" i="20"/>
  <c r="N186" i="20"/>
  <c r="Q186" i="20"/>
  <c r="P186" i="20"/>
  <c r="O186" i="20"/>
  <c r="S186" i="20"/>
  <c r="V186" i="20"/>
  <c r="R186" i="20"/>
  <c r="T186" i="20"/>
  <c r="W186" i="20"/>
  <c r="U186" i="20"/>
  <c r="F186" i="20"/>
  <c r="H176" i="20"/>
  <c r="I176" i="20"/>
  <c r="K176" i="20"/>
  <c r="J176" i="20"/>
  <c r="L176" i="20"/>
  <c r="M176" i="20"/>
  <c r="O176" i="20"/>
  <c r="P176" i="20"/>
  <c r="Q176" i="20"/>
  <c r="R176" i="20"/>
  <c r="N176" i="20"/>
  <c r="T176" i="20"/>
  <c r="V176" i="20"/>
  <c r="U176" i="20"/>
  <c r="W176" i="20"/>
  <c r="S176" i="20"/>
  <c r="E176" i="20"/>
  <c r="G176" i="20"/>
  <c r="H187" i="28"/>
  <c r="I187" i="28"/>
  <c r="M187" i="28"/>
  <c r="J187" i="28"/>
  <c r="Q187" i="28"/>
  <c r="L187" i="28"/>
  <c r="K187" i="28"/>
  <c r="S187" i="28"/>
  <c r="O187" i="28"/>
  <c r="R187" i="28"/>
  <c r="N187" i="28"/>
  <c r="P187" i="28"/>
  <c r="T187" i="28"/>
  <c r="W187" i="28"/>
  <c r="U187" i="28"/>
  <c r="V187" i="28"/>
  <c r="E187" i="28"/>
  <c r="C144" i="18"/>
  <c r="C140" i="21"/>
  <c r="I128" i="28"/>
  <c r="I140" i="21"/>
  <c r="C133" i="20"/>
  <c r="I119" i="21"/>
  <c r="G187" i="28"/>
  <c r="F144" i="21"/>
  <c r="F119" i="21"/>
  <c r="G136" i="28"/>
  <c r="K144" i="18"/>
  <c r="K128" i="18"/>
  <c r="K112" i="18"/>
  <c r="G122" i="20"/>
  <c r="G144" i="23"/>
  <c r="G141" i="19"/>
  <c r="G125" i="19"/>
  <c r="E137" i="21"/>
  <c r="E121" i="21"/>
  <c r="M123" i="20"/>
  <c r="I118" i="20"/>
  <c r="I110" i="20"/>
  <c r="D110" i="20"/>
  <c r="F110" i="20"/>
  <c r="M143" i="28"/>
  <c r="E135" i="28"/>
  <c r="F147" i="28"/>
  <c r="G147" i="28"/>
  <c r="F139" i="28"/>
  <c r="G139" i="28"/>
  <c r="F131" i="28"/>
  <c r="G131" i="28"/>
  <c r="F123" i="28"/>
  <c r="G123" i="28"/>
  <c r="F115" i="28"/>
  <c r="G115" i="28"/>
  <c r="I110" i="6"/>
  <c r="D110" i="6"/>
  <c r="I140" i="23"/>
  <c r="E140" i="23"/>
  <c r="M123" i="23"/>
  <c r="AF91" i="30" s="1"/>
  <c r="M115" i="23"/>
  <c r="AF83" i="30" s="1"/>
  <c r="I143" i="19"/>
  <c r="E143" i="19"/>
  <c r="F143" i="19"/>
  <c r="M143" i="19"/>
  <c r="G143" i="19"/>
  <c r="K143" i="19"/>
  <c r="I138" i="19"/>
  <c r="E138" i="19"/>
  <c r="I127" i="19"/>
  <c r="E127" i="19"/>
  <c r="F127" i="19"/>
  <c r="M127" i="19"/>
  <c r="G127" i="19"/>
  <c r="K127" i="19"/>
  <c r="I122" i="19"/>
  <c r="E122" i="19"/>
  <c r="E146" i="18"/>
  <c r="I146" i="18"/>
  <c r="M146" i="18"/>
  <c r="K146" i="18"/>
  <c r="G146" i="18"/>
  <c r="I141" i="18"/>
  <c r="E141" i="18"/>
  <c r="F141" i="18"/>
  <c r="G141" i="18"/>
  <c r="K141" i="18"/>
  <c r="E130" i="18"/>
  <c r="I130" i="18"/>
  <c r="M130" i="18"/>
  <c r="K130" i="18"/>
  <c r="G130" i="18"/>
  <c r="I125" i="18"/>
  <c r="E125" i="18"/>
  <c r="F125" i="18"/>
  <c r="G125" i="18"/>
  <c r="K125" i="18"/>
  <c r="I114" i="18"/>
  <c r="M114" i="18"/>
  <c r="W35" i="30" s="1"/>
  <c r="K114" i="18"/>
  <c r="G114" i="18"/>
  <c r="I110" i="18"/>
  <c r="M110" i="18"/>
  <c r="W31" i="30" s="1"/>
  <c r="G110" i="18"/>
  <c r="D110" i="18"/>
  <c r="E144" i="17"/>
  <c r="I144" i="17"/>
  <c r="K144" i="17"/>
  <c r="G144" i="17"/>
  <c r="M144" i="17"/>
  <c r="E138" i="17"/>
  <c r="I138" i="17"/>
  <c r="K138" i="17"/>
  <c r="M138" i="17"/>
  <c r="G138" i="17"/>
  <c r="I117" i="17"/>
  <c r="E117" i="17"/>
  <c r="M117" i="17"/>
  <c r="M36" i="30" s="1"/>
  <c r="I114" i="17"/>
  <c r="K114" i="17"/>
  <c r="G114" i="17"/>
  <c r="H182" i="21"/>
  <c r="I182" i="21"/>
  <c r="J182" i="21"/>
  <c r="K182" i="21"/>
  <c r="L182" i="21"/>
  <c r="O182" i="21"/>
  <c r="P182" i="21"/>
  <c r="M182" i="21"/>
  <c r="N182" i="21"/>
  <c r="S182" i="21"/>
  <c r="R182" i="21"/>
  <c r="Q182" i="21"/>
  <c r="T182" i="21"/>
  <c r="U182" i="21"/>
  <c r="V182" i="21"/>
  <c r="W182" i="21"/>
  <c r="E182" i="21"/>
  <c r="H165" i="21"/>
  <c r="K165" i="21"/>
  <c r="I165" i="21"/>
  <c r="J165" i="21"/>
  <c r="M165" i="21"/>
  <c r="O165" i="21"/>
  <c r="N165" i="21"/>
  <c r="L165" i="21"/>
  <c r="T165" i="21"/>
  <c r="R165" i="21"/>
  <c r="P165" i="21"/>
  <c r="U165" i="21"/>
  <c r="W165" i="21"/>
  <c r="Q165" i="21"/>
  <c r="S165" i="21"/>
  <c r="V165" i="21"/>
  <c r="C165" i="21"/>
  <c r="G165" i="21"/>
  <c r="H179" i="28"/>
  <c r="I179" i="28"/>
  <c r="J179" i="28"/>
  <c r="L179" i="28"/>
  <c r="M179" i="28"/>
  <c r="K179" i="28"/>
  <c r="Q179" i="28"/>
  <c r="S179" i="28"/>
  <c r="N179" i="28"/>
  <c r="R179" i="28"/>
  <c r="P179" i="28"/>
  <c r="O179" i="28"/>
  <c r="U179" i="28"/>
  <c r="T179" i="28"/>
  <c r="W179" i="28"/>
  <c r="V179" i="28"/>
  <c r="G179" i="28"/>
  <c r="H160" i="28"/>
  <c r="I160" i="28"/>
  <c r="K160" i="28"/>
  <c r="J160" i="28"/>
  <c r="L160" i="28"/>
  <c r="N160" i="28"/>
  <c r="P160" i="28"/>
  <c r="M160" i="28"/>
  <c r="R160" i="28"/>
  <c r="T160" i="28"/>
  <c r="O160" i="28"/>
  <c r="S160" i="28"/>
  <c r="Q160" i="28"/>
  <c r="U160" i="28"/>
  <c r="V160" i="28"/>
  <c r="W160" i="28"/>
  <c r="G154" i="6"/>
  <c r="H187" i="19"/>
  <c r="I187" i="19"/>
  <c r="J187" i="19"/>
  <c r="K187" i="19"/>
  <c r="M187" i="19"/>
  <c r="L187" i="19"/>
  <c r="N187" i="19"/>
  <c r="R187" i="19"/>
  <c r="S187" i="19"/>
  <c r="O187" i="19"/>
  <c r="T187" i="19"/>
  <c r="P187" i="19"/>
  <c r="Q187" i="19"/>
  <c r="U187" i="19"/>
  <c r="V187" i="19"/>
  <c r="W187" i="19"/>
  <c r="E187" i="19"/>
  <c r="F187" i="19"/>
  <c r="H181" i="19"/>
  <c r="J181" i="19"/>
  <c r="I181" i="19"/>
  <c r="L181" i="19"/>
  <c r="N181" i="19"/>
  <c r="M181" i="19"/>
  <c r="P181" i="19"/>
  <c r="O181" i="19"/>
  <c r="Q181" i="19"/>
  <c r="S181" i="19"/>
  <c r="U181" i="19"/>
  <c r="K181" i="19"/>
  <c r="T181" i="19"/>
  <c r="R181" i="19"/>
  <c r="V181" i="19"/>
  <c r="W181" i="19"/>
  <c r="E181" i="19"/>
  <c r="G181" i="19"/>
  <c r="H174" i="19"/>
  <c r="J174" i="19"/>
  <c r="I174" i="19"/>
  <c r="K174" i="19"/>
  <c r="M174" i="19"/>
  <c r="Q174" i="19"/>
  <c r="R174" i="19"/>
  <c r="L174" i="19"/>
  <c r="N174" i="19"/>
  <c r="O174" i="19"/>
  <c r="P174" i="19"/>
  <c r="S174" i="19"/>
  <c r="V174" i="19"/>
  <c r="T174" i="19"/>
  <c r="U174" i="19"/>
  <c r="W174" i="19"/>
  <c r="G174" i="19"/>
  <c r="E174" i="19"/>
  <c r="H168" i="19"/>
  <c r="J168" i="19"/>
  <c r="I168" i="19"/>
  <c r="K168" i="19"/>
  <c r="L168" i="19"/>
  <c r="N168" i="19"/>
  <c r="M168" i="19"/>
  <c r="P168" i="19"/>
  <c r="T168" i="19"/>
  <c r="R168" i="19"/>
  <c r="S168" i="19"/>
  <c r="Q168" i="19"/>
  <c r="O168" i="19"/>
  <c r="V168" i="19"/>
  <c r="W168" i="19"/>
  <c r="U168" i="19"/>
  <c r="C168" i="19"/>
  <c r="W181" i="6"/>
  <c r="W188" i="18"/>
  <c r="M112" i="28"/>
  <c r="E120" i="28"/>
  <c r="I114" i="23"/>
  <c r="M114" i="23"/>
  <c r="AF82" i="30" s="1"/>
  <c r="G114" i="23"/>
  <c r="C136" i="28"/>
  <c r="C124" i="21"/>
  <c r="C125" i="19"/>
  <c r="C129" i="20"/>
  <c r="C128" i="28"/>
  <c r="K140" i="21"/>
  <c r="C117" i="20"/>
  <c r="AT34" i="30" s="1"/>
  <c r="K119" i="21"/>
  <c r="K111" i="21"/>
  <c r="G186" i="20"/>
  <c r="F124" i="21"/>
  <c r="G111" i="21"/>
  <c r="F136" i="28"/>
  <c r="F145" i="20"/>
  <c r="F137" i="20"/>
  <c r="F129" i="20"/>
  <c r="F122" i="23"/>
  <c r="E147" i="21"/>
  <c r="E136" i="21"/>
  <c r="G136" i="21"/>
  <c r="M136" i="21"/>
  <c r="E131" i="21"/>
  <c r="E120" i="21"/>
  <c r="G120" i="21"/>
  <c r="M120" i="21"/>
  <c r="E115" i="21"/>
  <c r="E146" i="20"/>
  <c r="I146" i="20"/>
  <c r="F146" i="20"/>
  <c r="K146" i="20"/>
  <c r="M146" i="20"/>
  <c r="E142" i="20"/>
  <c r="I142" i="20"/>
  <c r="F142" i="20"/>
  <c r="M142" i="20"/>
  <c r="E138" i="20"/>
  <c r="I138" i="20"/>
  <c r="F138" i="20"/>
  <c r="K138" i="20"/>
  <c r="M138" i="20"/>
  <c r="E134" i="20"/>
  <c r="I134" i="20"/>
  <c r="F134" i="20"/>
  <c r="M134" i="20"/>
  <c r="E130" i="20"/>
  <c r="I130" i="20"/>
  <c r="F130" i="20"/>
  <c r="K130" i="20"/>
  <c r="M130" i="20"/>
  <c r="E126" i="20"/>
  <c r="I126" i="20"/>
  <c r="F126" i="20"/>
  <c r="M126" i="20"/>
  <c r="E143" i="28"/>
  <c r="I126" i="23"/>
  <c r="K126" i="23"/>
  <c r="G126" i="23"/>
  <c r="M126" i="23"/>
  <c r="AF94" i="30" s="1"/>
  <c r="I118" i="23"/>
  <c r="K118" i="23"/>
  <c r="G118" i="23"/>
  <c r="I110" i="23"/>
  <c r="K110" i="23"/>
  <c r="G110" i="23"/>
  <c r="D110" i="23"/>
  <c r="I137" i="19"/>
  <c r="E137" i="19"/>
  <c r="M137" i="19"/>
  <c r="F137" i="19"/>
  <c r="E132" i="19"/>
  <c r="I132" i="19"/>
  <c r="K132" i="19"/>
  <c r="G132" i="19"/>
  <c r="I121" i="19"/>
  <c r="M121" i="19"/>
  <c r="AD41" i="30" s="1"/>
  <c r="F121" i="19"/>
  <c r="I117" i="19"/>
  <c r="M117" i="19"/>
  <c r="AD37" i="30" s="1"/>
  <c r="I113" i="19"/>
  <c r="F113" i="19"/>
  <c r="I140" i="18"/>
  <c r="E140" i="18"/>
  <c r="M140" i="18"/>
  <c r="K140" i="18"/>
  <c r="G140" i="18"/>
  <c r="E135" i="18"/>
  <c r="I135" i="18"/>
  <c r="F135" i="18"/>
  <c r="I124" i="18"/>
  <c r="E124" i="18"/>
  <c r="M124" i="18"/>
  <c r="K124" i="18"/>
  <c r="G124" i="18"/>
  <c r="E119" i="18"/>
  <c r="V40" i="30" s="1"/>
  <c r="I119" i="18"/>
  <c r="F119" i="18"/>
  <c r="I131" i="17"/>
  <c r="E131" i="17"/>
  <c r="G131" i="17"/>
  <c r="K131" i="17"/>
  <c r="I113" i="17"/>
  <c r="M113" i="17"/>
  <c r="M32" i="30" s="1"/>
  <c r="H187" i="21"/>
  <c r="I187" i="21"/>
  <c r="J187" i="21"/>
  <c r="K187" i="21"/>
  <c r="M187" i="21"/>
  <c r="L187" i="21"/>
  <c r="P187" i="21"/>
  <c r="Q187" i="21"/>
  <c r="N187" i="21"/>
  <c r="R187" i="21"/>
  <c r="O187" i="21"/>
  <c r="U187" i="21"/>
  <c r="T187" i="21"/>
  <c r="W187" i="21"/>
  <c r="S187" i="21"/>
  <c r="V187" i="21"/>
  <c r="H181" i="21"/>
  <c r="J181" i="21"/>
  <c r="K181" i="21"/>
  <c r="I181" i="21"/>
  <c r="L181" i="21"/>
  <c r="M181" i="21"/>
  <c r="O181" i="21"/>
  <c r="N181" i="21"/>
  <c r="P181" i="21"/>
  <c r="T181" i="21"/>
  <c r="Q181" i="21"/>
  <c r="R181" i="21"/>
  <c r="S181" i="21"/>
  <c r="V181" i="21"/>
  <c r="U181" i="21"/>
  <c r="W181" i="21"/>
  <c r="F181" i="21"/>
  <c r="H175" i="21"/>
  <c r="I175" i="21"/>
  <c r="J175" i="21"/>
  <c r="L175" i="21"/>
  <c r="M175" i="21"/>
  <c r="N175" i="21"/>
  <c r="P175" i="21"/>
  <c r="Q175" i="21"/>
  <c r="S175" i="21"/>
  <c r="K175" i="21"/>
  <c r="O175" i="21"/>
  <c r="R175" i="21"/>
  <c r="V175" i="21"/>
  <c r="T175" i="21"/>
  <c r="W175" i="21"/>
  <c r="G175" i="21"/>
  <c r="U175" i="21"/>
  <c r="H159" i="21"/>
  <c r="I159" i="21"/>
  <c r="J159" i="21"/>
  <c r="K159" i="21"/>
  <c r="L159" i="21"/>
  <c r="N159" i="21"/>
  <c r="P159" i="21"/>
  <c r="M159" i="21"/>
  <c r="Q159" i="21"/>
  <c r="S159" i="21"/>
  <c r="O159" i="21"/>
  <c r="R159" i="21"/>
  <c r="V159" i="21"/>
  <c r="T159" i="21"/>
  <c r="W159" i="21"/>
  <c r="F159" i="21"/>
  <c r="U159" i="21"/>
  <c r="H182" i="20"/>
  <c r="J182" i="20"/>
  <c r="L182" i="20"/>
  <c r="I182" i="20"/>
  <c r="M182" i="20"/>
  <c r="K182" i="20"/>
  <c r="Q182" i="20"/>
  <c r="N182" i="20"/>
  <c r="P182" i="20"/>
  <c r="R182" i="20"/>
  <c r="U182" i="20"/>
  <c r="T182" i="20"/>
  <c r="S182" i="20"/>
  <c r="V182" i="20"/>
  <c r="W182" i="20"/>
  <c r="C182" i="20"/>
  <c r="O182" i="20"/>
  <c r="H164" i="28"/>
  <c r="J164" i="28"/>
  <c r="K164" i="28"/>
  <c r="I164" i="28"/>
  <c r="M164" i="28"/>
  <c r="N164" i="28"/>
  <c r="P164" i="28"/>
  <c r="O164" i="28"/>
  <c r="L164" i="28"/>
  <c r="U164" i="28"/>
  <c r="Q164" i="28"/>
  <c r="S164" i="28"/>
  <c r="T164" i="28"/>
  <c r="W164" i="28"/>
  <c r="V164" i="28"/>
  <c r="R164" i="28"/>
  <c r="H159" i="28"/>
  <c r="J159" i="28"/>
  <c r="I159" i="28"/>
  <c r="K159" i="28"/>
  <c r="L159" i="28"/>
  <c r="Q159" i="28"/>
  <c r="N159" i="28"/>
  <c r="M159" i="28"/>
  <c r="P159" i="28"/>
  <c r="S159" i="28"/>
  <c r="R159" i="28"/>
  <c r="U159" i="28"/>
  <c r="T159" i="28"/>
  <c r="V159" i="28"/>
  <c r="O159" i="28"/>
  <c r="C159" i="28"/>
  <c r="W159" i="28"/>
  <c r="G159" i="28"/>
  <c r="H165" i="6"/>
  <c r="J165" i="6"/>
  <c r="I165" i="6"/>
  <c r="K165" i="6"/>
  <c r="L165" i="6"/>
  <c r="Q165" i="6"/>
  <c r="N165" i="6"/>
  <c r="M165" i="6"/>
  <c r="P165" i="6"/>
  <c r="S165" i="6"/>
  <c r="R165" i="6"/>
  <c r="U165" i="6"/>
  <c r="O165" i="6"/>
  <c r="V165" i="6"/>
  <c r="W165" i="6"/>
  <c r="T165" i="6"/>
  <c r="G157" i="23"/>
  <c r="E157" i="23"/>
  <c r="H186" i="19"/>
  <c r="I186" i="19"/>
  <c r="J186" i="19"/>
  <c r="K186" i="19"/>
  <c r="L186" i="19"/>
  <c r="M186" i="19"/>
  <c r="O186" i="19"/>
  <c r="Q186" i="19"/>
  <c r="R186" i="19"/>
  <c r="S186" i="19"/>
  <c r="P186" i="19"/>
  <c r="N186" i="19"/>
  <c r="T186" i="19"/>
  <c r="V186" i="19"/>
  <c r="U186" i="19"/>
  <c r="W186" i="19"/>
  <c r="G186" i="19"/>
  <c r="H180" i="19"/>
  <c r="J180" i="19"/>
  <c r="L180" i="19"/>
  <c r="I180" i="19"/>
  <c r="N180" i="19"/>
  <c r="M180" i="19"/>
  <c r="K180" i="19"/>
  <c r="P180" i="19"/>
  <c r="O180" i="19"/>
  <c r="U180" i="19"/>
  <c r="Q180" i="19"/>
  <c r="S180" i="19"/>
  <c r="V180" i="19"/>
  <c r="T180" i="19"/>
  <c r="R180" i="19"/>
  <c r="W180" i="19"/>
  <c r="C180" i="19"/>
  <c r="H167" i="19"/>
  <c r="I167" i="19"/>
  <c r="K167" i="19"/>
  <c r="L167" i="19"/>
  <c r="J167" i="19"/>
  <c r="N167" i="19"/>
  <c r="P167" i="19"/>
  <c r="O167" i="19"/>
  <c r="Q167" i="19"/>
  <c r="R167" i="19"/>
  <c r="M167" i="19"/>
  <c r="U167" i="19"/>
  <c r="S167" i="19"/>
  <c r="V167" i="19"/>
  <c r="W167" i="19"/>
  <c r="E167" i="19"/>
  <c r="V172" i="20"/>
  <c r="E130" i="17"/>
  <c r="I130" i="17"/>
  <c r="H176" i="21"/>
  <c r="J176" i="21"/>
  <c r="L176" i="21"/>
  <c r="I176" i="21"/>
  <c r="M176" i="21"/>
  <c r="Q176" i="21"/>
  <c r="N176" i="21"/>
  <c r="K176" i="21"/>
  <c r="P176" i="21"/>
  <c r="U176" i="21"/>
  <c r="R176" i="21"/>
  <c r="T176" i="21"/>
  <c r="O176" i="21"/>
  <c r="V176" i="21"/>
  <c r="H157" i="21"/>
  <c r="K157" i="21"/>
  <c r="J157" i="21"/>
  <c r="I157" i="21"/>
  <c r="L157" i="21"/>
  <c r="M157" i="21"/>
  <c r="O157" i="21"/>
  <c r="P157" i="21"/>
  <c r="Q157" i="21"/>
  <c r="N157" i="21"/>
  <c r="R157" i="21"/>
  <c r="T157" i="21"/>
  <c r="S157" i="21"/>
  <c r="U157" i="21"/>
  <c r="W157" i="21"/>
  <c r="H168" i="20"/>
  <c r="I168" i="20"/>
  <c r="M168" i="20"/>
  <c r="L168" i="20"/>
  <c r="K168" i="20"/>
  <c r="J168" i="20"/>
  <c r="O168" i="20"/>
  <c r="P168" i="20"/>
  <c r="R168" i="20"/>
  <c r="N168" i="20"/>
  <c r="S168" i="20"/>
  <c r="T168" i="20"/>
  <c r="Q168" i="20"/>
  <c r="W168" i="20"/>
  <c r="V168" i="20"/>
  <c r="U168" i="20"/>
  <c r="E153" i="20"/>
  <c r="O153" i="20" s="1"/>
  <c r="G153" i="20"/>
  <c r="H188" i="28"/>
  <c r="K188" i="28"/>
  <c r="I188" i="28"/>
  <c r="M188" i="28"/>
  <c r="J188" i="28"/>
  <c r="L188" i="28"/>
  <c r="N188" i="28"/>
  <c r="P188" i="28"/>
  <c r="Q188" i="28"/>
  <c r="R188" i="28"/>
  <c r="U188" i="28"/>
  <c r="O188" i="28"/>
  <c r="W188" i="28"/>
  <c r="S188" i="28"/>
  <c r="T188" i="28"/>
  <c r="H156" i="28"/>
  <c r="K156" i="28"/>
  <c r="J156" i="28"/>
  <c r="I156" i="28"/>
  <c r="M156" i="28"/>
  <c r="L156" i="28"/>
  <c r="N156" i="28"/>
  <c r="P156" i="28"/>
  <c r="Q156" i="28"/>
  <c r="R156" i="28"/>
  <c r="U156" i="28"/>
  <c r="T156" i="28"/>
  <c r="O156" i="28"/>
  <c r="W156" i="28"/>
  <c r="E158" i="6"/>
  <c r="P158" i="6" s="1"/>
  <c r="G158" i="6"/>
  <c r="H184" i="23"/>
  <c r="K184" i="23"/>
  <c r="J184" i="23"/>
  <c r="L184" i="23"/>
  <c r="M184" i="23"/>
  <c r="I184" i="23"/>
  <c r="N184" i="23"/>
  <c r="P184" i="23"/>
  <c r="T184" i="23"/>
  <c r="O184" i="23"/>
  <c r="U184" i="23"/>
  <c r="Q184" i="23"/>
  <c r="R184" i="23"/>
  <c r="S184" i="23"/>
  <c r="V184" i="23"/>
  <c r="J178" i="23"/>
  <c r="H178" i="23"/>
  <c r="I178" i="23"/>
  <c r="K178" i="23"/>
  <c r="L178" i="23"/>
  <c r="N178" i="23"/>
  <c r="O178" i="23"/>
  <c r="Q178" i="23"/>
  <c r="M178" i="23"/>
  <c r="V178" i="23"/>
  <c r="P178" i="23"/>
  <c r="R178" i="23"/>
  <c r="U178" i="23"/>
  <c r="T178" i="23"/>
  <c r="W178" i="23"/>
  <c r="G160" i="23"/>
  <c r="H188" i="19"/>
  <c r="J188" i="19"/>
  <c r="K188" i="19"/>
  <c r="L188" i="19"/>
  <c r="N188" i="19"/>
  <c r="I188" i="19"/>
  <c r="M188" i="19"/>
  <c r="P188" i="19"/>
  <c r="Q188" i="19"/>
  <c r="R188" i="19"/>
  <c r="S188" i="19"/>
  <c r="O188" i="19"/>
  <c r="U188" i="19"/>
  <c r="T188" i="19"/>
  <c r="W188" i="19"/>
  <c r="H175" i="19"/>
  <c r="I175" i="19"/>
  <c r="K175" i="19"/>
  <c r="M175" i="19"/>
  <c r="R175" i="19"/>
  <c r="L175" i="19"/>
  <c r="N175" i="19"/>
  <c r="J175" i="19"/>
  <c r="P175" i="19"/>
  <c r="S175" i="19"/>
  <c r="Q175" i="19"/>
  <c r="U175" i="19"/>
  <c r="V175" i="19"/>
  <c r="T175" i="19"/>
  <c r="O175" i="19"/>
  <c r="W175" i="19"/>
  <c r="H169" i="19"/>
  <c r="J169" i="19"/>
  <c r="L169" i="19"/>
  <c r="K169" i="19"/>
  <c r="I169" i="19"/>
  <c r="M169" i="19"/>
  <c r="Q169" i="19"/>
  <c r="P169" i="19"/>
  <c r="O169" i="19"/>
  <c r="N169" i="19"/>
  <c r="R169" i="19"/>
  <c r="V169" i="19"/>
  <c r="S169" i="19"/>
  <c r="T169" i="19"/>
  <c r="U169" i="19"/>
  <c r="E158" i="19"/>
  <c r="E154" i="19"/>
  <c r="P154" i="19" s="1"/>
  <c r="G154" i="19"/>
  <c r="H189" i="18"/>
  <c r="I189" i="18"/>
  <c r="J189" i="18"/>
  <c r="K189" i="18"/>
  <c r="L189" i="18"/>
  <c r="M189" i="18"/>
  <c r="N189" i="18"/>
  <c r="Q189" i="18"/>
  <c r="P189" i="18"/>
  <c r="O189" i="18"/>
  <c r="T189" i="18"/>
  <c r="R189" i="18"/>
  <c r="U189" i="18"/>
  <c r="V189" i="18"/>
  <c r="W189" i="18"/>
  <c r="H182" i="18"/>
  <c r="J182" i="18"/>
  <c r="I182" i="18"/>
  <c r="K182" i="18"/>
  <c r="M182" i="18"/>
  <c r="L182" i="18"/>
  <c r="P182" i="18"/>
  <c r="Q182" i="18"/>
  <c r="R182" i="18"/>
  <c r="N182" i="18"/>
  <c r="O182" i="18"/>
  <c r="S182" i="18"/>
  <c r="T182" i="18"/>
  <c r="U182" i="18"/>
  <c r="W182" i="18"/>
  <c r="V182" i="18"/>
  <c r="I176" i="18"/>
  <c r="H176" i="18"/>
  <c r="J176" i="18"/>
  <c r="L176" i="18"/>
  <c r="K176" i="18"/>
  <c r="N176" i="18"/>
  <c r="M176" i="18"/>
  <c r="O176" i="18"/>
  <c r="S176" i="18"/>
  <c r="P176" i="18"/>
  <c r="Q176" i="18"/>
  <c r="R176" i="18"/>
  <c r="W176" i="18"/>
  <c r="V176" i="18"/>
  <c r="T176" i="18"/>
  <c r="U176" i="18"/>
  <c r="H163" i="18"/>
  <c r="J163" i="18"/>
  <c r="I163" i="18"/>
  <c r="K163" i="18"/>
  <c r="L163" i="18"/>
  <c r="N163" i="18"/>
  <c r="P163" i="18"/>
  <c r="O163" i="18"/>
  <c r="M163" i="18"/>
  <c r="R163" i="18"/>
  <c r="S163" i="18"/>
  <c r="U163" i="18"/>
  <c r="W163" i="18"/>
  <c r="V163" i="18"/>
  <c r="Q163" i="18"/>
  <c r="T163" i="18"/>
  <c r="H189" i="17"/>
  <c r="I189" i="17"/>
  <c r="J189" i="17"/>
  <c r="L189" i="17"/>
  <c r="K189" i="17"/>
  <c r="M189" i="17"/>
  <c r="N189" i="17"/>
  <c r="P189" i="17"/>
  <c r="R189" i="17"/>
  <c r="O189" i="17"/>
  <c r="T189" i="17"/>
  <c r="S189" i="17"/>
  <c r="Q189" i="17"/>
  <c r="V189" i="17"/>
  <c r="U189" i="17"/>
  <c r="H183" i="17"/>
  <c r="J183" i="17"/>
  <c r="K183" i="17"/>
  <c r="I183" i="17"/>
  <c r="M183" i="17"/>
  <c r="N183" i="17"/>
  <c r="L183" i="17"/>
  <c r="Q183" i="17"/>
  <c r="S183" i="17"/>
  <c r="O183" i="17"/>
  <c r="R183" i="17"/>
  <c r="T183" i="17"/>
  <c r="P183" i="17"/>
  <c r="W183" i="17"/>
  <c r="U183" i="17"/>
  <c r="V183" i="17"/>
  <c r="H172" i="17"/>
  <c r="I172" i="17"/>
  <c r="J172" i="17"/>
  <c r="K172" i="17"/>
  <c r="L172" i="17"/>
  <c r="M172" i="17"/>
  <c r="N172" i="17"/>
  <c r="P172" i="17"/>
  <c r="R172" i="17"/>
  <c r="Q172" i="17"/>
  <c r="T172" i="17"/>
  <c r="O172" i="17"/>
  <c r="S172" i="17"/>
  <c r="W172" i="17"/>
  <c r="V172" i="17"/>
  <c r="U172" i="17"/>
  <c r="E153" i="17"/>
  <c r="G153" i="17"/>
  <c r="S156" i="28"/>
  <c r="M121" i="20"/>
  <c r="AW38" i="30" s="1"/>
  <c r="I115" i="20"/>
  <c r="I111" i="20"/>
  <c r="E147" i="23"/>
  <c r="I147" i="23"/>
  <c r="I145" i="23"/>
  <c r="E145" i="23"/>
  <c r="E143" i="23"/>
  <c r="I143" i="23"/>
  <c r="I141" i="23"/>
  <c r="E141" i="23"/>
  <c r="I139" i="23"/>
  <c r="E139" i="23"/>
  <c r="I137" i="23"/>
  <c r="E137" i="23"/>
  <c r="E135" i="23"/>
  <c r="I135" i="23"/>
  <c r="M111" i="18"/>
  <c r="W32" i="30" s="1"/>
  <c r="M133" i="17"/>
  <c r="E129" i="17"/>
  <c r="I129" i="17"/>
  <c r="M124" i="17"/>
  <c r="E120" i="17"/>
  <c r="I120" i="17"/>
  <c r="I116" i="17"/>
  <c r="M116" i="17"/>
  <c r="M35" i="30" s="1"/>
  <c r="H185" i="21"/>
  <c r="I185" i="21"/>
  <c r="J185" i="21"/>
  <c r="M185" i="21"/>
  <c r="K185" i="21"/>
  <c r="L185" i="21"/>
  <c r="O185" i="21"/>
  <c r="N185" i="21"/>
  <c r="S185" i="21"/>
  <c r="P185" i="21"/>
  <c r="R185" i="21"/>
  <c r="Q185" i="21"/>
  <c r="T185" i="21"/>
  <c r="U185" i="21"/>
  <c r="V185" i="21"/>
  <c r="W185" i="21"/>
  <c r="H179" i="21"/>
  <c r="J179" i="21"/>
  <c r="I179" i="21"/>
  <c r="K179" i="21"/>
  <c r="L179" i="21"/>
  <c r="M179" i="21"/>
  <c r="P179" i="21"/>
  <c r="Q179" i="21"/>
  <c r="N179" i="21"/>
  <c r="R179" i="21"/>
  <c r="S179" i="21"/>
  <c r="U179" i="21"/>
  <c r="O179" i="21"/>
  <c r="T179" i="21"/>
  <c r="W179" i="21"/>
  <c r="V179" i="21"/>
  <c r="H174" i="21"/>
  <c r="I174" i="21"/>
  <c r="K174" i="21"/>
  <c r="O174" i="21"/>
  <c r="P174" i="21"/>
  <c r="M174" i="21"/>
  <c r="S174" i="21"/>
  <c r="J174" i="21"/>
  <c r="L174" i="21"/>
  <c r="R174" i="21"/>
  <c r="Q174" i="21"/>
  <c r="T174" i="21"/>
  <c r="N174" i="21"/>
  <c r="V174" i="21"/>
  <c r="W174" i="21"/>
  <c r="H169" i="21"/>
  <c r="I169" i="21"/>
  <c r="K169" i="21"/>
  <c r="J169" i="21"/>
  <c r="L169" i="21"/>
  <c r="M169" i="21"/>
  <c r="O169" i="21"/>
  <c r="N169" i="21"/>
  <c r="S169" i="21"/>
  <c r="P169" i="21"/>
  <c r="R169" i="21"/>
  <c r="Q169" i="21"/>
  <c r="T169" i="21"/>
  <c r="U169" i="21"/>
  <c r="V169" i="21"/>
  <c r="W169" i="21"/>
  <c r="H155" i="21"/>
  <c r="I155" i="21"/>
  <c r="J155" i="21"/>
  <c r="M155" i="21"/>
  <c r="P155" i="21"/>
  <c r="L155" i="21"/>
  <c r="Q155" i="21"/>
  <c r="K155" i="21"/>
  <c r="N155" i="21"/>
  <c r="R155" i="21"/>
  <c r="O155" i="21"/>
  <c r="U155" i="21"/>
  <c r="S155" i="21"/>
  <c r="W155" i="21"/>
  <c r="H180" i="20"/>
  <c r="I180" i="20"/>
  <c r="K180" i="20"/>
  <c r="J180" i="20"/>
  <c r="L180" i="20"/>
  <c r="O180" i="20"/>
  <c r="M180" i="20"/>
  <c r="P180" i="20"/>
  <c r="S180" i="20"/>
  <c r="Q180" i="20"/>
  <c r="R180" i="20"/>
  <c r="T180" i="20"/>
  <c r="N180" i="20"/>
  <c r="U180" i="20"/>
  <c r="V180" i="20"/>
  <c r="H171" i="20"/>
  <c r="K171" i="20"/>
  <c r="I171" i="20"/>
  <c r="J171" i="20"/>
  <c r="M171" i="20"/>
  <c r="L171" i="20"/>
  <c r="O171" i="20"/>
  <c r="N171" i="20"/>
  <c r="R171" i="20"/>
  <c r="T171" i="20"/>
  <c r="P171" i="20"/>
  <c r="Q171" i="20"/>
  <c r="V171" i="20"/>
  <c r="W171" i="20"/>
  <c r="G161" i="20"/>
  <c r="G155" i="20"/>
  <c r="H168" i="28"/>
  <c r="I168" i="28"/>
  <c r="K168" i="28"/>
  <c r="J168" i="28"/>
  <c r="L168" i="28"/>
  <c r="N168" i="28"/>
  <c r="P168" i="28"/>
  <c r="M168" i="28"/>
  <c r="R168" i="28"/>
  <c r="Q168" i="28"/>
  <c r="T168" i="28"/>
  <c r="S168" i="28"/>
  <c r="O168" i="28"/>
  <c r="U168" i="28"/>
  <c r="V168" i="28"/>
  <c r="W168" i="28"/>
  <c r="H163" i="28"/>
  <c r="I163" i="28"/>
  <c r="J163" i="28"/>
  <c r="K163" i="28"/>
  <c r="M163" i="28"/>
  <c r="L163" i="28"/>
  <c r="Q163" i="28"/>
  <c r="S163" i="28"/>
  <c r="N163" i="28"/>
  <c r="R163" i="28"/>
  <c r="P163" i="28"/>
  <c r="T163" i="28"/>
  <c r="O163" i="28"/>
  <c r="U163" i="28"/>
  <c r="W163" i="28"/>
  <c r="V163" i="28"/>
  <c r="G160" i="6"/>
  <c r="H188" i="23"/>
  <c r="J188" i="23"/>
  <c r="I188" i="23"/>
  <c r="K188" i="23"/>
  <c r="N188" i="23"/>
  <c r="L188" i="23"/>
  <c r="M188" i="23"/>
  <c r="P188" i="23"/>
  <c r="O188" i="23"/>
  <c r="Q188" i="23"/>
  <c r="S188" i="23"/>
  <c r="R188" i="23"/>
  <c r="T188" i="23"/>
  <c r="V188" i="23"/>
  <c r="W188" i="23"/>
  <c r="U188" i="23"/>
  <c r="H182" i="23"/>
  <c r="I182" i="23"/>
  <c r="J182" i="23"/>
  <c r="K182" i="23"/>
  <c r="L182" i="23"/>
  <c r="M182" i="23"/>
  <c r="O182" i="23"/>
  <c r="Q182" i="23"/>
  <c r="N182" i="23"/>
  <c r="S182" i="23"/>
  <c r="P182" i="23"/>
  <c r="T182" i="23"/>
  <c r="V182" i="23"/>
  <c r="R182" i="23"/>
  <c r="W182" i="23"/>
  <c r="G168" i="23"/>
  <c r="G165" i="23"/>
  <c r="E165" i="23"/>
  <c r="O165" i="23" s="1"/>
  <c r="H179" i="19"/>
  <c r="I179" i="19"/>
  <c r="J179" i="19"/>
  <c r="K179" i="19"/>
  <c r="L179" i="19"/>
  <c r="M179" i="19"/>
  <c r="Q179" i="19"/>
  <c r="S179" i="19"/>
  <c r="N179" i="19"/>
  <c r="R179" i="19"/>
  <c r="T179" i="19"/>
  <c r="P179" i="19"/>
  <c r="O179" i="19"/>
  <c r="V179" i="19"/>
  <c r="U179" i="19"/>
  <c r="W179" i="19"/>
  <c r="J173" i="19"/>
  <c r="I173" i="19"/>
  <c r="H173" i="19"/>
  <c r="K173" i="19"/>
  <c r="L173" i="19"/>
  <c r="N173" i="19"/>
  <c r="M173" i="19"/>
  <c r="P173" i="19"/>
  <c r="O173" i="19"/>
  <c r="Q173" i="19"/>
  <c r="S173" i="19"/>
  <c r="T173" i="19"/>
  <c r="U173" i="19"/>
  <c r="R173" i="19"/>
  <c r="W173" i="19"/>
  <c r="H166" i="19"/>
  <c r="J166" i="19"/>
  <c r="K166" i="19"/>
  <c r="I166" i="19"/>
  <c r="L166" i="19"/>
  <c r="M166" i="19"/>
  <c r="Q166" i="19"/>
  <c r="R166" i="19"/>
  <c r="O166" i="19"/>
  <c r="N166" i="19"/>
  <c r="V166" i="19"/>
  <c r="T166" i="19"/>
  <c r="U166" i="19"/>
  <c r="S166" i="19"/>
  <c r="P166" i="19"/>
  <c r="W166" i="19"/>
  <c r="E162" i="19"/>
  <c r="V162" i="19" s="1"/>
  <c r="G162" i="19"/>
  <c r="E156" i="19"/>
  <c r="O156" i="19" s="1"/>
  <c r="G156" i="19"/>
  <c r="H186" i="18"/>
  <c r="K186" i="18"/>
  <c r="J186" i="18"/>
  <c r="L186" i="18"/>
  <c r="N186" i="18"/>
  <c r="M186" i="18"/>
  <c r="Q186" i="18"/>
  <c r="R186" i="18"/>
  <c r="P186" i="18"/>
  <c r="O186" i="18"/>
  <c r="T186" i="18"/>
  <c r="U186" i="18"/>
  <c r="S186" i="18"/>
  <c r="V186" i="18"/>
  <c r="I186" i="18"/>
  <c r="W186" i="18"/>
  <c r="H180" i="18"/>
  <c r="J180" i="18"/>
  <c r="I180" i="18"/>
  <c r="K180" i="18"/>
  <c r="N180" i="18"/>
  <c r="L180" i="18"/>
  <c r="O180" i="18"/>
  <c r="M180" i="18"/>
  <c r="Q180" i="18"/>
  <c r="T180" i="18"/>
  <c r="P180" i="18"/>
  <c r="S180" i="18"/>
  <c r="V180" i="18"/>
  <c r="R180" i="18"/>
  <c r="H167" i="18"/>
  <c r="K167" i="18"/>
  <c r="J167" i="18"/>
  <c r="I167" i="18"/>
  <c r="L167" i="18"/>
  <c r="M167" i="18"/>
  <c r="N167" i="18"/>
  <c r="P167" i="18"/>
  <c r="O167" i="18"/>
  <c r="Q167" i="18"/>
  <c r="T167" i="18"/>
  <c r="S167" i="18"/>
  <c r="V167" i="18"/>
  <c r="U167" i="18"/>
  <c r="W167" i="18"/>
  <c r="I161" i="18"/>
  <c r="H161" i="18"/>
  <c r="J161" i="18"/>
  <c r="K161" i="18"/>
  <c r="N161" i="18"/>
  <c r="M161" i="18"/>
  <c r="L161" i="18"/>
  <c r="Q161" i="18"/>
  <c r="R161" i="18"/>
  <c r="S161" i="18"/>
  <c r="O161" i="18"/>
  <c r="P161" i="18"/>
  <c r="U161" i="18"/>
  <c r="V161" i="18"/>
  <c r="H187" i="17"/>
  <c r="I187" i="17"/>
  <c r="K187" i="17"/>
  <c r="J187" i="17"/>
  <c r="Q187" i="17"/>
  <c r="N187" i="17"/>
  <c r="M187" i="17"/>
  <c r="R187" i="17"/>
  <c r="P187" i="17"/>
  <c r="L187" i="17"/>
  <c r="S187" i="17"/>
  <c r="U187" i="17"/>
  <c r="O187" i="17"/>
  <c r="T187" i="17"/>
  <c r="V187" i="17"/>
  <c r="W187" i="17"/>
  <c r="H181" i="17"/>
  <c r="I181" i="17"/>
  <c r="J181" i="17"/>
  <c r="L181" i="17"/>
  <c r="K181" i="17"/>
  <c r="M181" i="17"/>
  <c r="N181" i="17"/>
  <c r="P181" i="17"/>
  <c r="R181" i="17"/>
  <c r="O181" i="17"/>
  <c r="Q181" i="17"/>
  <c r="V181" i="17"/>
  <c r="U181" i="17"/>
  <c r="S181" i="17"/>
  <c r="T181" i="17"/>
  <c r="W181" i="17"/>
  <c r="H161" i="17"/>
  <c r="J161" i="17"/>
  <c r="I161" i="17"/>
  <c r="K161" i="17"/>
  <c r="L161" i="17"/>
  <c r="M161" i="17"/>
  <c r="N161" i="17"/>
  <c r="P161" i="17"/>
  <c r="R161" i="17"/>
  <c r="O161" i="17"/>
  <c r="T161" i="17"/>
  <c r="S161" i="17"/>
  <c r="U161" i="17"/>
  <c r="W161" i="17"/>
  <c r="Q161" i="17"/>
  <c r="V161" i="17"/>
  <c r="W180" i="20"/>
  <c r="W179" i="17"/>
  <c r="S178" i="23"/>
  <c r="K118" i="19"/>
  <c r="E122" i="17"/>
  <c r="I122" i="17"/>
  <c r="M110" i="17"/>
  <c r="M29" i="30" s="1"/>
  <c r="H184" i="21"/>
  <c r="J184" i="21"/>
  <c r="I184" i="21"/>
  <c r="K184" i="21"/>
  <c r="L184" i="21"/>
  <c r="M184" i="21"/>
  <c r="Q184" i="21"/>
  <c r="N184" i="21"/>
  <c r="O184" i="21"/>
  <c r="U184" i="21"/>
  <c r="P184" i="21"/>
  <c r="S184" i="21"/>
  <c r="T184" i="21"/>
  <c r="V184" i="21"/>
  <c r="R184" i="21"/>
  <c r="I184" i="20"/>
  <c r="H184" i="20"/>
  <c r="J184" i="20"/>
  <c r="K184" i="20"/>
  <c r="M184" i="20"/>
  <c r="L184" i="20"/>
  <c r="O184" i="20"/>
  <c r="P184" i="20"/>
  <c r="R184" i="20"/>
  <c r="N184" i="20"/>
  <c r="Q184" i="20"/>
  <c r="S184" i="20"/>
  <c r="W184" i="20"/>
  <c r="T184" i="20"/>
  <c r="H175" i="20"/>
  <c r="I175" i="20"/>
  <c r="K175" i="20"/>
  <c r="J175" i="20"/>
  <c r="L175" i="20"/>
  <c r="M175" i="20"/>
  <c r="O175" i="20"/>
  <c r="N175" i="20"/>
  <c r="S175" i="20"/>
  <c r="P175" i="20"/>
  <c r="T175" i="20"/>
  <c r="U175" i="20"/>
  <c r="W175" i="20"/>
  <c r="Q175" i="20"/>
  <c r="R175" i="20"/>
  <c r="V175" i="20"/>
  <c r="E164" i="20"/>
  <c r="G164" i="20"/>
  <c r="E158" i="20"/>
  <c r="K158" i="20" s="1"/>
  <c r="H172" i="28"/>
  <c r="K172" i="28"/>
  <c r="J172" i="28"/>
  <c r="M172" i="28"/>
  <c r="I172" i="28"/>
  <c r="L172" i="28"/>
  <c r="N172" i="28"/>
  <c r="P172" i="28"/>
  <c r="Q172" i="28"/>
  <c r="O172" i="28"/>
  <c r="R172" i="28"/>
  <c r="T172" i="28"/>
  <c r="U172" i="28"/>
  <c r="S172" i="28"/>
  <c r="V172" i="28"/>
  <c r="W172" i="28"/>
  <c r="H187" i="23"/>
  <c r="K187" i="23"/>
  <c r="I187" i="23"/>
  <c r="J187" i="23"/>
  <c r="N187" i="23"/>
  <c r="M187" i="23"/>
  <c r="R187" i="23"/>
  <c r="T187" i="23"/>
  <c r="O187" i="23"/>
  <c r="S187" i="23"/>
  <c r="L187" i="23"/>
  <c r="U187" i="23"/>
  <c r="P187" i="23"/>
  <c r="V187" i="23"/>
  <c r="W187" i="23"/>
  <c r="H181" i="23"/>
  <c r="J181" i="23"/>
  <c r="L181" i="23"/>
  <c r="M181" i="23"/>
  <c r="N181" i="23"/>
  <c r="K181" i="23"/>
  <c r="I181" i="23"/>
  <c r="P181" i="23"/>
  <c r="R181" i="23"/>
  <c r="O181" i="23"/>
  <c r="Q181" i="23"/>
  <c r="V181" i="23"/>
  <c r="T181" i="23"/>
  <c r="U181" i="23"/>
  <c r="W181" i="23"/>
  <c r="H185" i="19"/>
  <c r="J185" i="19"/>
  <c r="L185" i="19"/>
  <c r="K185" i="19"/>
  <c r="I185" i="19"/>
  <c r="M185" i="19"/>
  <c r="Q185" i="19"/>
  <c r="P185" i="19"/>
  <c r="O185" i="19"/>
  <c r="R185" i="19"/>
  <c r="T185" i="19"/>
  <c r="N185" i="19"/>
  <c r="V185" i="19"/>
  <c r="S185" i="19"/>
  <c r="U185" i="19"/>
  <c r="H178" i="19"/>
  <c r="I178" i="19"/>
  <c r="J178" i="19"/>
  <c r="K178" i="19"/>
  <c r="L178" i="19"/>
  <c r="M178" i="19"/>
  <c r="N178" i="19"/>
  <c r="O178" i="19"/>
  <c r="Q178" i="19"/>
  <c r="R178" i="19"/>
  <c r="S178" i="19"/>
  <c r="P178" i="19"/>
  <c r="T178" i="19"/>
  <c r="U178" i="19"/>
  <c r="V178" i="19"/>
  <c r="H172" i="19"/>
  <c r="K172" i="19"/>
  <c r="I172" i="19"/>
  <c r="L172" i="19"/>
  <c r="N172" i="19"/>
  <c r="M172" i="19"/>
  <c r="J172" i="19"/>
  <c r="P172" i="19"/>
  <c r="Q172" i="19"/>
  <c r="R172" i="19"/>
  <c r="S172" i="19"/>
  <c r="U172" i="19"/>
  <c r="O172" i="19"/>
  <c r="W172" i="19"/>
  <c r="V172" i="19"/>
  <c r="T172" i="19"/>
  <c r="H179" i="18"/>
  <c r="J179" i="18"/>
  <c r="I179" i="18"/>
  <c r="K179" i="18"/>
  <c r="L179" i="18"/>
  <c r="N179" i="18"/>
  <c r="P179" i="18"/>
  <c r="O179" i="18"/>
  <c r="M179" i="18"/>
  <c r="S179" i="18"/>
  <c r="R179" i="18"/>
  <c r="U179" i="18"/>
  <c r="Q179" i="18"/>
  <c r="T179" i="18"/>
  <c r="V179" i="18"/>
  <c r="H173" i="18"/>
  <c r="I173" i="18"/>
  <c r="K173" i="18"/>
  <c r="J173" i="18"/>
  <c r="L173" i="18"/>
  <c r="M173" i="18"/>
  <c r="Q173" i="18"/>
  <c r="N173" i="18"/>
  <c r="P173" i="18"/>
  <c r="O173" i="18"/>
  <c r="T173" i="18"/>
  <c r="R173" i="18"/>
  <c r="U173" i="18"/>
  <c r="S173" i="18"/>
  <c r="W173" i="18"/>
  <c r="V173" i="18"/>
  <c r="H166" i="18"/>
  <c r="J166" i="18"/>
  <c r="I166" i="18"/>
  <c r="K166" i="18"/>
  <c r="M166" i="18"/>
  <c r="L166" i="18"/>
  <c r="N166" i="18"/>
  <c r="P166" i="18"/>
  <c r="Q166" i="18"/>
  <c r="R166" i="18"/>
  <c r="O166" i="18"/>
  <c r="S166" i="18"/>
  <c r="U166" i="18"/>
  <c r="T166" i="18"/>
  <c r="W166" i="18"/>
  <c r="V166" i="18"/>
  <c r="I160" i="18"/>
  <c r="H160" i="18"/>
  <c r="J160" i="18"/>
  <c r="L160" i="18"/>
  <c r="K160" i="18"/>
  <c r="N160" i="18"/>
  <c r="M160" i="18"/>
  <c r="O160" i="18"/>
  <c r="S160" i="18"/>
  <c r="P160" i="18"/>
  <c r="Q160" i="18"/>
  <c r="W160" i="18"/>
  <c r="T160" i="18"/>
  <c r="V160" i="18"/>
  <c r="U160" i="18"/>
  <c r="E154" i="18"/>
  <c r="L154" i="18" s="1"/>
  <c r="H186" i="17"/>
  <c r="J186" i="17"/>
  <c r="I186" i="17"/>
  <c r="K186" i="17"/>
  <c r="M186" i="17"/>
  <c r="Q186" i="17"/>
  <c r="L186" i="17"/>
  <c r="O186" i="17"/>
  <c r="T186" i="17"/>
  <c r="P186" i="17"/>
  <c r="N186" i="17"/>
  <c r="S186" i="17"/>
  <c r="V186" i="17"/>
  <c r="R186" i="17"/>
  <c r="W186" i="17"/>
  <c r="U186" i="17"/>
  <c r="H180" i="17"/>
  <c r="I180" i="17"/>
  <c r="J180" i="17"/>
  <c r="K180" i="17"/>
  <c r="L180" i="17"/>
  <c r="M180" i="17"/>
  <c r="N180" i="17"/>
  <c r="P180" i="17"/>
  <c r="R180" i="17"/>
  <c r="O180" i="17"/>
  <c r="T180" i="17"/>
  <c r="S180" i="17"/>
  <c r="Q180" i="17"/>
  <c r="U180" i="17"/>
  <c r="I175" i="17"/>
  <c r="H175" i="17"/>
  <c r="J175" i="17"/>
  <c r="K175" i="17"/>
  <c r="L175" i="17"/>
  <c r="M175" i="17"/>
  <c r="N175" i="17"/>
  <c r="Q175" i="17"/>
  <c r="O175" i="17"/>
  <c r="S175" i="17"/>
  <c r="P175" i="17"/>
  <c r="T175" i="17"/>
  <c r="R175" i="17"/>
  <c r="U175" i="17"/>
  <c r="W175" i="17"/>
  <c r="V175" i="17"/>
  <c r="H165" i="17"/>
  <c r="I165" i="17"/>
  <c r="J165" i="17"/>
  <c r="L165" i="17"/>
  <c r="K165" i="17"/>
  <c r="M165" i="17"/>
  <c r="N165" i="17"/>
  <c r="P165" i="17"/>
  <c r="R165" i="17"/>
  <c r="O165" i="17"/>
  <c r="Q165" i="17"/>
  <c r="V165" i="17"/>
  <c r="S165" i="17"/>
  <c r="T165" i="17"/>
  <c r="U165" i="17"/>
  <c r="W165" i="17"/>
  <c r="W180" i="18"/>
  <c r="V157" i="21"/>
  <c r="V188" i="28"/>
  <c r="S189" i="18"/>
  <c r="Q187" i="23"/>
  <c r="I133" i="17"/>
  <c r="E133" i="17"/>
  <c r="I124" i="17"/>
  <c r="E124" i="17"/>
  <c r="M115" i="17"/>
  <c r="M34" i="30" s="1"/>
  <c r="I112" i="17"/>
  <c r="H189" i="21"/>
  <c r="K189" i="21"/>
  <c r="J189" i="21"/>
  <c r="L189" i="21"/>
  <c r="I189" i="21"/>
  <c r="M189" i="21"/>
  <c r="O189" i="21"/>
  <c r="P189" i="21"/>
  <c r="Q189" i="21"/>
  <c r="N189" i="21"/>
  <c r="R189" i="21"/>
  <c r="T189" i="21"/>
  <c r="S189" i="21"/>
  <c r="W189" i="21"/>
  <c r="H183" i="21"/>
  <c r="I183" i="21"/>
  <c r="J183" i="21"/>
  <c r="L183" i="21"/>
  <c r="K183" i="21"/>
  <c r="N183" i="21"/>
  <c r="P183" i="21"/>
  <c r="Q183" i="21"/>
  <c r="M183" i="21"/>
  <c r="S183" i="21"/>
  <c r="V183" i="21"/>
  <c r="O183" i="21"/>
  <c r="U183" i="21"/>
  <c r="T183" i="21"/>
  <c r="H178" i="21"/>
  <c r="I178" i="21"/>
  <c r="K178" i="21"/>
  <c r="J178" i="21"/>
  <c r="M178" i="21"/>
  <c r="L178" i="21"/>
  <c r="O178" i="21"/>
  <c r="P178" i="21"/>
  <c r="N178" i="21"/>
  <c r="Q178" i="21"/>
  <c r="S178" i="21"/>
  <c r="R178" i="21"/>
  <c r="W178" i="21"/>
  <c r="U178" i="21"/>
  <c r="H173" i="21"/>
  <c r="I173" i="21"/>
  <c r="K173" i="21"/>
  <c r="J173" i="21"/>
  <c r="L173" i="21"/>
  <c r="M173" i="21"/>
  <c r="O173" i="21"/>
  <c r="P173" i="21"/>
  <c r="Q173" i="21"/>
  <c r="N173" i="21"/>
  <c r="R173" i="21"/>
  <c r="T173" i="21"/>
  <c r="S173" i="21"/>
  <c r="V173" i="21"/>
  <c r="W173" i="21"/>
  <c r="U173" i="21"/>
  <c r="H163" i="21"/>
  <c r="J163" i="21"/>
  <c r="I163" i="21"/>
  <c r="K163" i="21"/>
  <c r="M163" i="21"/>
  <c r="L163" i="21"/>
  <c r="P163" i="21"/>
  <c r="Q163" i="21"/>
  <c r="N163" i="21"/>
  <c r="R163" i="21"/>
  <c r="O163" i="21"/>
  <c r="S163" i="21"/>
  <c r="U163" i="21"/>
  <c r="T163" i="21"/>
  <c r="W163" i="21"/>
  <c r="V163" i="21"/>
  <c r="I154" i="21"/>
  <c r="J154" i="21"/>
  <c r="H154" i="21"/>
  <c r="K154" i="21"/>
  <c r="M154" i="21"/>
  <c r="O154" i="21"/>
  <c r="P154" i="21"/>
  <c r="L154" i="21"/>
  <c r="Q154" i="21"/>
  <c r="N154" i="21"/>
  <c r="R154" i="21"/>
  <c r="T154" i="21"/>
  <c r="W154" i="21"/>
  <c r="S154" i="21"/>
  <c r="U154" i="21"/>
  <c r="V154" i="21"/>
  <c r="H188" i="20"/>
  <c r="I188" i="20"/>
  <c r="J188" i="20"/>
  <c r="K188" i="20"/>
  <c r="L188" i="20"/>
  <c r="O188" i="20"/>
  <c r="P188" i="20"/>
  <c r="N188" i="20"/>
  <c r="S188" i="20"/>
  <c r="Q188" i="20"/>
  <c r="T188" i="20"/>
  <c r="M188" i="20"/>
  <c r="U188" i="20"/>
  <c r="V188" i="20"/>
  <c r="R188" i="20"/>
  <c r="H179" i="20"/>
  <c r="K179" i="20"/>
  <c r="I179" i="20"/>
  <c r="J179" i="20"/>
  <c r="L179" i="20"/>
  <c r="O179" i="20"/>
  <c r="P179" i="20"/>
  <c r="Q179" i="20"/>
  <c r="N179" i="20"/>
  <c r="R179" i="20"/>
  <c r="T179" i="20"/>
  <c r="M179" i="20"/>
  <c r="S179" i="20"/>
  <c r="U179" i="20"/>
  <c r="V179" i="20"/>
  <c r="W179" i="20"/>
  <c r="H174" i="20"/>
  <c r="J174" i="20"/>
  <c r="I174" i="20"/>
  <c r="L174" i="20"/>
  <c r="M174" i="20"/>
  <c r="K174" i="20"/>
  <c r="Q174" i="20"/>
  <c r="N174" i="20"/>
  <c r="O174" i="20"/>
  <c r="R174" i="20"/>
  <c r="U174" i="20"/>
  <c r="S174" i="20"/>
  <c r="T174" i="20"/>
  <c r="P174" i="20"/>
  <c r="W174" i="20"/>
  <c r="E166" i="20"/>
  <c r="I166" i="20" s="1"/>
  <c r="E155" i="20"/>
  <c r="I176" i="28"/>
  <c r="K176" i="28"/>
  <c r="H176" i="28"/>
  <c r="J176" i="28"/>
  <c r="L176" i="28"/>
  <c r="M176" i="28"/>
  <c r="N176" i="28"/>
  <c r="P176" i="28"/>
  <c r="R176" i="28"/>
  <c r="T176" i="28"/>
  <c r="O176" i="28"/>
  <c r="S176" i="28"/>
  <c r="Q176" i="28"/>
  <c r="U176" i="28"/>
  <c r="W176" i="28"/>
  <c r="H171" i="28"/>
  <c r="I171" i="28"/>
  <c r="J171" i="28"/>
  <c r="K171" i="28"/>
  <c r="M171" i="28"/>
  <c r="L171" i="28"/>
  <c r="Q171" i="28"/>
  <c r="S171" i="28"/>
  <c r="O171" i="28"/>
  <c r="R171" i="28"/>
  <c r="N171" i="28"/>
  <c r="P171" i="28"/>
  <c r="T171" i="28"/>
  <c r="V171" i="28"/>
  <c r="W171" i="28"/>
  <c r="E160" i="6"/>
  <c r="P160" i="6" s="1"/>
  <c r="E156" i="6"/>
  <c r="G156" i="6"/>
  <c r="H180" i="23"/>
  <c r="J180" i="23"/>
  <c r="I180" i="23"/>
  <c r="N180" i="23"/>
  <c r="L180" i="23"/>
  <c r="K180" i="23"/>
  <c r="M180" i="23"/>
  <c r="P180" i="23"/>
  <c r="S180" i="23"/>
  <c r="O180" i="23"/>
  <c r="Q180" i="23"/>
  <c r="T180" i="23"/>
  <c r="U180" i="23"/>
  <c r="W180" i="23"/>
  <c r="R180" i="23"/>
  <c r="E164" i="23"/>
  <c r="L164" i="23" s="1"/>
  <c r="G164" i="23"/>
  <c r="G152" i="23"/>
  <c r="D152" i="23"/>
  <c r="H184" i="19"/>
  <c r="J184" i="19"/>
  <c r="I184" i="19"/>
  <c r="K184" i="19"/>
  <c r="L184" i="19"/>
  <c r="P184" i="19"/>
  <c r="N184" i="19"/>
  <c r="M184" i="19"/>
  <c r="T184" i="19"/>
  <c r="S184" i="19"/>
  <c r="O184" i="19"/>
  <c r="Q184" i="19"/>
  <c r="R184" i="19"/>
  <c r="U184" i="19"/>
  <c r="V184" i="19"/>
  <c r="W184" i="19"/>
  <c r="H171" i="19"/>
  <c r="I171" i="19"/>
  <c r="J171" i="19"/>
  <c r="K171" i="19"/>
  <c r="M171" i="19"/>
  <c r="L171" i="19"/>
  <c r="N171" i="19"/>
  <c r="S171" i="19"/>
  <c r="O171" i="19"/>
  <c r="T171" i="19"/>
  <c r="P171" i="19"/>
  <c r="Q171" i="19"/>
  <c r="R171" i="19"/>
  <c r="V171" i="19"/>
  <c r="U171" i="19"/>
  <c r="W171" i="19"/>
  <c r="J165" i="19"/>
  <c r="I165" i="19"/>
  <c r="L165" i="19"/>
  <c r="N165" i="19"/>
  <c r="K165" i="19"/>
  <c r="M165" i="19"/>
  <c r="P165" i="19"/>
  <c r="O165" i="19"/>
  <c r="Q165" i="19"/>
  <c r="R165" i="19"/>
  <c r="S165" i="19"/>
  <c r="U165" i="19"/>
  <c r="T165" i="19"/>
  <c r="H165" i="19"/>
  <c r="V165" i="19"/>
  <c r="W165" i="19"/>
  <c r="H185" i="18"/>
  <c r="I185" i="18"/>
  <c r="J185" i="18"/>
  <c r="L185" i="18"/>
  <c r="N185" i="18"/>
  <c r="M185" i="18"/>
  <c r="K185" i="18"/>
  <c r="Q185" i="18"/>
  <c r="S185" i="18"/>
  <c r="R185" i="18"/>
  <c r="P185" i="18"/>
  <c r="T185" i="18"/>
  <c r="O185" i="18"/>
  <c r="U185" i="18"/>
  <c r="W185" i="18"/>
  <c r="H178" i="18"/>
  <c r="K178" i="18"/>
  <c r="I178" i="18"/>
  <c r="L178" i="18"/>
  <c r="J178" i="18"/>
  <c r="N178" i="18"/>
  <c r="M178" i="18"/>
  <c r="Q178" i="18"/>
  <c r="R178" i="18"/>
  <c r="P178" i="18"/>
  <c r="T178" i="18"/>
  <c r="S178" i="18"/>
  <c r="U178" i="18"/>
  <c r="O178" i="18"/>
  <c r="V178" i="18"/>
  <c r="W178" i="18"/>
  <c r="H172" i="18"/>
  <c r="J172" i="18"/>
  <c r="I172" i="18"/>
  <c r="K172" i="18"/>
  <c r="L172" i="18"/>
  <c r="N172" i="18"/>
  <c r="O172" i="18"/>
  <c r="T172" i="18"/>
  <c r="M172" i="18"/>
  <c r="R172" i="18"/>
  <c r="Q172" i="18"/>
  <c r="V172" i="18"/>
  <c r="P172" i="18"/>
  <c r="S172" i="18"/>
  <c r="U172" i="18"/>
  <c r="W172" i="18"/>
  <c r="G153" i="18"/>
  <c r="E153" i="18"/>
  <c r="U153" i="18" s="1"/>
  <c r="H185" i="17"/>
  <c r="J185" i="17"/>
  <c r="I185" i="17"/>
  <c r="K185" i="17"/>
  <c r="L185" i="17"/>
  <c r="M185" i="17"/>
  <c r="N185" i="17"/>
  <c r="P185" i="17"/>
  <c r="R185" i="17"/>
  <c r="O185" i="17"/>
  <c r="Q185" i="17"/>
  <c r="T185" i="17"/>
  <c r="S185" i="17"/>
  <c r="U185" i="17"/>
  <c r="W185" i="17"/>
  <c r="V185" i="17"/>
  <c r="H169" i="17"/>
  <c r="J169" i="17"/>
  <c r="I169" i="17"/>
  <c r="K169" i="17"/>
  <c r="L169" i="17"/>
  <c r="M169" i="17"/>
  <c r="N169" i="17"/>
  <c r="P169" i="17"/>
  <c r="R169" i="17"/>
  <c r="O169" i="17"/>
  <c r="Q169" i="17"/>
  <c r="T169" i="17"/>
  <c r="S169" i="17"/>
  <c r="U169" i="17"/>
  <c r="W169" i="17"/>
  <c r="V169" i="17"/>
  <c r="H164" i="17"/>
  <c r="I164" i="17"/>
  <c r="J164" i="17"/>
  <c r="K164" i="17"/>
  <c r="L164" i="17"/>
  <c r="M164" i="17"/>
  <c r="N164" i="17"/>
  <c r="P164" i="17"/>
  <c r="R164" i="17"/>
  <c r="O164" i="17"/>
  <c r="T164" i="17"/>
  <c r="S164" i="17"/>
  <c r="Q164" i="17"/>
  <c r="U164" i="17"/>
  <c r="W164" i="17"/>
  <c r="E160" i="17"/>
  <c r="P160" i="17" s="1"/>
  <c r="W185" i="19"/>
  <c r="V155" i="21"/>
  <c r="V164" i="17"/>
  <c r="U184" i="20"/>
  <c r="T178" i="21"/>
  <c r="S176" i="21"/>
  <c r="E146" i="28"/>
  <c r="E142" i="28"/>
  <c r="E140" i="28"/>
  <c r="E138" i="28"/>
  <c r="E134" i="28"/>
  <c r="E132" i="28"/>
  <c r="E130" i="28"/>
  <c r="E126" i="28"/>
  <c r="E124" i="28"/>
  <c r="E122" i="28"/>
  <c r="E118" i="28"/>
  <c r="E116" i="28"/>
  <c r="E114" i="28"/>
  <c r="I141" i="17"/>
  <c r="E141" i="17"/>
  <c r="I139" i="17"/>
  <c r="E139" i="17"/>
  <c r="E137" i="17"/>
  <c r="I137" i="17"/>
  <c r="I135" i="17"/>
  <c r="E135" i="17"/>
  <c r="M130" i="17"/>
  <c r="I126" i="17"/>
  <c r="E126" i="17"/>
  <c r="I119" i="17"/>
  <c r="E119" i="17"/>
  <c r="H188" i="21"/>
  <c r="I188" i="21"/>
  <c r="J188" i="21"/>
  <c r="L188" i="21"/>
  <c r="M188" i="21"/>
  <c r="K188" i="21"/>
  <c r="N188" i="21"/>
  <c r="Q188" i="21"/>
  <c r="R188" i="21"/>
  <c r="S188" i="21"/>
  <c r="O188" i="21"/>
  <c r="V188" i="21"/>
  <c r="P188" i="21"/>
  <c r="U188" i="21"/>
  <c r="T188" i="21"/>
  <c r="W188" i="21"/>
  <c r="H172" i="21"/>
  <c r="I172" i="21"/>
  <c r="J172" i="21"/>
  <c r="L172" i="21"/>
  <c r="M172" i="21"/>
  <c r="K172" i="21"/>
  <c r="N172" i="21"/>
  <c r="Q172" i="21"/>
  <c r="R172" i="21"/>
  <c r="S172" i="21"/>
  <c r="V172" i="21"/>
  <c r="O172" i="21"/>
  <c r="T172" i="21"/>
  <c r="U172" i="21"/>
  <c r="P172" i="21"/>
  <c r="W172" i="21"/>
  <c r="H167" i="21"/>
  <c r="I167" i="21"/>
  <c r="J167" i="21"/>
  <c r="L167" i="21"/>
  <c r="K167" i="21"/>
  <c r="N167" i="21"/>
  <c r="P167" i="21"/>
  <c r="Q167" i="21"/>
  <c r="M167" i="21"/>
  <c r="S167" i="21"/>
  <c r="O167" i="21"/>
  <c r="V167" i="21"/>
  <c r="R167" i="21"/>
  <c r="T167" i="21"/>
  <c r="U167" i="21"/>
  <c r="H158" i="21"/>
  <c r="I158" i="21"/>
  <c r="L158" i="21"/>
  <c r="J158" i="21"/>
  <c r="K158" i="21"/>
  <c r="O158" i="21"/>
  <c r="P158" i="21"/>
  <c r="S158" i="21"/>
  <c r="R158" i="21"/>
  <c r="M158" i="21"/>
  <c r="T158" i="21"/>
  <c r="Q158" i="21"/>
  <c r="N158" i="21"/>
  <c r="U158" i="21"/>
  <c r="W158" i="21"/>
  <c r="V158" i="21"/>
  <c r="H183" i="20"/>
  <c r="I183" i="20"/>
  <c r="K183" i="20"/>
  <c r="J183" i="20"/>
  <c r="M183" i="20"/>
  <c r="O183" i="20"/>
  <c r="L183" i="20"/>
  <c r="Q183" i="20"/>
  <c r="S183" i="20"/>
  <c r="P183" i="20"/>
  <c r="R183" i="20"/>
  <c r="N183" i="20"/>
  <c r="U183" i="20"/>
  <c r="W183" i="20"/>
  <c r="T183" i="20"/>
  <c r="H178" i="20"/>
  <c r="I178" i="20"/>
  <c r="J178" i="20"/>
  <c r="K178" i="20"/>
  <c r="L178" i="20"/>
  <c r="M178" i="20"/>
  <c r="N178" i="20"/>
  <c r="Q178" i="20"/>
  <c r="S178" i="20"/>
  <c r="R178" i="20"/>
  <c r="V178" i="20"/>
  <c r="O178" i="20"/>
  <c r="P178" i="20"/>
  <c r="T178" i="20"/>
  <c r="U178" i="20"/>
  <c r="W178" i="20"/>
  <c r="G154" i="20"/>
  <c r="E154" i="20"/>
  <c r="S154" i="20" s="1"/>
  <c r="H180" i="28"/>
  <c r="K180" i="28"/>
  <c r="I180" i="28"/>
  <c r="J180" i="28"/>
  <c r="L180" i="28"/>
  <c r="M180" i="28"/>
  <c r="N180" i="28"/>
  <c r="P180" i="28"/>
  <c r="O180" i="28"/>
  <c r="U180" i="28"/>
  <c r="S180" i="28"/>
  <c r="R180" i="28"/>
  <c r="Q180" i="28"/>
  <c r="T180" i="28"/>
  <c r="V180" i="28"/>
  <c r="W180" i="28"/>
  <c r="H175" i="28"/>
  <c r="I175" i="28"/>
  <c r="J175" i="28"/>
  <c r="K175" i="28"/>
  <c r="Q175" i="28"/>
  <c r="M175" i="28"/>
  <c r="N175" i="28"/>
  <c r="L175" i="28"/>
  <c r="O175" i="28"/>
  <c r="S175" i="28"/>
  <c r="R175" i="28"/>
  <c r="U175" i="28"/>
  <c r="T175" i="28"/>
  <c r="V175" i="28"/>
  <c r="G159" i="6"/>
  <c r="E159" i="6"/>
  <c r="K159" i="6" s="1"/>
  <c r="J186" i="23"/>
  <c r="I186" i="23"/>
  <c r="H186" i="23"/>
  <c r="K186" i="23"/>
  <c r="L186" i="23"/>
  <c r="M186" i="23"/>
  <c r="O186" i="23"/>
  <c r="Q186" i="23"/>
  <c r="R186" i="23"/>
  <c r="N186" i="23"/>
  <c r="P186" i="23"/>
  <c r="S186" i="23"/>
  <c r="V186" i="23"/>
  <c r="T186" i="23"/>
  <c r="W186" i="23"/>
  <c r="I179" i="23"/>
  <c r="K179" i="23"/>
  <c r="H179" i="23"/>
  <c r="J179" i="23"/>
  <c r="L179" i="23"/>
  <c r="M179" i="23"/>
  <c r="N179" i="23"/>
  <c r="P179" i="23"/>
  <c r="O179" i="23"/>
  <c r="Q179" i="23"/>
  <c r="R179" i="23"/>
  <c r="T179" i="23"/>
  <c r="U179" i="23"/>
  <c r="S179" i="23"/>
  <c r="W179" i="23"/>
  <c r="V179" i="23"/>
  <c r="E174" i="23"/>
  <c r="O174" i="23" s="1"/>
  <c r="E170" i="23"/>
  <c r="O170" i="23" s="1"/>
  <c r="G170" i="23"/>
  <c r="H183" i="19"/>
  <c r="I183" i="19"/>
  <c r="K183" i="19"/>
  <c r="J183" i="19"/>
  <c r="L183" i="19"/>
  <c r="N183" i="19"/>
  <c r="P183" i="19"/>
  <c r="O183" i="19"/>
  <c r="Q183" i="19"/>
  <c r="M183" i="19"/>
  <c r="R183" i="19"/>
  <c r="T183" i="19"/>
  <c r="U183" i="19"/>
  <c r="S183" i="19"/>
  <c r="V183" i="19"/>
  <c r="W183" i="19"/>
  <c r="H177" i="19"/>
  <c r="J177" i="19"/>
  <c r="L177" i="19"/>
  <c r="I177" i="19"/>
  <c r="K177" i="19"/>
  <c r="M177" i="19"/>
  <c r="Q177" i="19"/>
  <c r="P177" i="19"/>
  <c r="N177" i="19"/>
  <c r="O177" i="19"/>
  <c r="S177" i="19"/>
  <c r="R177" i="19"/>
  <c r="T177" i="19"/>
  <c r="V177" i="19"/>
  <c r="U177" i="19"/>
  <c r="H170" i="19"/>
  <c r="I170" i="19"/>
  <c r="J170" i="19"/>
  <c r="K170" i="19"/>
  <c r="L170" i="19"/>
  <c r="M170" i="19"/>
  <c r="O170" i="19"/>
  <c r="Q170" i="19"/>
  <c r="R170" i="19"/>
  <c r="N170" i="19"/>
  <c r="S170" i="19"/>
  <c r="P170" i="19"/>
  <c r="V170" i="19"/>
  <c r="H164" i="19"/>
  <c r="I164" i="19"/>
  <c r="L164" i="19"/>
  <c r="J164" i="19"/>
  <c r="N164" i="19"/>
  <c r="K164" i="19"/>
  <c r="M164" i="19"/>
  <c r="P164" i="19"/>
  <c r="O164" i="19"/>
  <c r="R164" i="19"/>
  <c r="Q164" i="19"/>
  <c r="U164" i="19"/>
  <c r="T164" i="19"/>
  <c r="S164" i="19"/>
  <c r="V164" i="19"/>
  <c r="W164" i="19"/>
  <c r="G158" i="19"/>
  <c r="J152" i="19"/>
  <c r="I152" i="19"/>
  <c r="K152" i="19"/>
  <c r="L152" i="19"/>
  <c r="P152" i="19"/>
  <c r="Q152" i="19"/>
  <c r="N152" i="19"/>
  <c r="S152" i="19"/>
  <c r="O152" i="19"/>
  <c r="T152" i="19"/>
  <c r="U152" i="19"/>
  <c r="G152" i="19"/>
  <c r="V152" i="19"/>
  <c r="D152" i="19"/>
  <c r="H184" i="18"/>
  <c r="I184" i="18"/>
  <c r="J184" i="18"/>
  <c r="L184" i="18"/>
  <c r="N184" i="18"/>
  <c r="M184" i="18"/>
  <c r="O184" i="18"/>
  <c r="S184" i="18"/>
  <c r="K184" i="18"/>
  <c r="T184" i="18"/>
  <c r="P184" i="18"/>
  <c r="Q184" i="18"/>
  <c r="R184" i="18"/>
  <c r="W184" i="18"/>
  <c r="U184" i="18"/>
  <c r="H171" i="18"/>
  <c r="J171" i="18"/>
  <c r="I171" i="18"/>
  <c r="K171" i="18"/>
  <c r="L171" i="18"/>
  <c r="N171" i="18"/>
  <c r="P171" i="18"/>
  <c r="O171" i="18"/>
  <c r="M171" i="18"/>
  <c r="R171" i="18"/>
  <c r="Q171" i="18"/>
  <c r="S171" i="18"/>
  <c r="U171" i="18"/>
  <c r="T171" i="18"/>
  <c r="H165" i="18"/>
  <c r="I165" i="18"/>
  <c r="J165" i="18"/>
  <c r="K165" i="18"/>
  <c r="M165" i="18"/>
  <c r="Q165" i="18"/>
  <c r="R165" i="18"/>
  <c r="L165" i="18"/>
  <c r="N165" i="18"/>
  <c r="T165" i="18"/>
  <c r="O165" i="18"/>
  <c r="S165" i="18"/>
  <c r="U165" i="18"/>
  <c r="V165" i="18"/>
  <c r="P165" i="18"/>
  <c r="W165" i="18"/>
  <c r="G156" i="18"/>
  <c r="I184" i="17"/>
  <c r="H184" i="17"/>
  <c r="K184" i="17"/>
  <c r="L184" i="17"/>
  <c r="M184" i="17"/>
  <c r="N184" i="17"/>
  <c r="P184" i="17"/>
  <c r="R184" i="17"/>
  <c r="S184" i="17"/>
  <c r="U184" i="17"/>
  <c r="Q184" i="17"/>
  <c r="O184" i="17"/>
  <c r="T184" i="17"/>
  <c r="V184" i="17"/>
  <c r="W184" i="17"/>
  <c r="J184" i="17"/>
  <c r="H179" i="17"/>
  <c r="I179" i="17"/>
  <c r="K179" i="17"/>
  <c r="L179" i="17"/>
  <c r="J179" i="17"/>
  <c r="Q179" i="17"/>
  <c r="M179" i="17"/>
  <c r="P179" i="17"/>
  <c r="O179" i="17"/>
  <c r="N179" i="17"/>
  <c r="R179" i="17"/>
  <c r="T179" i="17"/>
  <c r="U179" i="17"/>
  <c r="S179" i="17"/>
  <c r="I168" i="17"/>
  <c r="K168" i="17"/>
  <c r="J168" i="17"/>
  <c r="L168" i="17"/>
  <c r="H168" i="17"/>
  <c r="M168" i="17"/>
  <c r="N168" i="17"/>
  <c r="P168" i="17"/>
  <c r="R168" i="17"/>
  <c r="S168" i="17"/>
  <c r="U168" i="17"/>
  <c r="O168" i="17"/>
  <c r="Q168" i="17"/>
  <c r="T168" i="17"/>
  <c r="V168" i="17"/>
  <c r="W178" i="19"/>
  <c r="W171" i="18"/>
  <c r="V189" i="21"/>
  <c r="V184" i="20"/>
  <c r="V171" i="18"/>
  <c r="U171" i="20"/>
  <c r="T155" i="21"/>
  <c r="S171" i="20"/>
  <c r="R183" i="21"/>
  <c r="P175" i="28"/>
  <c r="K121" i="20"/>
  <c r="G121" i="20"/>
  <c r="E128" i="17"/>
  <c r="I128" i="17"/>
  <c r="H177" i="21"/>
  <c r="I177" i="21"/>
  <c r="M177" i="21"/>
  <c r="J177" i="21"/>
  <c r="K177" i="21"/>
  <c r="O177" i="21"/>
  <c r="L177" i="21"/>
  <c r="Q177" i="21"/>
  <c r="S177" i="21"/>
  <c r="R177" i="21"/>
  <c r="N177" i="21"/>
  <c r="P177" i="21"/>
  <c r="U177" i="21"/>
  <c r="T177" i="21"/>
  <c r="W177" i="21"/>
  <c r="H153" i="21"/>
  <c r="I153" i="21"/>
  <c r="K153" i="21"/>
  <c r="J153" i="21"/>
  <c r="M153" i="21"/>
  <c r="L153" i="21"/>
  <c r="O153" i="21"/>
  <c r="N153" i="21"/>
  <c r="S153" i="21"/>
  <c r="P153" i="21"/>
  <c r="R153" i="21"/>
  <c r="Q153" i="21"/>
  <c r="U153" i="21"/>
  <c r="V153" i="21"/>
  <c r="W153" i="21"/>
  <c r="H187" i="20"/>
  <c r="K187" i="20"/>
  <c r="J187" i="20"/>
  <c r="I187" i="20"/>
  <c r="L187" i="20"/>
  <c r="M187" i="20"/>
  <c r="O187" i="20"/>
  <c r="N187" i="20"/>
  <c r="R187" i="20"/>
  <c r="P187" i="20"/>
  <c r="T187" i="20"/>
  <c r="Q187" i="20"/>
  <c r="S187" i="20"/>
  <c r="V187" i="20"/>
  <c r="W187" i="20"/>
  <c r="U187" i="20"/>
  <c r="E163" i="20"/>
  <c r="K163" i="20" s="1"/>
  <c r="G157" i="20"/>
  <c r="H184" i="28"/>
  <c r="I184" i="28"/>
  <c r="K184" i="28"/>
  <c r="J184" i="28"/>
  <c r="N184" i="28"/>
  <c r="P184" i="28"/>
  <c r="R184" i="28"/>
  <c r="M184" i="28"/>
  <c r="Q184" i="28"/>
  <c r="T184" i="28"/>
  <c r="S184" i="28"/>
  <c r="O184" i="28"/>
  <c r="U184" i="28"/>
  <c r="V184" i="28"/>
  <c r="W184" i="28"/>
  <c r="H152" i="28"/>
  <c r="I152" i="28"/>
  <c r="K152" i="28"/>
  <c r="J152" i="28"/>
  <c r="N152" i="28"/>
  <c r="P152" i="28"/>
  <c r="L152" i="28"/>
  <c r="R152" i="28"/>
  <c r="Q152" i="28"/>
  <c r="T152" i="28"/>
  <c r="S152" i="28"/>
  <c r="M152" i="28"/>
  <c r="O152" i="28"/>
  <c r="U152" i="28"/>
  <c r="V152" i="28"/>
  <c r="W152" i="28"/>
  <c r="H185" i="23"/>
  <c r="J185" i="23"/>
  <c r="I185" i="23"/>
  <c r="K185" i="23"/>
  <c r="L185" i="23"/>
  <c r="M185" i="23"/>
  <c r="P185" i="23"/>
  <c r="R185" i="23"/>
  <c r="O185" i="23"/>
  <c r="Q185" i="23"/>
  <c r="N185" i="23"/>
  <c r="S185" i="23"/>
  <c r="T185" i="23"/>
  <c r="U185" i="23"/>
  <c r="V185" i="23"/>
  <c r="E160" i="23"/>
  <c r="O160" i="23" s="1"/>
  <c r="E158" i="23"/>
  <c r="E154" i="23"/>
  <c r="G154" i="23"/>
  <c r="J189" i="19"/>
  <c r="H189" i="19"/>
  <c r="I189" i="19"/>
  <c r="K189" i="19"/>
  <c r="L189" i="19"/>
  <c r="N189" i="19"/>
  <c r="M189" i="19"/>
  <c r="P189" i="19"/>
  <c r="O189" i="19"/>
  <c r="Q189" i="19"/>
  <c r="R189" i="19"/>
  <c r="S189" i="19"/>
  <c r="U189" i="19"/>
  <c r="W189" i="19"/>
  <c r="T189" i="19"/>
  <c r="H182" i="19"/>
  <c r="J182" i="19"/>
  <c r="K182" i="19"/>
  <c r="I182" i="19"/>
  <c r="L182" i="19"/>
  <c r="M182" i="19"/>
  <c r="Q182" i="19"/>
  <c r="R182" i="19"/>
  <c r="O182" i="19"/>
  <c r="V182" i="19"/>
  <c r="N182" i="19"/>
  <c r="P182" i="19"/>
  <c r="S182" i="19"/>
  <c r="U182" i="19"/>
  <c r="T182" i="19"/>
  <c r="W182" i="19"/>
  <c r="H176" i="19"/>
  <c r="J176" i="19"/>
  <c r="I176" i="19"/>
  <c r="K176" i="19"/>
  <c r="L176" i="19"/>
  <c r="P176" i="19"/>
  <c r="Q176" i="19"/>
  <c r="T176" i="19"/>
  <c r="R176" i="19"/>
  <c r="N176" i="19"/>
  <c r="O176" i="19"/>
  <c r="S176" i="19"/>
  <c r="M176" i="19"/>
  <c r="U176" i="19"/>
  <c r="W176" i="19"/>
  <c r="H183" i="18"/>
  <c r="K183" i="18"/>
  <c r="J183" i="18"/>
  <c r="L183" i="18"/>
  <c r="I183" i="18"/>
  <c r="M183" i="18"/>
  <c r="N183" i="18"/>
  <c r="P183" i="18"/>
  <c r="O183" i="18"/>
  <c r="Q183" i="18"/>
  <c r="R183" i="18"/>
  <c r="T183" i="18"/>
  <c r="S183" i="18"/>
  <c r="V183" i="18"/>
  <c r="W183" i="18"/>
  <c r="H177" i="18"/>
  <c r="I177" i="18"/>
  <c r="J177" i="18"/>
  <c r="K177" i="18"/>
  <c r="N177" i="18"/>
  <c r="M177" i="18"/>
  <c r="L177" i="18"/>
  <c r="Q177" i="18"/>
  <c r="S177" i="18"/>
  <c r="O177" i="18"/>
  <c r="P177" i="18"/>
  <c r="R177" i="18"/>
  <c r="T177" i="18"/>
  <c r="U177" i="18"/>
  <c r="V177" i="18"/>
  <c r="W177" i="18"/>
  <c r="H170" i="18"/>
  <c r="K170" i="18"/>
  <c r="I170" i="18"/>
  <c r="L170" i="18"/>
  <c r="J170" i="18"/>
  <c r="N170" i="18"/>
  <c r="M170" i="18"/>
  <c r="Q170" i="18"/>
  <c r="R170" i="18"/>
  <c r="P170" i="18"/>
  <c r="O170" i="18"/>
  <c r="T170" i="18"/>
  <c r="U170" i="18"/>
  <c r="S170" i="18"/>
  <c r="V170" i="18"/>
  <c r="H164" i="18"/>
  <c r="J164" i="18"/>
  <c r="I164" i="18"/>
  <c r="K164" i="18"/>
  <c r="N164" i="18"/>
  <c r="M164" i="18"/>
  <c r="O164" i="18"/>
  <c r="Q164" i="18"/>
  <c r="T164" i="18"/>
  <c r="P164" i="18"/>
  <c r="L164" i="18"/>
  <c r="S164" i="18"/>
  <c r="V164" i="18"/>
  <c r="U164" i="18"/>
  <c r="R164" i="18"/>
  <c r="W164" i="18"/>
  <c r="E152" i="18"/>
  <c r="K152" i="18" s="1"/>
  <c r="D152" i="18"/>
  <c r="G152" i="18"/>
  <c r="H173" i="17"/>
  <c r="I173" i="17"/>
  <c r="J173" i="17"/>
  <c r="L173" i="17"/>
  <c r="M173" i="17"/>
  <c r="N173" i="17"/>
  <c r="P173" i="17"/>
  <c r="R173" i="17"/>
  <c r="O173" i="17"/>
  <c r="K173" i="17"/>
  <c r="Q173" i="17"/>
  <c r="T173" i="17"/>
  <c r="S173" i="17"/>
  <c r="V173" i="17"/>
  <c r="U173" i="17"/>
  <c r="W173" i="17"/>
  <c r="F159" i="17"/>
  <c r="I159" i="17"/>
  <c r="J159" i="17"/>
  <c r="K159" i="17"/>
  <c r="L159" i="17"/>
  <c r="N159" i="17"/>
  <c r="Q159" i="17"/>
  <c r="O159" i="17"/>
  <c r="S159" i="17"/>
  <c r="P159" i="17"/>
  <c r="T159" i="17"/>
  <c r="G159" i="17"/>
  <c r="V159" i="17"/>
  <c r="U159" i="17"/>
  <c r="G154" i="17"/>
  <c r="W177" i="19"/>
  <c r="W170" i="18"/>
  <c r="V183" i="20"/>
  <c r="V176" i="28"/>
  <c r="V188" i="19"/>
  <c r="U189" i="21"/>
  <c r="U180" i="18"/>
  <c r="T153" i="21"/>
  <c r="G155" i="23"/>
  <c r="G163" i="19"/>
  <c r="G159" i="18"/>
  <c r="W182" i="6"/>
  <c r="W174" i="6"/>
  <c r="W166" i="6"/>
  <c r="V189" i="28"/>
  <c r="V157" i="28"/>
  <c r="U164" i="21"/>
  <c r="U171" i="6"/>
  <c r="T156" i="21"/>
  <c r="Q179" i="6"/>
  <c r="H189" i="20"/>
  <c r="I189" i="20"/>
  <c r="J189" i="20"/>
  <c r="L189" i="20"/>
  <c r="K189" i="20"/>
  <c r="M189" i="20"/>
  <c r="N189" i="20"/>
  <c r="P189" i="20"/>
  <c r="Q189" i="20"/>
  <c r="S189" i="20"/>
  <c r="V189" i="20"/>
  <c r="O189" i="20"/>
  <c r="R189" i="20"/>
  <c r="T189" i="20"/>
  <c r="H185" i="20"/>
  <c r="J185" i="20"/>
  <c r="I185" i="20"/>
  <c r="L185" i="20"/>
  <c r="K185" i="20"/>
  <c r="M185" i="20"/>
  <c r="P185" i="20"/>
  <c r="Q185" i="20"/>
  <c r="N185" i="20"/>
  <c r="R185" i="20"/>
  <c r="S185" i="20"/>
  <c r="U185" i="20"/>
  <c r="O185" i="20"/>
  <c r="T185" i="20"/>
  <c r="H181" i="20"/>
  <c r="I181" i="20"/>
  <c r="J181" i="20"/>
  <c r="L181" i="20"/>
  <c r="K181" i="20"/>
  <c r="M181" i="20"/>
  <c r="N181" i="20"/>
  <c r="P181" i="20"/>
  <c r="Q181" i="20"/>
  <c r="S181" i="20"/>
  <c r="O181" i="20"/>
  <c r="R181" i="20"/>
  <c r="V181" i="20"/>
  <c r="H177" i="20"/>
  <c r="I177" i="20"/>
  <c r="J177" i="20"/>
  <c r="K177" i="20"/>
  <c r="L177" i="20"/>
  <c r="M177" i="20"/>
  <c r="P177" i="20"/>
  <c r="Q177" i="20"/>
  <c r="N177" i="20"/>
  <c r="O177" i="20"/>
  <c r="R177" i="20"/>
  <c r="U177" i="20"/>
  <c r="H173" i="20"/>
  <c r="I173" i="20"/>
  <c r="J173" i="20"/>
  <c r="L173" i="20"/>
  <c r="M173" i="20"/>
  <c r="K173" i="20"/>
  <c r="N173" i="20"/>
  <c r="P173" i="20"/>
  <c r="Q173" i="20"/>
  <c r="S173" i="20"/>
  <c r="T173" i="20"/>
  <c r="O173" i="20"/>
  <c r="V173" i="20"/>
  <c r="H169" i="20"/>
  <c r="J169" i="20"/>
  <c r="I169" i="20"/>
  <c r="K169" i="20"/>
  <c r="M169" i="20"/>
  <c r="L169" i="20"/>
  <c r="P169" i="20"/>
  <c r="Q169" i="20"/>
  <c r="N169" i="20"/>
  <c r="R169" i="20"/>
  <c r="T169" i="20"/>
  <c r="O169" i="20"/>
  <c r="S169" i="20"/>
  <c r="U169" i="20"/>
  <c r="H186" i="28"/>
  <c r="I186" i="28"/>
  <c r="J186" i="28"/>
  <c r="L186" i="28"/>
  <c r="K186" i="28"/>
  <c r="M186" i="28"/>
  <c r="O186" i="28"/>
  <c r="Q186" i="28"/>
  <c r="S186" i="28"/>
  <c r="P186" i="28"/>
  <c r="N186" i="28"/>
  <c r="R186" i="28"/>
  <c r="H182" i="28"/>
  <c r="J182" i="28"/>
  <c r="I182" i="28"/>
  <c r="K182" i="28"/>
  <c r="L182" i="28"/>
  <c r="M182" i="28"/>
  <c r="Q182" i="28"/>
  <c r="O182" i="28"/>
  <c r="N182" i="28"/>
  <c r="R182" i="28"/>
  <c r="V182" i="28"/>
  <c r="P182" i="28"/>
  <c r="S182" i="28"/>
  <c r="H178" i="28"/>
  <c r="I178" i="28"/>
  <c r="J178" i="28"/>
  <c r="L178" i="28"/>
  <c r="M178" i="28"/>
  <c r="K178" i="28"/>
  <c r="O178" i="28"/>
  <c r="Q178" i="28"/>
  <c r="S178" i="28"/>
  <c r="N178" i="28"/>
  <c r="R178" i="28"/>
  <c r="U178" i="28"/>
  <c r="T178" i="28"/>
  <c r="H174" i="28"/>
  <c r="I174" i="28"/>
  <c r="J174" i="28"/>
  <c r="K174" i="28"/>
  <c r="M174" i="28"/>
  <c r="L174" i="28"/>
  <c r="Q174" i="28"/>
  <c r="O174" i="28"/>
  <c r="N174" i="28"/>
  <c r="P174" i="28"/>
  <c r="R174" i="28"/>
  <c r="S174" i="28"/>
  <c r="V174" i="28"/>
  <c r="T174" i="28"/>
  <c r="H170" i="28"/>
  <c r="I170" i="28"/>
  <c r="K170" i="28"/>
  <c r="L170" i="28"/>
  <c r="J170" i="28"/>
  <c r="M170" i="28"/>
  <c r="O170" i="28"/>
  <c r="Q170" i="28"/>
  <c r="S170" i="28"/>
  <c r="P170" i="28"/>
  <c r="R170" i="28"/>
  <c r="U170" i="28"/>
  <c r="H166" i="28"/>
  <c r="I166" i="28"/>
  <c r="J166" i="28"/>
  <c r="K166" i="28"/>
  <c r="M166" i="28"/>
  <c r="L166" i="28"/>
  <c r="Q166" i="28"/>
  <c r="O166" i="28"/>
  <c r="N166" i="28"/>
  <c r="R166" i="28"/>
  <c r="V166" i="28"/>
  <c r="P166" i="28"/>
  <c r="T166" i="28"/>
  <c r="H162" i="28"/>
  <c r="I162" i="28"/>
  <c r="J162" i="28"/>
  <c r="L162" i="28"/>
  <c r="K162" i="28"/>
  <c r="M162" i="28"/>
  <c r="O162" i="28"/>
  <c r="Q162" i="28"/>
  <c r="S162" i="28"/>
  <c r="N162" i="28"/>
  <c r="T162" i="28"/>
  <c r="P162" i="28"/>
  <c r="R162" i="28"/>
  <c r="U162" i="28"/>
  <c r="H158" i="28"/>
  <c r="I158" i="28"/>
  <c r="J158" i="28"/>
  <c r="L158" i="28"/>
  <c r="M158" i="28"/>
  <c r="K158" i="28"/>
  <c r="Q158" i="28"/>
  <c r="O158" i="28"/>
  <c r="N158" i="28"/>
  <c r="P158" i="28"/>
  <c r="R158" i="28"/>
  <c r="S158" i="28"/>
  <c r="V158" i="28"/>
  <c r="T158" i="28"/>
  <c r="U158" i="28"/>
  <c r="H154" i="28"/>
  <c r="I154" i="28"/>
  <c r="J154" i="28"/>
  <c r="L154" i="28"/>
  <c r="K154" i="28"/>
  <c r="M154" i="28"/>
  <c r="O154" i="28"/>
  <c r="Q154" i="28"/>
  <c r="S154" i="28"/>
  <c r="P154" i="28"/>
  <c r="R154" i="28"/>
  <c r="N154" i="28"/>
  <c r="H188" i="6"/>
  <c r="J188" i="6"/>
  <c r="I188" i="6"/>
  <c r="K188" i="6"/>
  <c r="L188" i="6"/>
  <c r="M188" i="6"/>
  <c r="Q188" i="6"/>
  <c r="O188" i="6"/>
  <c r="N188" i="6"/>
  <c r="R188" i="6"/>
  <c r="V188" i="6"/>
  <c r="S188" i="6"/>
  <c r="P188" i="6"/>
  <c r="H184" i="6"/>
  <c r="I184" i="6"/>
  <c r="J184" i="6"/>
  <c r="L184" i="6"/>
  <c r="M184" i="6"/>
  <c r="K184" i="6"/>
  <c r="O184" i="6"/>
  <c r="Q184" i="6"/>
  <c r="S184" i="6"/>
  <c r="N184" i="6"/>
  <c r="R184" i="6"/>
  <c r="U184" i="6"/>
  <c r="H180" i="6"/>
  <c r="J180" i="6"/>
  <c r="I180" i="6"/>
  <c r="K180" i="6"/>
  <c r="M180" i="6"/>
  <c r="Q180" i="6"/>
  <c r="O180" i="6"/>
  <c r="N180" i="6"/>
  <c r="L180" i="6"/>
  <c r="P180" i="6"/>
  <c r="R180" i="6"/>
  <c r="S180" i="6"/>
  <c r="V180" i="6"/>
  <c r="T180" i="6"/>
  <c r="H176" i="6"/>
  <c r="I176" i="6"/>
  <c r="J176" i="6"/>
  <c r="K176" i="6"/>
  <c r="L176" i="6"/>
  <c r="M176" i="6"/>
  <c r="O176" i="6"/>
  <c r="Q176" i="6"/>
  <c r="S176" i="6"/>
  <c r="P176" i="6"/>
  <c r="R176" i="6"/>
  <c r="N176" i="6"/>
  <c r="T176" i="6"/>
  <c r="U176" i="6"/>
  <c r="H172" i="6"/>
  <c r="J172" i="6"/>
  <c r="I172" i="6"/>
  <c r="M172" i="6"/>
  <c r="K172" i="6"/>
  <c r="L172" i="6"/>
  <c r="Q172" i="6"/>
  <c r="O172" i="6"/>
  <c r="N172" i="6"/>
  <c r="R172" i="6"/>
  <c r="V172" i="6"/>
  <c r="P172" i="6"/>
  <c r="T172" i="6"/>
  <c r="H168" i="6"/>
  <c r="I168" i="6"/>
  <c r="J168" i="6"/>
  <c r="L168" i="6"/>
  <c r="K168" i="6"/>
  <c r="M168" i="6"/>
  <c r="O168" i="6"/>
  <c r="Q168" i="6"/>
  <c r="S168" i="6"/>
  <c r="N168" i="6"/>
  <c r="T168" i="6"/>
  <c r="P168" i="6"/>
  <c r="R168" i="6"/>
  <c r="U168" i="6"/>
  <c r="H175" i="23"/>
  <c r="P175" i="23"/>
  <c r="I163" i="19"/>
  <c r="J163" i="19"/>
  <c r="K163" i="19"/>
  <c r="L163" i="19"/>
  <c r="Q163" i="19"/>
  <c r="S163" i="19"/>
  <c r="T163" i="19"/>
  <c r="N163" i="19"/>
  <c r="P163" i="19"/>
  <c r="O163" i="19"/>
  <c r="U163" i="19"/>
  <c r="G155" i="17"/>
  <c r="W173" i="28"/>
  <c r="W165" i="28"/>
  <c r="W179" i="6"/>
  <c r="V186" i="28"/>
  <c r="V154" i="28"/>
  <c r="U181" i="20"/>
  <c r="U166" i="28"/>
  <c r="U175" i="23"/>
  <c r="T154" i="28"/>
  <c r="G161" i="6"/>
  <c r="G153" i="6"/>
  <c r="G167" i="23"/>
  <c r="G159" i="23"/>
  <c r="E153" i="23"/>
  <c r="O153" i="23" s="1"/>
  <c r="G159" i="19"/>
  <c r="G155" i="18"/>
  <c r="I167" i="17"/>
  <c r="J167" i="17"/>
  <c r="K167" i="17"/>
  <c r="H167" i="17"/>
  <c r="M167" i="17"/>
  <c r="N167" i="17"/>
  <c r="L167" i="17"/>
  <c r="Q167" i="17"/>
  <c r="S167" i="17"/>
  <c r="O167" i="17"/>
  <c r="R167" i="17"/>
  <c r="T167" i="17"/>
  <c r="P167" i="17"/>
  <c r="U167" i="17"/>
  <c r="H163" i="17"/>
  <c r="I163" i="17"/>
  <c r="K163" i="17"/>
  <c r="J163" i="17"/>
  <c r="L163" i="17"/>
  <c r="M163" i="17"/>
  <c r="Q163" i="17"/>
  <c r="P163" i="17"/>
  <c r="O163" i="17"/>
  <c r="N163" i="17"/>
  <c r="T163" i="17"/>
  <c r="U163" i="17"/>
  <c r="R163" i="17"/>
  <c r="S163" i="17"/>
  <c r="W186" i="6"/>
  <c r="W178" i="6"/>
  <c r="V169" i="20"/>
  <c r="V168" i="6"/>
  <c r="U186" i="28"/>
  <c r="U158" i="17"/>
  <c r="T186" i="28"/>
  <c r="T188" i="6"/>
  <c r="H189" i="28"/>
  <c r="I189" i="28"/>
  <c r="J189" i="28"/>
  <c r="L189" i="28"/>
  <c r="M189" i="28"/>
  <c r="K189" i="28"/>
  <c r="N189" i="28"/>
  <c r="P189" i="28"/>
  <c r="O189" i="28"/>
  <c r="T189" i="28"/>
  <c r="S189" i="28"/>
  <c r="Q189" i="28"/>
  <c r="R189" i="28"/>
  <c r="U189" i="28"/>
  <c r="H185" i="28"/>
  <c r="J185" i="28"/>
  <c r="L185" i="28"/>
  <c r="I185" i="28"/>
  <c r="K185" i="28"/>
  <c r="M185" i="28"/>
  <c r="N185" i="28"/>
  <c r="P185" i="28"/>
  <c r="O185" i="28"/>
  <c r="R185" i="28"/>
  <c r="Q185" i="28"/>
  <c r="T185" i="28"/>
  <c r="V185" i="28"/>
  <c r="H181" i="28"/>
  <c r="I181" i="28"/>
  <c r="J181" i="28"/>
  <c r="K181" i="28"/>
  <c r="L181" i="28"/>
  <c r="M181" i="28"/>
  <c r="N181" i="28"/>
  <c r="P181" i="28"/>
  <c r="O181" i="28"/>
  <c r="Q181" i="28"/>
  <c r="T181" i="28"/>
  <c r="S181" i="28"/>
  <c r="R181" i="28"/>
  <c r="U181" i="28"/>
  <c r="H177" i="28"/>
  <c r="J177" i="28"/>
  <c r="I177" i="28"/>
  <c r="L177" i="28"/>
  <c r="K177" i="28"/>
  <c r="M177" i="28"/>
  <c r="N177" i="28"/>
  <c r="P177" i="28"/>
  <c r="O177" i="28"/>
  <c r="R177" i="28"/>
  <c r="Q177" i="28"/>
  <c r="T177" i="28"/>
  <c r="V177" i="28"/>
  <c r="H173" i="28"/>
  <c r="I173" i="28"/>
  <c r="J173" i="28"/>
  <c r="K173" i="28"/>
  <c r="M173" i="28"/>
  <c r="L173" i="28"/>
  <c r="N173" i="28"/>
  <c r="P173" i="28"/>
  <c r="O173" i="28"/>
  <c r="T173" i="28"/>
  <c r="S173" i="28"/>
  <c r="R173" i="28"/>
  <c r="Q173" i="28"/>
  <c r="U173" i="28"/>
  <c r="H169" i="28"/>
  <c r="J169" i="28"/>
  <c r="L169" i="28"/>
  <c r="I169" i="28"/>
  <c r="K169" i="28"/>
  <c r="M169" i="28"/>
  <c r="N169" i="28"/>
  <c r="P169" i="28"/>
  <c r="O169" i="28"/>
  <c r="R169" i="28"/>
  <c r="Q169" i="28"/>
  <c r="V169" i="28"/>
  <c r="S169" i="28"/>
  <c r="U169" i="28"/>
  <c r="H165" i="28"/>
  <c r="J165" i="28"/>
  <c r="I165" i="28"/>
  <c r="K165" i="28"/>
  <c r="M165" i="28"/>
  <c r="N165" i="28"/>
  <c r="P165" i="28"/>
  <c r="O165" i="28"/>
  <c r="L165" i="28"/>
  <c r="Q165" i="28"/>
  <c r="T165" i="28"/>
  <c r="S165" i="28"/>
  <c r="H161" i="28"/>
  <c r="L161" i="28"/>
  <c r="K161" i="28"/>
  <c r="J161" i="28"/>
  <c r="I161" i="28"/>
  <c r="M161" i="28"/>
  <c r="N161" i="28"/>
  <c r="P161" i="28"/>
  <c r="O161" i="28"/>
  <c r="R161" i="28"/>
  <c r="Q161" i="28"/>
  <c r="V161" i="28"/>
  <c r="H157" i="28"/>
  <c r="J157" i="28"/>
  <c r="I157" i="28"/>
  <c r="L157" i="28"/>
  <c r="M157" i="28"/>
  <c r="N157" i="28"/>
  <c r="P157" i="28"/>
  <c r="O157" i="28"/>
  <c r="K157" i="28"/>
  <c r="T157" i="28"/>
  <c r="S157" i="28"/>
  <c r="Q157" i="28"/>
  <c r="R157" i="28"/>
  <c r="U157" i="28"/>
  <c r="H153" i="28"/>
  <c r="J153" i="28"/>
  <c r="L153" i="28"/>
  <c r="I153" i="28"/>
  <c r="K153" i="28"/>
  <c r="M153" i="28"/>
  <c r="N153" i="28"/>
  <c r="P153" i="28"/>
  <c r="O153" i="28"/>
  <c r="R153" i="28"/>
  <c r="Q153" i="28"/>
  <c r="T153" i="28"/>
  <c r="V153" i="28"/>
  <c r="S153" i="28"/>
  <c r="H187" i="6"/>
  <c r="J187" i="6"/>
  <c r="I187" i="6"/>
  <c r="K187" i="6"/>
  <c r="L187" i="6"/>
  <c r="M187" i="6"/>
  <c r="N187" i="6"/>
  <c r="P187" i="6"/>
  <c r="O187" i="6"/>
  <c r="Q187" i="6"/>
  <c r="T187" i="6"/>
  <c r="S187" i="6"/>
  <c r="U187" i="6"/>
  <c r="R187" i="6"/>
  <c r="H183" i="6"/>
  <c r="J183" i="6"/>
  <c r="I183" i="6"/>
  <c r="L183" i="6"/>
  <c r="K183" i="6"/>
  <c r="M183" i="6"/>
  <c r="N183" i="6"/>
  <c r="P183" i="6"/>
  <c r="O183" i="6"/>
  <c r="R183" i="6"/>
  <c r="Q183" i="6"/>
  <c r="T183" i="6"/>
  <c r="V183" i="6"/>
  <c r="S183" i="6"/>
  <c r="H179" i="6"/>
  <c r="J179" i="6"/>
  <c r="I179" i="6"/>
  <c r="K179" i="6"/>
  <c r="M179" i="6"/>
  <c r="L179" i="6"/>
  <c r="N179" i="6"/>
  <c r="P179" i="6"/>
  <c r="O179" i="6"/>
  <c r="T179" i="6"/>
  <c r="S179" i="6"/>
  <c r="R179" i="6"/>
  <c r="U179" i="6"/>
  <c r="H175" i="6"/>
  <c r="L175" i="6"/>
  <c r="J175" i="6"/>
  <c r="K175" i="6"/>
  <c r="I175" i="6"/>
  <c r="M175" i="6"/>
  <c r="N175" i="6"/>
  <c r="P175" i="6"/>
  <c r="O175" i="6"/>
  <c r="R175" i="6"/>
  <c r="Q175" i="6"/>
  <c r="V175" i="6"/>
  <c r="U175" i="6"/>
  <c r="H171" i="6"/>
  <c r="J171" i="6"/>
  <c r="I171" i="6"/>
  <c r="K171" i="6"/>
  <c r="M171" i="6"/>
  <c r="N171" i="6"/>
  <c r="P171" i="6"/>
  <c r="O171" i="6"/>
  <c r="L171" i="6"/>
  <c r="Q171" i="6"/>
  <c r="T171" i="6"/>
  <c r="S171" i="6"/>
  <c r="R171" i="6"/>
  <c r="H167" i="6"/>
  <c r="J167" i="6"/>
  <c r="L167" i="6"/>
  <c r="K167" i="6"/>
  <c r="I167" i="6"/>
  <c r="M167" i="6"/>
  <c r="N167" i="6"/>
  <c r="P167" i="6"/>
  <c r="O167" i="6"/>
  <c r="R167" i="6"/>
  <c r="Q167" i="6"/>
  <c r="V167" i="6"/>
  <c r="S167" i="6"/>
  <c r="T167" i="6"/>
  <c r="W185" i="20"/>
  <c r="W177" i="20"/>
  <c r="W169" i="20"/>
  <c r="V162" i="28"/>
  <c r="V175" i="23"/>
  <c r="U185" i="28"/>
  <c r="U180" i="6"/>
  <c r="T181" i="20"/>
  <c r="T182" i="28"/>
  <c r="S172" i="6"/>
  <c r="R173" i="20"/>
  <c r="H168" i="21"/>
  <c r="J168" i="21"/>
  <c r="I168" i="21"/>
  <c r="L168" i="21"/>
  <c r="K168" i="21"/>
  <c r="M168" i="21"/>
  <c r="Q168" i="21"/>
  <c r="N168" i="21"/>
  <c r="O168" i="21"/>
  <c r="U168" i="21"/>
  <c r="S168" i="21"/>
  <c r="T168" i="21"/>
  <c r="P168" i="21"/>
  <c r="H164" i="21"/>
  <c r="I164" i="21"/>
  <c r="J164" i="21"/>
  <c r="K164" i="21"/>
  <c r="M164" i="21"/>
  <c r="N164" i="21"/>
  <c r="L164" i="21"/>
  <c r="Q164" i="21"/>
  <c r="R164" i="21"/>
  <c r="P164" i="21"/>
  <c r="O164" i="21"/>
  <c r="S164" i="21"/>
  <c r="V164" i="21"/>
  <c r="H160" i="21"/>
  <c r="J160" i="21"/>
  <c r="K160" i="21"/>
  <c r="L160" i="21"/>
  <c r="I160" i="21"/>
  <c r="M160" i="21"/>
  <c r="Q160" i="21"/>
  <c r="N160" i="21"/>
  <c r="P160" i="21"/>
  <c r="O160" i="21"/>
  <c r="U160" i="21"/>
  <c r="R160" i="21"/>
  <c r="T160" i="21"/>
  <c r="H156" i="21"/>
  <c r="I156" i="21"/>
  <c r="J156" i="21"/>
  <c r="M156" i="21"/>
  <c r="L156" i="21"/>
  <c r="N156" i="21"/>
  <c r="Q156" i="21"/>
  <c r="K156" i="21"/>
  <c r="R156" i="21"/>
  <c r="S156" i="21"/>
  <c r="O156" i="21"/>
  <c r="V156" i="21"/>
  <c r="P156" i="21"/>
  <c r="U156" i="21"/>
  <c r="E163" i="6"/>
  <c r="P163" i="6" s="1"/>
  <c r="E159" i="23"/>
  <c r="U159" i="23" s="1"/>
  <c r="H182" i="17"/>
  <c r="J182" i="17"/>
  <c r="I182" i="17"/>
  <c r="L182" i="17"/>
  <c r="K182" i="17"/>
  <c r="M182" i="17"/>
  <c r="N182" i="17"/>
  <c r="O182" i="17"/>
  <c r="Q182" i="17"/>
  <c r="S182" i="17"/>
  <c r="P182" i="17"/>
  <c r="W182" i="17"/>
  <c r="R182" i="17"/>
  <c r="T182" i="17"/>
  <c r="V182" i="17"/>
  <c r="H178" i="17"/>
  <c r="J178" i="17"/>
  <c r="K178" i="17"/>
  <c r="I178" i="17"/>
  <c r="L178" i="17"/>
  <c r="Q178" i="17"/>
  <c r="N178" i="17"/>
  <c r="O178" i="17"/>
  <c r="T178" i="17"/>
  <c r="R178" i="17"/>
  <c r="M178" i="17"/>
  <c r="V178" i="17"/>
  <c r="U178" i="17"/>
  <c r="H174" i="17"/>
  <c r="J174" i="17"/>
  <c r="L174" i="17"/>
  <c r="I174" i="17"/>
  <c r="M174" i="17"/>
  <c r="N174" i="17"/>
  <c r="O174" i="17"/>
  <c r="K174" i="17"/>
  <c r="Q174" i="17"/>
  <c r="S174" i="17"/>
  <c r="R174" i="17"/>
  <c r="W174" i="17"/>
  <c r="T174" i="17"/>
  <c r="U174" i="17"/>
  <c r="P174" i="17"/>
  <c r="H170" i="17"/>
  <c r="J170" i="17"/>
  <c r="I170" i="17"/>
  <c r="K170" i="17"/>
  <c r="Q170" i="17"/>
  <c r="M170" i="17"/>
  <c r="O170" i="17"/>
  <c r="T170" i="17"/>
  <c r="P170" i="17"/>
  <c r="L170" i="17"/>
  <c r="S170" i="17"/>
  <c r="V170" i="17"/>
  <c r="N170" i="17"/>
  <c r="H166" i="17"/>
  <c r="J166" i="17"/>
  <c r="I166" i="17"/>
  <c r="L166" i="17"/>
  <c r="K166" i="17"/>
  <c r="M166" i="17"/>
  <c r="N166" i="17"/>
  <c r="O166" i="17"/>
  <c r="Q166" i="17"/>
  <c r="S166" i="17"/>
  <c r="P166" i="17"/>
  <c r="W166" i="17"/>
  <c r="R166" i="17"/>
  <c r="V166" i="17"/>
  <c r="H162" i="17"/>
  <c r="I162" i="17"/>
  <c r="J162" i="17"/>
  <c r="K162" i="17"/>
  <c r="L162" i="17"/>
  <c r="N162" i="17"/>
  <c r="Q162" i="17"/>
  <c r="O162" i="17"/>
  <c r="T162" i="17"/>
  <c r="R162" i="17"/>
  <c r="V162" i="17"/>
  <c r="P162" i="17"/>
  <c r="M162" i="17"/>
  <c r="S162" i="17"/>
  <c r="U162" i="17"/>
  <c r="W186" i="28"/>
  <c r="W178" i="28"/>
  <c r="W170" i="28"/>
  <c r="W162" i="28"/>
  <c r="W154" i="28"/>
  <c r="W184" i="6"/>
  <c r="W176" i="6"/>
  <c r="W168" i="6"/>
  <c r="W163" i="17"/>
  <c r="V177" i="20"/>
  <c r="V181" i="28"/>
  <c r="V187" i="6"/>
  <c r="U182" i="28"/>
  <c r="U161" i="28"/>
  <c r="T164" i="21"/>
  <c r="T177" i="20"/>
  <c r="T184" i="6"/>
  <c r="T166" i="17"/>
  <c r="S177" i="28"/>
  <c r="S178" i="17"/>
  <c r="H186" i="6"/>
  <c r="K186" i="6"/>
  <c r="I186" i="6"/>
  <c r="L186" i="6"/>
  <c r="M186" i="6"/>
  <c r="J186" i="6"/>
  <c r="N186" i="6"/>
  <c r="P186" i="6"/>
  <c r="O186" i="6"/>
  <c r="U186" i="6"/>
  <c r="S186" i="6"/>
  <c r="Q186" i="6"/>
  <c r="I182" i="6"/>
  <c r="K182" i="6"/>
  <c r="H182" i="6"/>
  <c r="J182" i="6"/>
  <c r="L182" i="6"/>
  <c r="M182" i="6"/>
  <c r="N182" i="6"/>
  <c r="P182" i="6"/>
  <c r="R182" i="6"/>
  <c r="T182" i="6"/>
  <c r="O182" i="6"/>
  <c r="S182" i="6"/>
  <c r="H178" i="6"/>
  <c r="J178" i="6"/>
  <c r="K178" i="6"/>
  <c r="I178" i="6"/>
  <c r="M178" i="6"/>
  <c r="L178" i="6"/>
  <c r="N178" i="6"/>
  <c r="P178" i="6"/>
  <c r="Q178" i="6"/>
  <c r="O178" i="6"/>
  <c r="R178" i="6"/>
  <c r="T178" i="6"/>
  <c r="U178" i="6"/>
  <c r="S178" i="6"/>
  <c r="H174" i="6"/>
  <c r="I174" i="6"/>
  <c r="K174" i="6"/>
  <c r="J174" i="6"/>
  <c r="L174" i="6"/>
  <c r="N174" i="6"/>
  <c r="P174" i="6"/>
  <c r="R174" i="6"/>
  <c r="Q174" i="6"/>
  <c r="M174" i="6"/>
  <c r="T174" i="6"/>
  <c r="S174" i="6"/>
  <c r="O174" i="6"/>
  <c r="U174" i="6"/>
  <c r="H170" i="6"/>
  <c r="K170" i="6"/>
  <c r="J170" i="6"/>
  <c r="M170" i="6"/>
  <c r="L170" i="6"/>
  <c r="I170" i="6"/>
  <c r="N170" i="6"/>
  <c r="P170" i="6"/>
  <c r="O170" i="6"/>
  <c r="U170" i="6"/>
  <c r="Q170" i="6"/>
  <c r="S170" i="6"/>
  <c r="R170" i="6"/>
  <c r="V170" i="6"/>
  <c r="H166" i="6"/>
  <c r="I166" i="6"/>
  <c r="K166" i="6"/>
  <c r="J166" i="6"/>
  <c r="L166" i="6"/>
  <c r="N166" i="6"/>
  <c r="P166" i="6"/>
  <c r="M166" i="6"/>
  <c r="R166" i="6"/>
  <c r="T166" i="6"/>
  <c r="O166" i="6"/>
  <c r="S166" i="6"/>
  <c r="Q166" i="6"/>
  <c r="U166" i="6"/>
  <c r="I158" i="17"/>
  <c r="J158" i="17"/>
  <c r="L158" i="17"/>
  <c r="N158" i="17"/>
  <c r="K158" i="17"/>
  <c r="O158" i="17"/>
  <c r="Q158" i="17"/>
  <c r="S158" i="17"/>
  <c r="P158" i="17"/>
  <c r="T158" i="17"/>
  <c r="W185" i="28"/>
  <c r="W177" i="28"/>
  <c r="W169" i="28"/>
  <c r="W161" i="28"/>
  <c r="W153" i="28"/>
  <c r="W183" i="6"/>
  <c r="W175" i="6"/>
  <c r="W167" i="6"/>
  <c r="W162" i="17"/>
  <c r="V160" i="21"/>
  <c r="V170" i="28"/>
  <c r="V186" i="6"/>
  <c r="V176" i="6"/>
  <c r="U189" i="20"/>
  <c r="U177" i="28"/>
  <c r="U172" i="6"/>
  <c r="T170" i="28"/>
  <c r="T175" i="6"/>
  <c r="S177" i="20"/>
  <c r="S166" i="28"/>
  <c r="R165" i="28"/>
  <c r="Q182" i="6"/>
  <c r="P178" i="17"/>
  <c r="F159" i="18"/>
  <c r="F16" i="24"/>
  <c r="C16" i="24"/>
  <c r="D96" i="24"/>
  <c r="E96" i="24"/>
  <c r="C96" i="24"/>
  <c r="F96" i="24"/>
  <c r="C88" i="24"/>
  <c r="D88" i="24"/>
  <c r="F88" i="24"/>
  <c r="E88" i="24"/>
  <c r="C80" i="24"/>
  <c r="D80" i="24"/>
  <c r="F80" i="24"/>
  <c r="E80" i="24"/>
  <c r="C72" i="24"/>
  <c r="D72" i="24"/>
  <c r="F72" i="24"/>
  <c r="E72" i="24"/>
  <c r="C64" i="24"/>
  <c r="D64" i="24"/>
  <c r="F64" i="24"/>
  <c r="E64" i="24"/>
  <c r="E24" i="24"/>
  <c r="C87" i="24"/>
  <c r="F60" i="24"/>
  <c r="E16" i="24"/>
  <c r="C15" i="24"/>
  <c r="F15" i="24"/>
  <c r="E15" i="24"/>
  <c r="C90" i="24"/>
  <c r="E90" i="24"/>
  <c r="D90" i="24"/>
  <c r="F90" i="24"/>
  <c r="F74" i="24"/>
  <c r="D74" i="24"/>
  <c r="C74" i="24"/>
  <c r="E74" i="24"/>
  <c r="C31" i="24"/>
  <c r="F31" i="24"/>
  <c r="E31" i="24"/>
  <c r="E19" i="24"/>
  <c r="F19" i="24"/>
  <c r="C19" i="24"/>
  <c r="F82" i="24"/>
  <c r="D82" i="24"/>
  <c r="E82" i="24"/>
  <c r="C82" i="24"/>
  <c r="C66" i="24"/>
  <c r="D66" i="24"/>
  <c r="E66" i="24"/>
  <c r="F66" i="24"/>
  <c r="E27" i="24"/>
  <c r="F27" i="24"/>
  <c r="C27" i="24"/>
  <c r="C23" i="24"/>
  <c r="F23" i="24"/>
  <c r="E23" i="24"/>
  <c r="F11" i="24"/>
  <c r="C11" i="24"/>
  <c r="C94" i="24"/>
  <c r="D94" i="24"/>
  <c r="E94" i="24"/>
  <c r="F94" i="24"/>
  <c r="C86" i="24"/>
  <c r="F86" i="24"/>
  <c r="D86" i="24"/>
  <c r="E86" i="24"/>
  <c r="F78" i="24"/>
  <c r="C78" i="24"/>
  <c r="D78" i="24"/>
  <c r="E78" i="24"/>
  <c r="C70" i="24"/>
  <c r="D70" i="24"/>
  <c r="E70" i="24"/>
  <c r="F70" i="24"/>
  <c r="C62" i="24"/>
  <c r="F62" i="24"/>
  <c r="D62" i="24"/>
  <c r="E62" i="24"/>
  <c r="C29" i="24"/>
  <c r="E29" i="24"/>
  <c r="F29" i="24"/>
  <c r="E25" i="24"/>
  <c r="C25" i="24"/>
  <c r="F25" i="24"/>
  <c r="C21" i="24"/>
  <c r="E21" i="24"/>
  <c r="F21" i="24"/>
  <c r="E17" i="24"/>
  <c r="F17" i="24"/>
  <c r="C17" i="24"/>
  <c r="F13" i="24"/>
  <c r="C13" i="24"/>
  <c r="C9" i="24"/>
  <c r="F9" i="24"/>
  <c r="D61" i="24"/>
  <c r="F61" i="24"/>
  <c r="C61" i="24"/>
  <c r="D92" i="24"/>
  <c r="E92" i="24"/>
  <c r="C92" i="24"/>
  <c r="F92" i="24"/>
  <c r="C84" i="24"/>
  <c r="F84" i="24"/>
  <c r="D84" i="24"/>
  <c r="E84" i="24"/>
  <c r="F76" i="24"/>
  <c r="D76" i="24"/>
  <c r="E76" i="24"/>
  <c r="C76" i="24"/>
  <c r="C68" i="24"/>
  <c r="D68" i="24"/>
  <c r="E68" i="24"/>
  <c r="F68" i="24"/>
  <c r="C20" i="24"/>
  <c r="C81" i="24"/>
  <c r="C60" i="24"/>
  <c r="E30" i="24"/>
  <c r="E22" i="24"/>
  <c r="E14" i="24"/>
  <c r="C71" i="24"/>
  <c r="C97" i="24"/>
  <c r="C93" i="24"/>
  <c r="C89" i="24"/>
  <c r="C26" i="24"/>
  <c r="C10" i="24"/>
  <c r="C28" i="24"/>
  <c r="C63" i="24"/>
  <c r="C24" i="24"/>
  <c r="C67" i="24"/>
  <c r="E28" i="24"/>
  <c r="E20" i="24"/>
  <c r="C12" i="24"/>
  <c r="C91" i="24"/>
  <c r="C79" i="24"/>
  <c r="C65" i="24"/>
  <c r="C73" i="24"/>
  <c r="F97" i="24"/>
  <c r="F95" i="24"/>
  <c r="F93" i="24"/>
  <c r="F91" i="24"/>
  <c r="F89" i="24"/>
  <c r="F87" i="24"/>
  <c r="F85" i="24"/>
  <c r="F83" i="24"/>
  <c r="F81" i="24"/>
  <c r="F79" i="24"/>
  <c r="F77" i="24"/>
  <c r="F75" i="24"/>
  <c r="F73" i="24"/>
  <c r="F71" i="24"/>
  <c r="F69" i="24"/>
  <c r="F67" i="24"/>
  <c r="F65" i="24"/>
  <c r="F63" i="24"/>
  <c r="C18" i="24"/>
  <c r="C95" i="24"/>
  <c r="C22" i="24"/>
  <c r="C75" i="24"/>
  <c r="E97" i="24"/>
  <c r="E95" i="24"/>
  <c r="E93" i="24"/>
  <c r="E91" i="24"/>
  <c r="E89" i="24"/>
  <c r="E87" i="24"/>
  <c r="E85" i="24"/>
  <c r="E83" i="24"/>
  <c r="E81" i="24"/>
  <c r="E79" i="24"/>
  <c r="E77" i="24"/>
  <c r="E75" i="24"/>
  <c r="E73" i="24"/>
  <c r="E71" i="24"/>
  <c r="E69" i="24"/>
  <c r="E67" i="24"/>
  <c r="E65" i="24"/>
  <c r="E63" i="24"/>
  <c r="E26" i="24"/>
  <c r="E18" i="24"/>
  <c r="C30" i="24"/>
  <c r="C69" i="24"/>
  <c r="C77" i="24"/>
  <c r="C83" i="24"/>
  <c r="C14" i="24"/>
  <c r="C85" i="24"/>
  <c r="E121" i="19"/>
  <c r="C21" i="20"/>
  <c r="D21" i="20"/>
  <c r="E21" i="20"/>
  <c r="F21" i="20"/>
  <c r="C21" i="28"/>
  <c r="E21" i="28"/>
  <c r="D21" i="28"/>
  <c r="C21" i="19"/>
  <c r="E21" i="19"/>
  <c r="D21" i="19"/>
  <c r="C20" i="20"/>
  <c r="F20" i="20"/>
  <c r="D20" i="20"/>
  <c r="E20" i="20"/>
  <c r="C29" i="19"/>
  <c r="E29" i="19"/>
  <c r="D29" i="19"/>
  <c r="C21" i="23"/>
  <c r="AB62" i="30" s="1"/>
  <c r="E21" i="23"/>
  <c r="D21" i="23"/>
  <c r="AD62" i="30" s="1"/>
  <c r="C20" i="18"/>
  <c r="D20" i="18"/>
  <c r="E20" i="18"/>
  <c r="C26" i="20"/>
  <c r="H26" i="20"/>
  <c r="E26" i="20"/>
  <c r="F26" i="20"/>
  <c r="D26" i="20"/>
  <c r="G26" i="20"/>
  <c r="C25" i="21"/>
  <c r="E25" i="21"/>
  <c r="D25" i="21"/>
  <c r="R61" i="30"/>
  <c r="T61" i="30"/>
  <c r="AB61" i="30"/>
  <c r="AD61" i="30"/>
  <c r="C27" i="19"/>
  <c r="E27" i="19"/>
  <c r="D27" i="19"/>
  <c r="C22" i="17"/>
  <c r="E22" i="17"/>
  <c r="D22" i="17"/>
  <c r="C28" i="20"/>
  <c r="H28" i="20"/>
  <c r="G28" i="20"/>
  <c r="E28" i="20"/>
  <c r="F28" i="20"/>
  <c r="D28" i="20"/>
  <c r="C21" i="21"/>
  <c r="D21" i="21"/>
  <c r="E21" i="21"/>
  <c r="C30" i="17"/>
  <c r="E30" i="17"/>
  <c r="D30" i="17"/>
  <c r="C21" i="17"/>
  <c r="E21" i="17"/>
  <c r="D21" i="17"/>
  <c r="C29" i="28"/>
  <c r="E29" i="28"/>
  <c r="D29" i="28"/>
  <c r="C29" i="21"/>
  <c r="E29" i="21"/>
  <c r="D29" i="21"/>
  <c r="C27" i="28"/>
  <c r="D27" i="28"/>
  <c r="E27" i="28"/>
  <c r="C29" i="17"/>
  <c r="E29" i="17"/>
  <c r="D29" i="17"/>
  <c r="C25" i="17"/>
  <c r="E25" i="17"/>
  <c r="D25" i="17"/>
  <c r="C20" i="19"/>
  <c r="E20" i="19"/>
  <c r="D20" i="19"/>
  <c r="C24" i="20"/>
  <c r="G24" i="20"/>
  <c r="F24" i="20"/>
  <c r="E24" i="20"/>
  <c r="H24" i="20"/>
  <c r="D24" i="20"/>
  <c r="C26" i="28"/>
  <c r="E26" i="28"/>
  <c r="D26" i="28"/>
  <c r="AB64" i="30"/>
  <c r="AD64" i="30"/>
  <c r="C28" i="17"/>
  <c r="E28" i="17"/>
  <c r="D28" i="17"/>
  <c r="C27" i="21"/>
  <c r="D27" i="21"/>
  <c r="E27" i="21"/>
  <c r="C26" i="21"/>
  <c r="E26" i="21"/>
  <c r="D26" i="21"/>
  <c r="C28" i="19"/>
  <c r="E28" i="19"/>
  <c r="D28" i="19"/>
  <c r="C25" i="28"/>
  <c r="E25" i="28"/>
  <c r="D25" i="28"/>
  <c r="R63" i="30"/>
  <c r="T63" i="30"/>
  <c r="C22" i="19"/>
  <c r="E22" i="19"/>
  <c r="D22" i="19"/>
  <c r="E31" i="20"/>
  <c r="E22" i="21"/>
  <c r="E22" i="28"/>
  <c r="D31" i="20"/>
  <c r="D27" i="20"/>
  <c r="D23" i="20"/>
  <c r="G27" i="20"/>
  <c r="E29" i="20"/>
  <c r="D31" i="21"/>
  <c r="E28" i="21"/>
  <c r="D23" i="21"/>
  <c r="E20" i="21"/>
  <c r="D31" i="28"/>
  <c r="E28" i="28"/>
  <c r="D23" i="28"/>
  <c r="E20" i="28"/>
  <c r="T65" i="30"/>
  <c r="E21" i="6"/>
  <c r="E31" i="19"/>
  <c r="D26" i="19"/>
  <c r="E23" i="19"/>
  <c r="D27" i="17"/>
  <c r="E24" i="17"/>
  <c r="H31" i="20"/>
  <c r="H23" i="20"/>
  <c r="F31" i="20"/>
  <c r="F27" i="20"/>
  <c r="F23" i="20"/>
  <c r="H30" i="20"/>
  <c r="F29" i="18"/>
  <c r="D24" i="19"/>
  <c r="H29" i="20"/>
  <c r="D30" i="20"/>
  <c r="D22" i="20"/>
  <c r="E27" i="20"/>
  <c r="F30" i="20"/>
  <c r="F22" i="20"/>
  <c r="D24" i="21"/>
  <c r="D24" i="28"/>
  <c r="E24" i="19"/>
  <c r="D29" i="20"/>
  <c r="D25" i="20"/>
  <c r="G31" i="20"/>
  <c r="G23" i="20"/>
  <c r="E25" i="20"/>
  <c r="E24" i="21"/>
  <c r="E24" i="28"/>
  <c r="D30" i="19"/>
  <c r="D31" i="17"/>
  <c r="D23" i="17"/>
  <c r="H27" i="20"/>
  <c r="F22" i="18"/>
  <c r="E30" i="19"/>
  <c r="D25" i="19"/>
  <c r="E31" i="17"/>
  <c r="D26" i="17"/>
  <c r="E23" i="17"/>
  <c r="F30" i="18"/>
  <c r="F163" i="19"/>
  <c r="F160" i="17"/>
  <c r="D9" i="30"/>
  <c r="H10" i="30" s="1"/>
  <c r="L10" i="30" s="1"/>
  <c r="P10" i="30" s="1"/>
  <c r="M16" i="30" s="1"/>
  <c r="C13" i="20"/>
  <c r="F158" i="17"/>
  <c r="E116" i="17"/>
  <c r="E51" i="32" l="1"/>
  <c r="D51" i="32"/>
  <c r="C51" i="32"/>
  <c r="F51" i="32"/>
  <c r="F28" i="21"/>
  <c r="O111" i="20"/>
  <c r="AW28" i="30"/>
  <c r="O123" i="20"/>
  <c r="AW40" i="30"/>
  <c r="AW30" i="30"/>
  <c r="G71" i="6"/>
  <c r="C13" i="28"/>
  <c r="AD9" i="30"/>
  <c r="AD65" i="30"/>
  <c r="Z14" i="4"/>
  <c r="O114" i="20" s="1"/>
  <c r="I14" i="4"/>
  <c r="Z38" i="4"/>
  <c r="F156" i="20" s="1"/>
  <c r="H156" i="20" s="1"/>
  <c r="Z13" i="4"/>
  <c r="I13" i="4"/>
  <c r="F112" i="17" s="1"/>
  <c r="Z39" i="4"/>
  <c r="Z36" i="4"/>
  <c r="F152" i="21" s="1"/>
  <c r="R152" i="21" s="1"/>
  <c r="R149" i="21" s="1"/>
  <c r="F24" i="17"/>
  <c r="F22" i="28"/>
  <c r="G21" i="20"/>
  <c r="G22" i="20"/>
  <c r="F21" i="6"/>
  <c r="F20" i="28"/>
  <c r="G55" i="6"/>
  <c r="L146" i="19"/>
  <c r="F22" i="21"/>
  <c r="F23" i="19"/>
  <c r="F28" i="28"/>
  <c r="F20" i="21"/>
  <c r="L138" i="19"/>
  <c r="L127" i="21"/>
  <c r="L146" i="28"/>
  <c r="L132" i="28"/>
  <c r="L122" i="19"/>
  <c r="L129" i="17"/>
  <c r="L143" i="23"/>
  <c r="L141" i="23"/>
  <c r="L118" i="28"/>
  <c r="L124" i="28"/>
  <c r="F30" i="28"/>
  <c r="G93" i="23"/>
  <c r="L140" i="28"/>
  <c r="L132" i="17"/>
  <c r="L116" i="28"/>
  <c r="L142" i="18"/>
  <c r="L146" i="23"/>
  <c r="L144" i="17"/>
  <c r="L126" i="19"/>
  <c r="L138" i="6"/>
  <c r="L128" i="19"/>
  <c r="L125" i="6"/>
  <c r="L129" i="18"/>
  <c r="L117" i="21"/>
  <c r="L121" i="19"/>
  <c r="L137" i="17"/>
  <c r="L122" i="28"/>
  <c r="L138" i="20"/>
  <c r="L128" i="18"/>
  <c r="L147" i="18"/>
  <c r="L128" i="6"/>
  <c r="L124" i="19"/>
  <c r="L140" i="19"/>
  <c r="L122" i="18"/>
  <c r="L118" i="17"/>
  <c r="L126" i="28"/>
  <c r="L128" i="17"/>
  <c r="L144" i="19"/>
  <c r="L112" i="21"/>
  <c r="L141" i="28"/>
  <c r="L147" i="23"/>
  <c r="L131" i="21"/>
  <c r="L125" i="28"/>
  <c r="L134" i="19"/>
  <c r="L144" i="20"/>
  <c r="L134" i="17"/>
  <c r="L127" i="18"/>
  <c r="L130" i="28"/>
  <c r="L121" i="21"/>
  <c r="L139" i="23"/>
  <c r="L132" i="21"/>
  <c r="L130" i="19"/>
  <c r="L135" i="17"/>
  <c r="L135" i="20"/>
  <c r="L147" i="20"/>
  <c r="L143" i="21"/>
  <c r="L140" i="6"/>
  <c r="L119" i="28"/>
  <c r="L144" i="23"/>
  <c r="L132" i="19"/>
  <c r="L143" i="28"/>
  <c r="L121" i="17"/>
  <c r="L145" i="17"/>
  <c r="L121" i="28"/>
  <c r="L116" i="21"/>
  <c r="L143" i="18"/>
  <c r="L118" i="18"/>
  <c r="L145" i="28"/>
  <c r="L133" i="28"/>
  <c r="L124" i="17"/>
  <c r="L135" i="23"/>
  <c r="L131" i="17"/>
  <c r="L140" i="18"/>
  <c r="L136" i="21"/>
  <c r="L130" i="18"/>
  <c r="L133" i="19"/>
  <c r="L131" i="20"/>
  <c r="L144" i="18"/>
  <c r="L133" i="23"/>
  <c r="L127" i="17"/>
  <c r="L128" i="28"/>
  <c r="L133" i="6"/>
  <c r="L113" i="21"/>
  <c r="L142" i="23"/>
  <c r="L122" i="6"/>
  <c r="L119" i="17"/>
  <c r="L142" i="28"/>
  <c r="L120" i="17"/>
  <c r="L145" i="23"/>
  <c r="L147" i="21"/>
  <c r="L138" i="17"/>
  <c r="L141" i="20"/>
  <c r="L140" i="20"/>
  <c r="L138" i="18"/>
  <c r="L123" i="17"/>
  <c r="L141" i="17"/>
  <c r="L133" i="17"/>
  <c r="L146" i="18"/>
  <c r="L125" i="17"/>
  <c r="L136" i="17"/>
  <c r="L132" i="20"/>
  <c r="L135" i="28"/>
  <c r="L137" i="21"/>
  <c r="L132" i="18"/>
  <c r="L134" i="28"/>
  <c r="L111" i="21"/>
  <c r="L136" i="20"/>
  <c r="L111" i="28"/>
  <c r="L117" i="28"/>
  <c r="L138" i="28"/>
  <c r="L120" i="18"/>
  <c r="L137" i="28"/>
  <c r="L137" i="20"/>
  <c r="L133" i="21"/>
  <c r="L119" i="18"/>
  <c r="L135" i="18"/>
  <c r="L118" i="21"/>
  <c r="L131" i="19"/>
  <c r="L147" i="6"/>
  <c r="L110" i="28"/>
  <c r="L138" i="23"/>
  <c r="L133" i="18"/>
  <c r="L134" i="6"/>
  <c r="L128" i="21"/>
  <c r="L146" i="17"/>
  <c r="L145" i="18"/>
  <c r="L123" i="6"/>
  <c r="L142" i="21"/>
  <c r="L140" i="17"/>
  <c r="L130" i="20"/>
  <c r="L143" i="20"/>
  <c r="L136" i="28"/>
  <c r="L139" i="21"/>
  <c r="L114" i="21"/>
  <c r="L146" i="21"/>
  <c r="L123" i="28"/>
  <c r="L130" i="17"/>
  <c r="L124" i="18"/>
  <c r="L144" i="28"/>
  <c r="L135" i="6"/>
  <c r="L139" i="17"/>
  <c r="L116" i="17"/>
  <c r="L142" i="19"/>
  <c r="L125" i="18"/>
  <c r="L142" i="20"/>
  <c r="L123" i="18"/>
  <c r="L137" i="18"/>
  <c r="L132" i="6"/>
  <c r="L137" i="6"/>
  <c r="L122" i="21"/>
  <c r="L139" i="6"/>
  <c r="L122" i="17"/>
  <c r="L129" i="21"/>
  <c r="L145" i="20"/>
  <c r="L120" i="28"/>
  <c r="L132" i="23"/>
  <c r="L133" i="20"/>
  <c r="L142" i="17"/>
  <c r="L145" i="6"/>
  <c r="L141" i="19"/>
  <c r="L147" i="17"/>
  <c r="L130" i="6"/>
  <c r="L113" i="28"/>
  <c r="L126" i="17"/>
  <c r="L137" i="23"/>
  <c r="L126" i="20"/>
  <c r="L115" i="21"/>
  <c r="L127" i="19"/>
  <c r="L143" i="19"/>
  <c r="L127" i="28"/>
  <c r="L139" i="19"/>
  <c r="L144" i="6"/>
  <c r="L144" i="21"/>
  <c r="L117" i="18"/>
  <c r="L135" i="19"/>
  <c r="L136" i="23"/>
  <c r="L121" i="6"/>
  <c r="L134" i="21"/>
  <c r="L135" i="21"/>
  <c r="L134" i="18"/>
  <c r="L129" i="20"/>
  <c r="L127" i="6"/>
  <c r="L143" i="6"/>
  <c r="L147" i="28"/>
  <c r="L131" i="18"/>
  <c r="L123" i="19"/>
  <c r="L136" i="6"/>
  <c r="L126" i="21"/>
  <c r="L139" i="28"/>
  <c r="L134" i="20"/>
  <c r="L127" i="20"/>
  <c r="L139" i="20"/>
  <c r="L125" i="19"/>
  <c r="L121" i="18"/>
  <c r="L124" i="6"/>
  <c r="L119" i="21"/>
  <c r="L129" i="19"/>
  <c r="L145" i="19"/>
  <c r="L123" i="21"/>
  <c r="L129" i="6"/>
  <c r="L141" i="6"/>
  <c r="L145" i="21"/>
  <c r="L136" i="19"/>
  <c r="L143" i="17"/>
  <c r="L142" i="6"/>
  <c r="L130" i="21"/>
  <c r="L138" i="21"/>
  <c r="L131" i="6"/>
  <c r="L115" i="28"/>
  <c r="L146" i="20"/>
  <c r="L117" i="17"/>
  <c r="L112" i="28"/>
  <c r="L141" i="21"/>
  <c r="L129" i="28"/>
  <c r="L120" i="21"/>
  <c r="L136" i="18"/>
  <c r="L140" i="21"/>
  <c r="L126" i="6"/>
  <c r="L137" i="19"/>
  <c r="L114" i="28"/>
  <c r="L141" i="18"/>
  <c r="L140" i="23"/>
  <c r="L139" i="18"/>
  <c r="L126" i="18"/>
  <c r="L124" i="21"/>
  <c r="L128" i="20"/>
  <c r="L147" i="19"/>
  <c r="L134" i="23"/>
  <c r="L146" i="6"/>
  <c r="L125" i="21"/>
  <c r="L131" i="28"/>
  <c r="F23" i="21"/>
  <c r="F27" i="17"/>
  <c r="V154" i="17"/>
  <c r="K168" i="23"/>
  <c r="U161" i="23"/>
  <c r="J161" i="23"/>
  <c r="G54" i="23"/>
  <c r="E7" i="9"/>
  <c r="T154" i="6"/>
  <c r="S154" i="6"/>
  <c r="P154" i="6"/>
  <c r="U154" i="6"/>
  <c r="K154" i="6"/>
  <c r="S161" i="23"/>
  <c r="V161" i="23"/>
  <c r="N161" i="23"/>
  <c r="P161" i="23"/>
  <c r="K161" i="23"/>
  <c r="T161" i="20"/>
  <c r="S157" i="20"/>
  <c r="P154" i="17"/>
  <c r="N154" i="17"/>
  <c r="N154" i="6"/>
  <c r="J154" i="17"/>
  <c r="O154" i="6"/>
  <c r="K157" i="20"/>
  <c r="L154" i="6"/>
  <c r="Q168" i="23"/>
  <c r="V154" i="6"/>
  <c r="J154" i="6"/>
  <c r="L168" i="23"/>
  <c r="Q154" i="6"/>
  <c r="O161" i="20"/>
  <c r="Q161" i="20"/>
  <c r="N161" i="20"/>
  <c r="S161" i="20"/>
  <c r="L161" i="20"/>
  <c r="U161" i="20"/>
  <c r="K161" i="20"/>
  <c r="P161" i="20"/>
  <c r="J161" i="20"/>
  <c r="V161" i="20"/>
  <c r="G61" i="23"/>
  <c r="G62" i="23"/>
  <c r="G57" i="6"/>
  <c r="G60" i="23"/>
  <c r="G10" i="4"/>
  <c r="Z10" i="4" s="1"/>
  <c r="O110" i="17" s="1"/>
  <c r="G66" i="23"/>
  <c r="G99" i="23"/>
  <c r="G56" i="23"/>
  <c r="G58" i="23"/>
  <c r="G55" i="18"/>
  <c r="I168" i="23"/>
  <c r="K154" i="17"/>
  <c r="T154" i="17"/>
  <c r="O168" i="23"/>
  <c r="U154" i="17"/>
  <c r="O116" i="18"/>
  <c r="O111" i="17"/>
  <c r="E111" i="20"/>
  <c r="F153" i="17"/>
  <c r="M153" i="17" s="1"/>
  <c r="F153" i="20"/>
  <c r="H153" i="20" s="1"/>
  <c r="E111" i="17"/>
  <c r="G62" i="19"/>
  <c r="G73" i="17"/>
  <c r="G93" i="18"/>
  <c r="G62" i="28"/>
  <c r="G99" i="18"/>
  <c r="G74" i="23"/>
  <c r="G72" i="28"/>
  <c r="G92" i="20"/>
  <c r="G103" i="18"/>
  <c r="G55" i="21"/>
  <c r="G100" i="28"/>
  <c r="G88" i="18"/>
  <c r="G94" i="28"/>
  <c r="G89" i="18"/>
  <c r="G100" i="6"/>
  <c r="G96" i="23"/>
  <c r="G96" i="28"/>
  <c r="G73" i="6"/>
  <c r="G89" i="23"/>
  <c r="G74" i="21"/>
  <c r="G66" i="28"/>
  <c r="G69" i="28"/>
  <c r="G67" i="28"/>
  <c r="F31" i="21"/>
  <c r="F158" i="18"/>
  <c r="H158" i="18" s="1"/>
  <c r="G73" i="23"/>
  <c r="G64" i="6"/>
  <c r="G68" i="18"/>
  <c r="G72" i="18"/>
  <c r="G64" i="18"/>
  <c r="G53" i="6"/>
  <c r="G63" i="28"/>
  <c r="G97" i="28"/>
  <c r="G98" i="28"/>
  <c r="G70" i="21"/>
  <c r="G65" i="21"/>
  <c r="G88" i="23"/>
  <c r="G103" i="6"/>
  <c r="G87" i="20"/>
  <c r="G57" i="21"/>
  <c r="G98" i="19"/>
  <c r="G90" i="6"/>
  <c r="G68" i="28"/>
  <c r="G73" i="28"/>
  <c r="G88" i="6"/>
  <c r="G83" i="28"/>
  <c r="G95" i="17"/>
  <c r="G60" i="6"/>
  <c r="G86" i="6"/>
  <c r="G102" i="6"/>
  <c r="G59" i="6"/>
  <c r="G54" i="6"/>
  <c r="G55" i="23"/>
  <c r="G103" i="19"/>
  <c r="G53" i="23"/>
  <c r="G53" i="28"/>
  <c r="G74" i="6"/>
  <c r="G71" i="18"/>
  <c r="V159" i="19"/>
  <c r="G57" i="23"/>
  <c r="G70" i="6"/>
  <c r="G71" i="23"/>
  <c r="G62" i="20"/>
  <c r="G99" i="28"/>
  <c r="S159" i="19"/>
  <c r="S171" i="23"/>
  <c r="K159" i="19"/>
  <c r="I159" i="19"/>
  <c r="G57" i="28"/>
  <c r="G59" i="23"/>
  <c r="G91" i="19"/>
  <c r="G101" i="28"/>
  <c r="G56" i="6"/>
  <c r="G69" i="23"/>
  <c r="G64" i="21"/>
  <c r="G102" i="20"/>
  <c r="G65" i="28"/>
  <c r="G55" i="28"/>
  <c r="G67" i="23"/>
  <c r="G65" i="23"/>
  <c r="G61" i="18"/>
  <c r="G70" i="18"/>
  <c r="G85" i="6"/>
  <c r="G53" i="19"/>
  <c r="G63" i="19"/>
  <c r="G58" i="6"/>
  <c r="G53" i="17"/>
  <c r="G67" i="18"/>
  <c r="G70" i="28"/>
  <c r="G54" i="21"/>
  <c r="G58" i="21"/>
  <c r="G56" i="28"/>
  <c r="G88" i="17"/>
  <c r="G58" i="28"/>
  <c r="G102" i="18"/>
  <c r="G85" i="23"/>
  <c r="G85" i="17"/>
  <c r="G86" i="23"/>
  <c r="G92" i="6"/>
  <c r="G85" i="20"/>
  <c r="G94" i="18"/>
  <c r="G87" i="23"/>
  <c r="G96" i="6"/>
  <c r="G86" i="18"/>
  <c r="G103" i="23"/>
  <c r="G95" i="20"/>
  <c r="G87" i="18"/>
  <c r="G88" i="20"/>
  <c r="G99" i="6"/>
  <c r="G95" i="23"/>
  <c r="G95" i="28"/>
  <c r="G68" i="21"/>
  <c r="G89" i="19"/>
  <c r="G92" i="28"/>
  <c r="G69" i="17"/>
  <c r="G56" i="18"/>
  <c r="G74" i="19"/>
  <c r="G59" i="19"/>
  <c r="G61" i="17"/>
  <c r="G74" i="18"/>
  <c r="G71" i="19"/>
  <c r="G66" i="19"/>
  <c r="G59" i="28"/>
  <c r="G53" i="21"/>
  <c r="G61" i="20"/>
  <c r="G91" i="18"/>
  <c r="G61" i="28"/>
  <c r="G70" i="23"/>
  <c r="G96" i="19"/>
  <c r="G65" i="6"/>
  <c r="G102" i="17"/>
  <c r="G100" i="19"/>
  <c r="G101" i="23"/>
  <c r="G101" i="20"/>
  <c r="G92" i="19"/>
  <c r="G87" i="6"/>
  <c r="G100" i="23"/>
  <c r="G63" i="23"/>
  <c r="G60" i="18"/>
  <c r="G64" i="19"/>
  <c r="G71" i="17"/>
  <c r="G65" i="19"/>
  <c r="G67" i="19"/>
  <c r="G71" i="28"/>
  <c r="G60" i="20"/>
  <c r="G66" i="21"/>
  <c r="G61" i="6"/>
  <c r="G69" i="20"/>
  <c r="G86" i="19"/>
  <c r="G69" i="6"/>
  <c r="G90" i="17"/>
  <c r="G91" i="23"/>
  <c r="G59" i="20"/>
  <c r="G65" i="20"/>
  <c r="G100" i="20"/>
  <c r="G86" i="20"/>
  <c r="G72" i="21"/>
  <c r="G97" i="18"/>
  <c r="G102" i="28"/>
  <c r="G91" i="17"/>
  <c r="G98" i="20"/>
  <c r="G85" i="28"/>
  <c r="G98" i="23"/>
  <c r="G95" i="6"/>
  <c r="G73" i="21"/>
  <c r="G57" i="18"/>
  <c r="G69" i="21"/>
  <c r="G68" i="20"/>
  <c r="G58" i="19"/>
  <c r="G57" i="17"/>
  <c r="G64" i="23"/>
  <c r="G62" i="18"/>
  <c r="G70" i="19"/>
  <c r="G62" i="17"/>
  <c r="G68" i="6"/>
  <c r="G72" i="19"/>
  <c r="G68" i="23"/>
  <c r="G66" i="20"/>
  <c r="G60" i="28"/>
  <c r="G60" i="21"/>
  <c r="G102" i="19"/>
  <c r="G74" i="20"/>
  <c r="G85" i="18"/>
  <c r="G64" i="20"/>
  <c r="G62" i="21"/>
  <c r="G63" i="21"/>
  <c r="G84" i="28"/>
  <c r="G99" i="17"/>
  <c r="G97" i="19"/>
  <c r="G88" i="28"/>
  <c r="G91" i="20"/>
  <c r="G59" i="17"/>
  <c r="G103" i="17"/>
  <c r="G101" i="6"/>
  <c r="G101" i="19"/>
  <c r="G71" i="21"/>
  <c r="G63" i="18"/>
  <c r="G87" i="17"/>
  <c r="G56" i="17"/>
  <c r="G65" i="18"/>
  <c r="G56" i="19"/>
  <c r="G57" i="19"/>
  <c r="G68" i="19"/>
  <c r="G65" i="17"/>
  <c r="G63" i="17"/>
  <c r="G98" i="17"/>
  <c r="G56" i="20"/>
  <c r="G63" i="6"/>
  <c r="G61" i="21"/>
  <c r="G58" i="20"/>
  <c r="G86" i="17"/>
  <c r="G64" i="28"/>
  <c r="G94" i="17"/>
  <c r="G93" i="20"/>
  <c r="G102" i="23"/>
  <c r="G91" i="28"/>
  <c r="G94" i="20"/>
  <c r="G95" i="18"/>
  <c r="G96" i="18"/>
  <c r="G98" i="6"/>
  <c r="G86" i="28"/>
  <c r="G89" i="20"/>
  <c r="G100" i="17"/>
  <c r="G89" i="6"/>
  <c r="G99" i="19"/>
  <c r="G95" i="19"/>
  <c r="G97" i="17"/>
  <c r="G58" i="17"/>
  <c r="G60" i="17"/>
  <c r="G69" i="18"/>
  <c r="G74" i="17"/>
  <c r="G72" i="6"/>
  <c r="G55" i="17"/>
  <c r="G69" i="19"/>
  <c r="G55" i="19"/>
  <c r="G66" i="18"/>
  <c r="G60" i="19"/>
  <c r="G61" i="19"/>
  <c r="G67" i="6"/>
  <c r="G73" i="20"/>
  <c r="G74" i="28"/>
  <c r="G96" i="17"/>
  <c r="G94" i="6"/>
  <c r="G54" i="28"/>
  <c r="G101" i="18"/>
  <c r="G72" i="20"/>
  <c r="G93" i="17"/>
  <c r="G90" i="19"/>
  <c r="G97" i="23"/>
  <c r="G89" i="28"/>
  <c r="G92" i="23"/>
  <c r="G90" i="28"/>
  <c r="G56" i="21"/>
  <c r="G97" i="6"/>
  <c r="G103" i="20"/>
  <c r="G96" i="20"/>
  <c r="G94" i="23"/>
  <c r="G103" i="28"/>
  <c r="G92" i="17"/>
  <c r="G99" i="20"/>
  <c r="G100" i="18"/>
  <c r="G92" i="18"/>
  <c r="G54" i="17"/>
  <c r="G85" i="19"/>
  <c r="G64" i="17"/>
  <c r="G73" i="18"/>
  <c r="G67" i="17"/>
  <c r="G55" i="20"/>
  <c r="G63" i="20"/>
  <c r="G93" i="28"/>
  <c r="G97" i="20"/>
  <c r="G93" i="6"/>
  <c r="G89" i="17"/>
  <c r="G87" i="19"/>
  <c r="G66" i="17"/>
  <c r="G68" i="17"/>
  <c r="G54" i="19"/>
  <c r="G62" i="6"/>
  <c r="G90" i="20"/>
  <c r="G101" i="17"/>
  <c r="G90" i="23"/>
  <c r="G54" i="18"/>
  <c r="G70" i="17"/>
  <c r="G93" i="19"/>
  <c r="G72" i="17"/>
  <c r="G67" i="21"/>
  <c r="G73" i="19"/>
  <c r="G67" i="20"/>
  <c r="G58" i="18"/>
  <c r="G88" i="19"/>
  <c r="G70" i="20"/>
  <c r="G57" i="20"/>
  <c r="G72" i="23"/>
  <c r="G71" i="20"/>
  <c r="G94" i="19"/>
  <c r="G59" i="21"/>
  <c r="G66" i="6"/>
  <c r="G91" i="6"/>
  <c r="G87" i="28"/>
  <c r="G90" i="18"/>
  <c r="G98" i="18"/>
  <c r="G59" i="18"/>
  <c r="G53" i="18"/>
  <c r="F23" i="28"/>
  <c r="S167" i="23"/>
  <c r="T167" i="23"/>
  <c r="G101" i="21"/>
  <c r="G86" i="21"/>
  <c r="F26" i="19"/>
  <c r="U163" i="23"/>
  <c r="F31" i="28"/>
  <c r="J163" i="23"/>
  <c r="N163" i="23"/>
  <c r="J137" i="17"/>
  <c r="H137" i="17"/>
  <c r="H131" i="21"/>
  <c r="J131" i="21"/>
  <c r="H116" i="17"/>
  <c r="J116" i="17"/>
  <c r="H135" i="17"/>
  <c r="J135" i="17"/>
  <c r="J114" i="28"/>
  <c r="H114" i="28"/>
  <c r="J134" i="28"/>
  <c r="H134" i="28"/>
  <c r="J135" i="23"/>
  <c r="H135" i="23"/>
  <c r="J143" i="23"/>
  <c r="H143" i="23"/>
  <c r="J119" i="18"/>
  <c r="H119" i="18"/>
  <c r="J135" i="18"/>
  <c r="H135" i="18"/>
  <c r="J134" i="20"/>
  <c r="H134" i="20"/>
  <c r="J117" i="17"/>
  <c r="H117" i="17"/>
  <c r="J122" i="19"/>
  <c r="H122" i="19"/>
  <c r="J138" i="19"/>
  <c r="H138" i="19"/>
  <c r="J135" i="28"/>
  <c r="H135" i="28"/>
  <c r="J121" i="21"/>
  <c r="H121" i="21"/>
  <c r="H132" i="23"/>
  <c r="J132" i="23"/>
  <c r="J116" i="21"/>
  <c r="H116" i="21"/>
  <c r="H139" i="18"/>
  <c r="J139" i="18"/>
  <c r="H136" i="17"/>
  <c r="J136" i="17"/>
  <c r="J121" i="18"/>
  <c r="H121" i="18"/>
  <c r="J139" i="19"/>
  <c r="H139" i="19"/>
  <c r="J136" i="6"/>
  <c r="H136" i="6"/>
  <c r="J140" i="20"/>
  <c r="H140" i="20"/>
  <c r="J144" i="21"/>
  <c r="H144" i="21"/>
  <c r="H127" i="17"/>
  <c r="J127" i="17"/>
  <c r="H128" i="28"/>
  <c r="J128" i="28"/>
  <c r="J142" i="17"/>
  <c r="H142" i="17"/>
  <c r="H122" i="18"/>
  <c r="J122" i="18"/>
  <c r="H145" i="6"/>
  <c r="J145" i="6"/>
  <c r="J147" i="19"/>
  <c r="H147" i="19"/>
  <c r="J126" i="6"/>
  <c r="H126" i="6"/>
  <c r="H133" i="21"/>
  <c r="J133" i="21"/>
  <c r="J147" i="28"/>
  <c r="H147" i="28"/>
  <c r="H139" i="23"/>
  <c r="J139" i="23"/>
  <c r="J143" i="28"/>
  <c r="H143" i="28"/>
  <c r="J116" i="28"/>
  <c r="H116" i="28"/>
  <c r="J138" i="28"/>
  <c r="H138" i="28"/>
  <c r="J122" i="17"/>
  <c r="H122" i="17"/>
  <c r="H120" i="17"/>
  <c r="J120" i="17"/>
  <c r="J137" i="23"/>
  <c r="H137" i="23"/>
  <c r="J145" i="23"/>
  <c r="H145" i="23"/>
  <c r="J142" i="20"/>
  <c r="H142" i="20"/>
  <c r="J141" i="18"/>
  <c r="H141" i="18"/>
  <c r="J137" i="21"/>
  <c r="H137" i="21"/>
  <c r="H125" i="17"/>
  <c r="J125" i="17"/>
  <c r="J144" i="19"/>
  <c r="H144" i="19"/>
  <c r="J131" i="20"/>
  <c r="H131" i="20"/>
  <c r="J127" i="21"/>
  <c r="H127" i="21"/>
  <c r="J137" i="18"/>
  <c r="H137" i="18"/>
  <c r="H144" i="6"/>
  <c r="J144" i="6"/>
  <c r="J137" i="20"/>
  <c r="H137" i="20"/>
  <c r="J129" i="19"/>
  <c r="H129" i="19"/>
  <c r="J145" i="19"/>
  <c r="H145" i="19"/>
  <c r="J132" i="20"/>
  <c r="H132" i="20"/>
  <c r="H123" i="21"/>
  <c r="J123" i="21"/>
  <c r="J133" i="6"/>
  <c r="H133" i="6"/>
  <c r="J141" i="19"/>
  <c r="H141" i="19"/>
  <c r="J147" i="17"/>
  <c r="H147" i="17"/>
  <c r="H129" i="18"/>
  <c r="J129" i="18"/>
  <c r="H126" i="19"/>
  <c r="J126" i="19"/>
  <c r="J134" i="23"/>
  <c r="H134" i="23"/>
  <c r="J146" i="6"/>
  <c r="H146" i="6"/>
  <c r="J125" i="21"/>
  <c r="H125" i="21"/>
  <c r="J121" i="28"/>
  <c r="H121" i="28"/>
  <c r="J141" i="28"/>
  <c r="H141" i="28"/>
  <c r="J137" i="28"/>
  <c r="H137" i="28"/>
  <c r="J121" i="19"/>
  <c r="H121" i="19"/>
  <c r="J122" i="28"/>
  <c r="H122" i="28"/>
  <c r="J118" i="28"/>
  <c r="H118" i="28"/>
  <c r="J140" i="28"/>
  <c r="H140" i="28"/>
  <c r="J132" i="19"/>
  <c r="H132" i="19"/>
  <c r="J120" i="21"/>
  <c r="H120" i="21"/>
  <c r="J140" i="23"/>
  <c r="H140" i="23"/>
  <c r="H123" i="18"/>
  <c r="J123" i="18"/>
  <c r="J128" i="19"/>
  <c r="H128" i="19"/>
  <c r="J127" i="28"/>
  <c r="H127" i="28"/>
  <c r="H134" i="19"/>
  <c r="J134" i="19"/>
  <c r="J138" i="23"/>
  <c r="H138" i="23"/>
  <c r="J124" i="6"/>
  <c r="H124" i="6"/>
  <c r="J124" i="21"/>
  <c r="H124" i="21"/>
  <c r="H132" i="18"/>
  <c r="J132" i="18"/>
  <c r="J144" i="20"/>
  <c r="H144" i="20"/>
  <c r="J117" i="18"/>
  <c r="H117" i="18"/>
  <c r="H138" i="18"/>
  <c r="J138" i="18"/>
  <c r="H135" i="19"/>
  <c r="J135" i="19"/>
  <c r="J136" i="23"/>
  <c r="H136" i="23"/>
  <c r="H121" i="6"/>
  <c r="J121" i="6"/>
  <c r="J113" i="21"/>
  <c r="H113" i="21"/>
  <c r="H144" i="28"/>
  <c r="J144" i="28"/>
  <c r="J118" i="18"/>
  <c r="H118" i="18"/>
  <c r="H145" i="18"/>
  <c r="J145" i="18"/>
  <c r="H142" i="19"/>
  <c r="J142" i="19"/>
  <c r="J138" i="6"/>
  <c r="H138" i="6"/>
  <c r="H114" i="21"/>
  <c r="J114" i="21"/>
  <c r="H146" i="21"/>
  <c r="J146" i="21"/>
  <c r="J145" i="20"/>
  <c r="H145" i="20"/>
  <c r="H117" i="21"/>
  <c r="J117" i="21"/>
  <c r="H144" i="17"/>
  <c r="J144" i="17"/>
  <c r="J136" i="18"/>
  <c r="H136" i="18"/>
  <c r="H127" i="20"/>
  <c r="J127" i="20"/>
  <c r="J139" i="20"/>
  <c r="H139" i="20"/>
  <c r="J144" i="18"/>
  <c r="H144" i="18"/>
  <c r="J121" i="17"/>
  <c r="H121" i="17"/>
  <c r="J145" i="17"/>
  <c r="H145" i="17"/>
  <c r="J126" i="18"/>
  <c r="H126" i="18"/>
  <c r="J132" i="6"/>
  <c r="H132" i="6"/>
  <c r="H136" i="28"/>
  <c r="J136" i="28"/>
  <c r="J136" i="20"/>
  <c r="H136" i="20"/>
  <c r="J129" i="6"/>
  <c r="H129" i="6"/>
  <c r="J141" i="6"/>
  <c r="H141" i="6"/>
  <c r="J134" i="21"/>
  <c r="H134" i="21"/>
  <c r="J135" i="21"/>
  <c r="H135" i="21"/>
  <c r="J123" i="17"/>
  <c r="H123" i="17"/>
  <c r="J130" i="6"/>
  <c r="H130" i="6"/>
  <c r="J123" i="6"/>
  <c r="H123" i="6"/>
  <c r="J142" i="21"/>
  <c r="H142" i="21"/>
  <c r="J115" i="28"/>
  <c r="H115" i="28"/>
  <c r="H117" i="28"/>
  <c r="J117" i="28"/>
  <c r="J113" i="28"/>
  <c r="H113" i="28"/>
  <c r="J145" i="28"/>
  <c r="H145" i="28"/>
  <c r="J139" i="17"/>
  <c r="H139" i="17"/>
  <c r="J124" i="28"/>
  <c r="H124" i="28"/>
  <c r="J146" i="28"/>
  <c r="H146" i="28"/>
  <c r="H124" i="17"/>
  <c r="J124" i="17"/>
  <c r="J129" i="17"/>
  <c r="H129" i="17"/>
  <c r="J147" i="23"/>
  <c r="H147" i="23"/>
  <c r="J131" i="17"/>
  <c r="H131" i="17"/>
  <c r="H124" i="18"/>
  <c r="J124" i="18"/>
  <c r="H140" i="18"/>
  <c r="J140" i="18"/>
  <c r="J130" i="20"/>
  <c r="H130" i="20"/>
  <c r="J120" i="18"/>
  <c r="H120" i="18"/>
  <c r="J132" i="21"/>
  <c r="H132" i="21"/>
  <c r="J142" i="18"/>
  <c r="H142" i="18"/>
  <c r="J140" i="6"/>
  <c r="H140" i="6"/>
  <c r="J119" i="28"/>
  <c r="H119" i="28"/>
  <c r="J133" i="20"/>
  <c r="H133" i="20"/>
  <c r="H128" i="20"/>
  <c r="J128" i="20"/>
  <c r="J128" i="21"/>
  <c r="H128" i="21"/>
  <c r="J134" i="17"/>
  <c r="H134" i="17"/>
  <c r="J133" i="18"/>
  <c r="H133" i="18"/>
  <c r="J130" i="19"/>
  <c r="H130" i="19"/>
  <c r="J146" i="19"/>
  <c r="H146" i="19"/>
  <c r="J145" i="21"/>
  <c r="H145" i="21"/>
  <c r="J136" i="19"/>
  <c r="H136" i="19"/>
  <c r="H143" i="17"/>
  <c r="J143" i="17"/>
  <c r="J134" i="18"/>
  <c r="H134" i="18"/>
  <c r="J142" i="23"/>
  <c r="H142" i="23"/>
  <c r="J122" i="6"/>
  <c r="H122" i="6"/>
  <c r="J135" i="6"/>
  <c r="H135" i="6"/>
  <c r="J126" i="21"/>
  <c r="H126" i="21"/>
  <c r="J147" i="6"/>
  <c r="H147" i="6"/>
  <c r="J131" i="28"/>
  <c r="H131" i="28"/>
  <c r="J126" i="17"/>
  <c r="H126" i="17"/>
  <c r="J126" i="28"/>
  <c r="H126" i="28"/>
  <c r="J141" i="23"/>
  <c r="H141" i="23"/>
  <c r="H137" i="19"/>
  <c r="J137" i="19"/>
  <c r="J138" i="20"/>
  <c r="H138" i="20"/>
  <c r="H130" i="18"/>
  <c r="J130" i="18"/>
  <c r="H132" i="17"/>
  <c r="J132" i="17"/>
  <c r="H135" i="20"/>
  <c r="J135" i="20"/>
  <c r="J147" i="20"/>
  <c r="H147" i="20"/>
  <c r="J143" i="21"/>
  <c r="H143" i="21"/>
  <c r="J146" i="23"/>
  <c r="H146" i="23"/>
  <c r="J111" i="21"/>
  <c r="H111" i="21"/>
  <c r="H139" i="21"/>
  <c r="J139" i="21"/>
  <c r="J144" i="23"/>
  <c r="H144" i="23"/>
  <c r="J129" i="20"/>
  <c r="H129" i="20"/>
  <c r="J127" i="6"/>
  <c r="H127" i="6"/>
  <c r="J143" i="6"/>
  <c r="H143" i="6"/>
  <c r="J125" i="28"/>
  <c r="H125" i="28"/>
  <c r="J133" i="28"/>
  <c r="H133" i="28"/>
  <c r="J142" i="28"/>
  <c r="H142" i="28"/>
  <c r="J130" i="17"/>
  <c r="H130" i="17"/>
  <c r="H128" i="17"/>
  <c r="J128" i="17"/>
  <c r="J141" i="17"/>
  <c r="H141" i="17"/>
  <c r="J130" i="28"/>
  <c r="H130" i="28"/>
  <c r="J133" i="17"/>
  <c r="H133" i="17"/>
  <c r="H146" i="20"/>
  <c r="J146" i="20"/>
  <c r="J136" i="21"/>
  <c r="H136" i="21"/>
  <c r="J138" i="17"/>
  <c r="H138" i="17"/>
  <c r="J127" i="19"/>
  <c r="H127" i="19"/>
  <c r="H143" i="19"/>
  <c r="J143" i="19"/>
  <c r="J128" i="18"/>
  <c r="H128" i="18"/>
  <c r="H147" i="18"/>
  <c r="J147" i="18"/>
  <c r="J125" i="19"/>
  <c r="H125" i="19"/>
  <c r="J141" i="20"/>
  <c r="H141" i="20"/>
  <c r="J127" i="18"/>
  <c r="H127" i="18"/>
  <c r="J143" i="18"/>
  <c r="H143" i="18"/>
  <c r="J124" i="19"/>
  <c r="H124" i="19"/>
  <c r="J140" i="19"/>
  <c r="H140" i="19"/>
  <c r="J146" i="17"/>
  <c r="H146" i="17"/>
  <c r="J137" i="6"/>
  <c r="H137" i="6"/>
  <c r="J118" i="21"/>
  <c r="H118" i="21"/>
  <c r="J140" i="21"/>
  <c r="H140" i="21"/>
  <c r="J142" i="6"/>
  <c r="H142" i="6"/>
  <c r="J112" i="21"/>
  <c r="H112" i="21"/>
  <c r="J130" i="21"/>
  <c r="H130" i="21"/>
  <c r="H138" i="21"/>
  <c r="J138" i="21"/>
  <c r="J131" i="6"/>
  <c r="H131" i="6"/>
  <c r="J111" i="28"/>
  <c r="H111" i="28"/>
  <c r="J123" i="28"/>
  <c r="H123" i="28"/>
  <c r="H119" i="17"/>
  <c r="J119" i="17"/>
  <c r="J132" i="28"/>
  <c r="H132" i="28"/>
  <c r="J126" i="20"/>
  <c r="H126" i="20"/>
  <c r="H115" i="21"/>
  <c r="J115" i="21"/>
  <c r="J147" i="21"/>
  <c r="H147" i="21"/>
  <c r="H120" i="28"/>
  <c r="J120" i="28"/>
  <c r="J125" i="18"/>
  <c r="H125" i="18"/>
  <c r="H146" i="18"/>
  <c r="J146" i="18"/>
  <c r="H131" i="18"/>
  <c r="J131" i="18"/>
  <c r="J133" i="19"/>
  <c r="H133" i="19"/>
  <c r="J143" i="20"/>
  <c r="H143" i="20"/>
  <c r="J112" i="28"/>
  <c r="H112" i="28"/>
  <c r="J118" i="17"/>
  <c r="H118" i="17"/>
  <c r="J123" i="19"/>
  <c r="H123" i="19"/>
  <c r="H128" i="6"/>
  <c r="J128" i="6"/>
  <c r="J119" i="21"/>
  <c r="H119" i="21"/>
  <c r="J133" i="23"/>
  <c r="H133" i="23"/>
  <c r="J125" i="6"/>
  <c r="H125" i="6"/>
  <c r="J129" i="21"/>
  <c r="H129" i="21"/>
  <c r="H140" i="17"/>
  <c r="J140" i="17"/>
  <c r="J131" i="19"/>
  <c r="H131" i="19"/>
  <c r="J134" i="6"/>
  <c r="H134" i="6"/>
  <c r="J141" i="21"/>
  <c r="H141" i="21"/>
  <c r="H122" i="21"/>
  <c r="J122" i="21"/>
  <c r="J139" i="6"/>
  <c r="H139" i="6"/>
  <c r="J139" i="28"/>
  <c r="H139" i="28"/>
  <c r="J129" i="28"/>
  <c r="H129" i="28"/>
  <c r="K162" i="6"/>
  <c r="O156" i="18"/>
  <c r="O161" i="6"/>
  <c r="K155" i="19"/>
  <c r="L154" i="17"/>
  <c r="O157" i="20"/>
  <c r="V168" i="23"/>
  <c r="S168" i="23"/>
  <c r="T168" i="23"/>
  <c r="Q154" i="17"/>
  <c r="I157" i="20"/>
  <c r="U168" i="23"/>
  <c r="O154" i="17"/>
  <c r="P168" i="23"/>
  <c r="S154" i="17"/>
  <c r="Q157" i="20"/>
  <c r="J168" i="23"/>
  <c r="J152" i="23"/>
  <c r="U159" i="19"/>
  <c r="J159" i="19"/>
  <c r="O159" i="19"/>
  <c r="T159" i="19"/>
  <c r="Q159" i="19"/>
  <c r="L159" i="19"/>
  <c r="P159" i="19"/>
  <c r="N167" i="23"/>
  <c r="Q152" i="20"/>
  <c r="S156" i="18"/>
  <c r="L156" i="18"/>
  <c r="U167" i="23"/>
  <c r="K167" i="23"/>
  <c r="I156" i="18"/>
  <c r="Q167" i="23"/>
  <c r="J167" i="23"/>
  <c r="U156" i="18"/>
  <c r="J156" i="18"/>
  <c r="P167" i="23"/>
  <c r="P156" i="18"/>
  <c r="O167" i="23"/>
  <c r="N153" i="6"/>
  <c r="V156" i="18"/>
  <c r="I167" i="23"/>
  <c r="L167" i="23"/>
  <c r="U155" i="19"/>
  <c r="J155" i="19"/>
  <c r="I155" i="19"/>
  <c r="O155" i="19"/>
  <c r="P155" i="19"/>
  <c r="S155" i="19"/>
  <c r="T155" i="19"/>
  <c r="Q155" i="19"/>
  <c r="L155" i="19"/>
  <c r="V155" i="19"/>
  <c r="G99" i="21"/>
  <c r="G102" i="21"/>
  <c r="F26" i="17"/>
  <c r="S161" i="6"/>
  <c r="U161" i="6"/>
  <c r="S175" i="23"/>
  <c r="G98" i="21"/>
  <c r="G91" i="21"/>
  <c r="G92" i="21"/>
  <c r="G94" i="21"/>
  <c r="U155" i="18"/>
  <c r="L161" i="6"/>
  <c r="R175" i="23"/>
  <c r="N155" i="18"/>
  <c r="Q161" i="6"/>
  <c r="L175" i="23"/>
  <c r="I155" i="18"/>
  <c r="K161" i="6"/>
  <c r="M175" i="23"/>
  <c r="V161" i="6"/>
  <c r="T161" i="6"/>
  <c r="J161" i="6"/>
  <c r="K175" i="23"/>
  <c r="I161" i="6"/>
  <c r="J175" i="23"/>
  <c r="P161" i="6"/>
  <c r="W175" i="23"/>
  <c r="O175" i="23"/>
  <c r="Q175" i="23"/>
  <c r="I175" i="23"/>
  <c r="R162" i="6"/>
  <c r="T175" i="23"/>
  <c r="G100" i="21"/>
  <c r="G93" i="21"/>
  <c r="G90" i="21"/>
  <c r="N143" i="23"/>
  <c r="N132" i="23"/>
  <c r="N144" i="21"/>
  <c r="N142" i="17"/>
  <c r="N147" i="19"/>
  <c r="N141" i="21"/>
  <c r="N116" i="28"/>
  <c r="N138" i="28"/>
  <c r="N120" i="17"/>
  <c r="N137" i="23"/>
  <c r="N145" i="23"/>
  <c r="N142" i="20"/>
  <c r="N141" i="18"/>
  <c r="N137" i="21"/>
  <c r="N125" i="17"/>
  <c r="N144" i="19"/>
  <c r="N131" i="20"/>
  <c r="N127" i="21"/>
  <c r="N137" i="18"/>
  <c r="N144" i="6"/>
  <c r="N137" i="20"/>
  <c r="N129" i="19"/>
  <c r="N145" i="19"/>
  <c r="N132" i="20"/>
  <c r="N123" i="21"/>
  <c r="N133" i="6"/>
  <c r="N141" i="19"/>
  <c r="N147" i="17"/>
  <c r="N129" i="18"/>
  <c r="N126" i="19"/>
  <c r="N134" i="23"/>
  <c r="N146" i="6"/>
  <c r="N133" i="21"/>
  <c r="N123" i="28"/>
  <c r="N137" i="28"/>
  <c r="G95" i="21"/>
  <c r="N121" i="19"/>
  <c r="N134" i="28"/>
  <c r="N139" i="19"/>
  <c r="N145" i="6"/>
  <c r="N132" i="19"/>
  <c r="N120" i="21"/>
  <c r="N140" i="23"/>
  <c r="N123" i="18"/>
  <c r="N128" i="19"/>
  <c r="N127" i="28"/>
  <c r="N134" i="19"/>
  <c r="N138" i="23"/>
  <c r="N124" i="6"/>
  <c r="N124" i="21"/>
  <c r="N132" i="18"/>
  <c r="N144" i="20"/>
  <c r="V38" i="30"/>
  <c r="N117" i="18"/>
  <c r="N138" i="18"/>
  <c r="N135" i="19"/>
  <c r="N136" i="23"/>
  <c r="N121" i="6"/>
  <c r="N113" i="21"/>
  <c r="N144" i="28"/>
  <c r="N118" i="18"/>
  <c r="N145" i="18"/>
  <c r="N142" i="19"/>
  <c r="N138" i="6"/>
  <c r="N114" i="21"/>
  <c r="N146" i="21"/>
  <c r="N125" i="21"/>
  <c r="N121" i="28"/>
  <c r="N139" i="28"/>
  <c r="N141" i="28"/>
  <c r="N119" i="18"/>
  <c r="N134" i="20"/>
  <c r="N122" i="19"/>
  <c r="N127" i="17"/>
  <c r="N122" i="18"/>
  <c r="N139" i="6"/>
  <c r="N119" i="17"/>
  <c r="N137" i="17"/>
  <c r="N122" i="28"/>
  <c r="N142" i="28"/>
  <c r="N139" i="23"/>
  <c r="N130" i="17"/>
  <c r="N143" i="28"/>
  <c r="N131" i="21"/>
  <c r="N144" i="17"/>
  <c r="N136" i="18"/>
  <c r="N127" i="20"/>
  <c r="N139" i="20"/>
  <c r="N144" i="18"/>
  <c r="N121" i="17"/>
  <c r="N145" i="17"/>
  <c r="N126" i="18"/>
  <c r="N132" i="6"/>
  <c r="N136" i="28"/>
  <c r="N136" i="20"/>
  <c r="N129" i="6"/>
  <c r="N141" i="6"/>
  <c r="N134" i="21"/>
  <c r="N135" i="21"/>
  <c r="N123" i="17"/>
  <c r="N130" i="6"/>
  <c r="N145" i="20"/>
  <c r="N117" i="21"/>
  <c r="N147" i="28"/>
  <c r="N113" i="28"/>
  <c r="N145" i="28"/>
  <c r="G103" i="21"/>
  <c r="N135" i="17"/>
  <c r="N135" i="28"/>
  <c r="N116" i="21"/>
  <c r="N136" i="17"/>
  <c r="N136" i="6"/>
  <c r="N128" i="28"/>
  <c r="N118" i="28"/>
  <c r="N139" i="17"/>
  <c r="N124" i="28"/>
  <c r="N146" i="28"/>
  <c r="N122" i="17"/>
  <c r="N129" i="17"/>
  <c r="N147" i="23"/>
  <c r="N131" i="17"/>
  <c r="N124" i="18"/>
  <c r="N140" i="18"/>
  <c r="N130" i="20"/>
  <c r="N120" i="18"/>
  <c r="N132" i="21"/>
  <c r="N142" i="18"/>
  <c r="N140" i="6"/>
  <c r="N119" i="28"/>
  <c r="N133" i="20"/>
  <c r="N128" i="20"/>
  <c r="N128" i="21"/>
  <c r="N134" i="17"/>
  <c r="N133" i="18"/>
  <c r="N130" i="19"/>
  <c r="N146" i="19"/>
  <c r="N145" i="21"/>
  <c r="N136" i="19"/>
  <c r="N143" i="17"/>
  <c r="N134" i="18"/>
  <c r="N142" i="23"/>
  <c r="N122" i="6"/>
  <c r="N123" i="6"/>
  <c r="N142" i="21"/>
  <c r="N115" i="28"/>
  <c r="N117" i="28"/>
  <c r="G88" i="21"/>
  <c r="G89" i="21"/>
  <c r="N121" i="21"/>
  <c r="N139" i="18"/>
  <c r="N126" i="6"/>
  <c r="N122" i="21"/>
  <c r="N126" i="17"/>
  <c r="N126" i="28"/>
  <c r="N124" i="17"/>
  <c r="N141" i="23"/>
  <c r="N137" i="19"/>
  <c r="N138" i="20"/>
  <c r="N130" i="18"/>
  <c r="N132" i="17"/>
  <c r="N135" i="20"/>
  <c r="N147" i="20"/>
  <c r="N143" i="21"/>
  <c r="N146" i="23"/>
  <c r="N111" i="21"/>
  <c r="N139" i="21"/>
  <c r="N144" i="23"/>
  <c r="N135" i="6"/>
  <c r="N126" i="21"/>
  <c r="N147" i="6"/>
  <c r="N114" i="28"/>
  <c r="N135" i="23"/>
  <c r="N117" i="17"/>
  <c r="N128" i="17"/>
  <c r="N140" i="28"/>
  <c r="N116" i="17"/>
  <c r="N141" i="17"/>
  <c r="N130" i="28"/>
  <c r="N146" i="20"/>
  <c r="N136" i="21"/>
  <c r="N138" i="17"/>
  <c r="N127" i="19"/>
  <c r="N143" i="19"/>
  <c r="N128" i="18"/>
  <c r="N147" i="18"/>
  <c r="N125" i="19"/>
  <c r="N141" i="20"/>
  <c r="N127" i="18"/>
  <c r="N143" i="18"/>
  <c r="N124" i="19"/>
  <c r="N140" i="19"/>
  <c r="N146" i="17"/>
  <c r="N137" i="6"/>
  <c r="N118" i="21"/>
  <c r="N140" i="21"/>
  <c r="N142" i="6"/>
  <c r="N112" i="21"/>
  <c r="N130" i="21"/>
  <c r="N129" i="20"/>
  <c r="N127" i="6"/>
  <c r="N143" i="6"/>
  <c r="N125" i="28"/>
  <c r="H110" i="28"/>
  <c r="J110" i="28"/>
  <c r="N133" i="28"/>
  <c r="G87" i="21"/>
  <c r="G96" i="21"/>
  <c r="G97" i="21"/>
  <c r="G85" i="21"/>
  <c r="N135" i="18"/>
  <c r="N138" i="19"/>
  <c r="N121" i="18"/>
  <c r="N140" i="20"/>
  <c r="N132" i="28"/>
  <c r="N133" i="17"/>
  <c r="N126" i="20"/>
  <c r="N115" i="21"/>
  <c r="N147" i="21"/>
  <c r="N120" i="28"/>
  <c r="N125" i="18"/>
  <c r="N146" i="18"/>
  <c r="N131" i="18"/>
  <c r="N133" i="19"/>
  <c r="N143" i="20"/>
  <c r="N112" i="28"/>
  <c r="N118" i="17"/>
  <c r="N123" i="19"/>
  <c r="N128" i="6"/>
  <c r="N119" i="21"/>
  <c r="N133" i="23"/>
  <c r="N125" i="6"/>
  <c r="N129" i="21"/>
  <c r="N140" i="17"/>
  <c r="N131" i="19"/>
  <c r="N134" i="6"/>
  <c r="N138" i="21"/>
  <c r="N131" i="6"/>
  <c r="N111" i="28"/>
  <c r="N131" i="28"/>
  <c r="N129" i="28"/>
  <c r="G14" i="24"/>
  <c r="F25" i="21"/>
  <c r="F31" i="19"/>
  <c r="F21" i="17"/>
  <c r="F22" i="17"/>
  <c r="F25" i="19"/>
  <c r="G20" i="20"/>
  <c r="F28" i="19"/>
  <c r="F29" i="17"/>
  <c r="F30" i="21"/>
  <c r="F20" i="19"/>
  <c r="F27" i="21"/>
  <c r="F27" i="28"/>
  <c r="G52" i="28"/>
  <c r="G18" i="24"/>
  <c r="S159" i="18"/>
  <c r="J159" i="18"/>
  <c r="L169" i="23"/>
  <c r="P157" i="17"/>
  <c r="U169" i="23"/>
  <c r="I157" i="17"/>
  <c r="P169" i="23"/>
  <c r="O157" i="17"/>
  <c r="Q159" i="18"/>
  <c r="L159" i="18"/>
  <c r="V159" i="18"/>
  <c r="K159" i="18"/>
  <c r="S161" i="19"/>
  <c r="I169" i="23"/>
  <c r="L157" i="17"/>
  <c r="T159" i="18"/>
  <c r="L161" i="19"/>
  <c r="J169" i="23"/>
  <c r="J157" i="17"/>
  <c r="O159" i="18"/>
  <c r="V157" i="17"/>
  <c r="P159" i="18"/>
  <c r="S169" i="23"/>
  <c r="S157" i="17"/>
  <c r="N159" i="18"/>
  <c r="U157" i="17"/>
  <c r="I159" i="18"/>
  <c r="V152" i="6"/>
  <c r="Q161" i="23"/>
  <c r="O161" i="23"/>
  <c r="N155" i="6"/>
  <c r="L161" i="23"/>
  <c r="T161" i="23"/>
  <c r="J152" i="6"/>
  <c r="S163" i="6"/>
  <c r="Q160" i="20"/>
  <c r="V152" i="23"/>
  <c r="P157" i="18"/>
  <c r="R163" i="19"/>
  <c r="Q153" i="6"/>
  <c r="O152" i="20"/>
  <c r="L152" i="20"/>
  <c r="K153" i="6"/>
  <c r="Q157" i="6"/>
  <c r="T152" i="20"/>
  <c r="K152" i="20"/>
  <c r="V154" i="18"/>
  <c r="U152" i="20"/>
  <c r="U153" i="6"/>
  <c r="J153" i="6"/>
  <c r="T153" i="6"/>
  <c r="V152" i="20"/>
  <c r="J152" i="20"/>
  <c r="P154" i="18"/>
  <c r="O153" i="6"/>
  <c r="I153" i="6"/>
  <c r="S152" i="20"/>
  <c r="I152" i="20"/>
  <c r="N154" i="18"/>
  <c r="P153" i="6"/>
  <c r="P152" i="20"/>
  <c r="L153" i="6"/>
  <c r="S153" i="6"/>
  <c r="J153" i="20"/>
  <c r="O152" i="6"/>
  <c r="N160" i="20"/>
  <c r="S152" i="23"/>
  <c r="J161" i="19"/>
  <c r="O160" i="20"/>
  <c r="P152" i="23"/>
  <c r="P171" i="23"/>
  <c r="U160" i="20"/>
  <c r="L157" i="18"/>
  <c r="O169" i="23"/>
  <c r="P160" i="20"/>
  <c r="L152" i="23"/>
  <c r="L171" i="23"/>
  <c r="K160" i="20"/>
  <c r="O152" i="23"/>
  <c r="U157" i="18"/>
  <c r="J171" i="23"/>
  <c r="I160" i="20"/>
  <c r="I157" i="18"/>
  <c r="O171" i="23"/>
  <c r="I171" i="23"/>
  <c r="S160" i="20"/>
  <c r="J160" i="20"/>
  <c r="M152" i="23"/>
  <c r="J157" i="18"/>
  <c r="V171" i="23"/>
  <c r="R152" i="23"/>
  <c r="O157" i="18"/>
  <c r="S157" i="18"/>
  <c r="L160" i="20"/>
  <c r="U152" i="23"/>
  <c r="Q155" i="18"/>
  <c r="K155" i="18"/>
  <c r="V153" i="23"/>
  <c r="L163" i="23"/>
  <c r="N160" i="6"/>
  <c r="S155" i="18"/>
  <c r="J155" i="18"/>
  <c r="T163" i="23"/>
  <c r="I163" i="23"/>
  <c r="J158" i="6"/>
  <c r="T155" i="18"/>
  <c r="V163" i="23"/>
  <c r="Q163" i="23"/>
  <c r="L160" i="17"/>
  <c r="O155" i="18"/>
  <c r="O163" i="23"/>
  <c r="P155" i="18"/>
  <c r="P163" i="23"/>
  <c r="O115" i="17"/>
  <c r="L155" i="18"/>
  <c r="M163" i="6"/>
  <c r="S163" i="23"/>
  <c r="V160" i="6"/>
  <c r="O154" i="18"/>
  <c r="K153" i="23"/>
  <c r="N157" i="6"/>
  <c r="Q162" i="6"/>
  <c r="H162" i="6"/>
  <c r="Q159" i="20"/>
  <c r="N110" i="28"/>
  <c r="I158" i="18"/>
  <c r="W162" i="6"/>
  <c r="P162" i="6"/>
  <c r="S157" i="6"/>
  <c r="J157" i="6"/>
  <c r="S162" i="6"/>
  <c r="N162" i="6"/>
  <c r="O154" i="19"/>
  <c r="O155" i="17"/>
  <c r="U157" i="6"/>
  <c r="K157" i="6"/>
  <c r="V162" i="6"/>
  <c r="L162" i="6"/>
  <c r="T157" i="6"/>
  <c r="I157" i="6"/>
  <c r="T162" i="6"/>
  <c r="J162" i="6"/>
  <c r="L157" i="6"/>
  <c r="L37" i="30"/>
  <c r="J155" i="17"/>
  <c r="P159" i="23"/>
  <c r="O157" i="6"/>
  <c r="O162" i="6"/>
  <c r="M162" i="6"/>
  <c r="V158" i="6"/>
  <c r="O158" i="6"/>
  <c r="C41" i="28"/>
  <c r="P157" i="6"/>
  <c r="U162" i="6"/>
  <c r="T158" i="6"/>
  <c r="AC41" i="30"/>
  <c r="L36" i="30"/>
  <c r="U164" i="23"/>
  <c r="Q166" i="20"/>
  <c r="Q158" i="20"/>
  <c r="S159" i="6"/>
  <c r="P153" i="20"/>
  <c r="Q159" i="6"/>
  <c r="T163" i="6"/>
  <c r="S154" i="18"/>
  <c r="J163" i="6"/>
  <c r="N149" i="28"/>
  <c r="I154" i="18"/>
  <c r="U158" i="20"/>
  <c r="L158" i="6"/>
  <c r="Q153" i="20"/>
  <c r="J156" i="20"/>
  <c r="Q158" i="18"/>
  <c r="I152" i="6"/>
  <c r="J166" i="23"/>
  <c r="W174" i="23"/>
  <c r="J158" i="19"/>
  <c r="I156" i="20"/>
  <c r="P158" i="18"/>
  <c r="S160" i="23"/>
  <c r="P155" i="17"/>
  <c r="I159" i="23"/>
  <c r="U163" i="6"/>
  <c r="U153" i="23"/>
  <c r="T152" i="18"/>
  <c r="V174" i="23"/>
  <c r="I159" i="6"/>
  <c r="U154" i="18"/>
  <c r="I158" i="20"/>
  <c r="U158" i="19"/>
  <c r="I158" i="6"/>
  <c r="S160" i="19"/>
  <c r="U156" i="20"/>
  <c r="V158" i="18"/>
  <c r="T166" i="23"/>
  <c r="T160" i="20"/>
  <c r="S152" i="18"/>
  <c r="S174" i="23"/>
  <c r="T153" i="18"/>
  <c r="T156" i="20"/>
  <c r="U166" i="23"/>
  <c r="U155" i="17"/>
  <c r="Q152" i="18"/>
  <c r="M174" i="23"/>
  <c r="O154" i="20"/>
  <c r="J153" i="18"/>
  <c r="S165" i="23"/>
  <c r="V158" i="19"/>
  <c r="U158" i="6"/>
  <c r="V153" i="20"/>
  <c r="P156" i="20"/>
  <c r="O162" i="20"/>
  <c r="S166" i="23"/>
  <c r="O152" i="18"/>
  <c r="J174" i="23"/>
  <c r="J154" i="20"/>
  <c r="T165" i="23"/>
  <c r="P158" i="19"/>
  <c r="S156" i="20"/>
  <c r="S162" i="20"/>
  <c r="N166" i="23"/>
  <c r="I163" i="6"/>
  <c r="W159" i="18"/>
  <c r="V149" i="28"/>
  <c r="W159" i="17"/>
  <c r="J163" i="20"/>
  <c r="K154" i="18"/>
  <c r="S158" i="20"/>
  <c r="J165" i="23"/>
  <c r="L158" i="19"/>
  <c r="N158" i="6"/>
  <c r="N153" i="20"/>
  <c r="L156" i="20"/>
  <c r="O158" i="18"/>
  <c r="Q162" i="20"/>
  <c r="P152" i="17"/>
  <c r="L166" i="23"/>
  <c r="L156" i="6"/>
  <c r="Q156" i="6"/>
  <c r="T156" i="6"/>
  <c r="O156" i="6"/>
  <c r="V156" i="6"/>
  <c r="S156" i="6"/>
  <c r="P156" i="6"/>
  <c r="I156" i="6"/>
  <c r="H159" i="18"/>
  <c r="N153" i="19"/>
  <c r="I155" i="6"/>
  <c r="Q172" i="23"/>
  <c r="L172" i="23"/>
  <c r="P172" i="23"/>
  <c r="T172" i="23"/>
  <c r="O172" i="23"/>
  <c r="S172" i="23"/>
  <c r="U172" i="23"/>
  <c r="J172" i="23"/>
  <c r="V172" i="23"/>
  <c r="K172" i="23"/>
  <c r="U161" i="19"/>
  <c r="P161" i="19"/>
  <c r="O161" i="19"/>
  <c r="I161" i="19"/>
  <c r="V161" i="19"/>
  <c r="N156" i="6"/>
  <c r="V84" i="30"/>
  <c r="U155" i="20"/>
  <c r="K153" i="17"/>
  <c r="Q153" i="17"/>
  <c r="V153" i="17"/>
  <c r="N153" i="17"/>
  <c r="T153" i="17"/>
  <c r="P153" i="17"/>
  <c r="S153" i="17"/>
  <c r="I153" i="17"/>
  <c r="I172" i="23"/>
  <c r="K155" i="6"/>
  <c r="U155" i="6"/>
  <c r="L155" i="6"/>
  <c r="P155" i="6"/>
  <c r="O155" i="6"/>
  <c r="V155" i="6"/>
  <c r="Q155" i="6"/>
  <c r="J155" i="6"/>
  <c r="S155" i="6"/>
  <c r="S153" i="19"/>
  <c r="K153" i="19"/>
  <c r="V153" i="19"/>
  <c r="J153" i="19"/>
  <c r="U153" i="19"/>
  <c r="L153" i="19"/>
  <c r="P153" i="19"/>
  <c r="I153" i="19"/>
  <c r="T153" i="19"/>
  <c r="O153" i="17"/>
  <c r="J153" i="17"/>
  <c r="K165" i="20"/>
  <c r="Q165" i="20"/>
  <c r="O165" i="20"/>
  <c r="I165" i="20"/>
  <c r="K162" i="23"/>
  <c r="L162" i="23"/>
  <c r="O162" i="23"/>
  <c r="S162" i="23"/>
  <c r="N162" i="23"/>
  <c r="P162" i="23"/>
  <c r="Q162" i="23"/>
  <c r="U162" i="23"/>
  <c r="T162" i="23"/>
  <c r="V162" i="23"/>
  <c r="I162" i="23"/>
  <c r="Q153" i="19"/>
  <c r="J156" i="6"/>
  <c r="O157" i="19"/>
  <c r="P157" i="19"/>
  <c r="U157" i="19"/>
  <c r="V157" i="19"/>
  <c r="P152" i="18"/>
  <c r="T149" i="28"/>
  <c r="N174" i="23"/>
  <c r="L154" i="20"/>
  <c r="I160" i="17"/>
  <c r="L160" i="6"/>
  <c r="Q154" i="18"/>
  <c r="V165" i="23"/>
  <c r="K165" i="23"/>
  <c r="S158" i="19"/>
  <c r="P160" i="23"/>
  <c r="S158" i="6"/>
  <c r="T153" i="20"/>
  <c r="U159" i="20"/>
  <c r="F43" i="28"/>
  <c r="G35" i="28" s="1"/>
  <c r="N158" i="18"/>
  <c r="U152" i="6"/>
  <c r="T162" i="20"/>
  <c r="P166" i="23"/>
  <c r="L174" i="23"/>
  <c r="N165" i="23"/>
  <c r="L160" i="23"/>
  <c r="K149" i="28"/>
  <c r="I149" i="28"/>
  <c r="O149" i="28"/>
  <c r="M149" i="28"/>
  <c r="P165" i="23"/>
  <c r="J160" i="23"/>
  <c r="M159" i="18"/>
  <c r="L153" i="23"/>
  <c r="M159" i="17"/>
  <c r="L152" i="18"/>
  <c r="U149" i="28"/>
  <c r="P149" i="28"/>
  <c r="R174" i="23"/>
  <c r="K174" i="23"/>
  <c r="V154" i="20"/>
  <c r="T160" i="17"/>
  <c r="S164" i="23"/>
  <c r="T160" i="6"/>
  <c r="J154" i="18"/>
  <c r="V156" i="19"/>
  <c r="Q165" i="23"/>
  <c r="S149" i="28"/>
  <c r="I158" i="19"/>
  <c r="K158" i="6"/>
  <c r="Q149" i="28"/>
  <c r="H149" i="28"/>
  <c r="K153" i="20"/>
  <c r="T154" i="18"/>
  <c r="L160" i="19"/>
  <c r="J158" i="18"/>
  <c r="K162" i="20"/>
  <c r="K166" i="23"/>
  <c r="T173" i="23"/>
  <c r="R164" i="6"/>
  <c r="L155" i="17"/>
  <c r="Q153" i="23"/>
  <c r="J152" i="18"/>
  <c r="T174" i="23"/>
  <c r="I174" i="23"/>
  <c r="U160" i="17"/>
  <c r="Q164" i="23"/>
  <c r="S160" i="6"/>
  <c r="S166" i="20"/>
  <c r="I165" i="23"/>
  <c r="W149" i="28"/>
  <c r="L149" i="28"/>
  <c r="C40" i="28"/>
  <c r="J162" i="20"/>
  <c r="J149" i="21"/>
  <c r="E27" i="9" s="1"/>
  <c r="K173" i="23"/>
  <c r="I164" i="6"/>
  <c r="I153" i="23"/>
  <c r="R149" i="28"/>
  <c r="J149" i="28"/>
  <c r="W163" i="6"/>
  <c r="U152" i="18"/>
  <c r="I152" i="18"/>
  <c r="P174" i="23"/>
  <c r="H174" i="23"/>
  <c r="Q160" i="17"/>
  <c r="K164" i="23"/>
  <c r="Q160" i="6"/>
  <c r="U166" i="20"/>
  <c r="P156" i="19"/>
  <c r="U165" i="23"/>
  <c r="L165" i="23"/>
  <c r="K159" i="20"/>
  <c r="T158" i="18"/>
  <c r="I162" i="20"/>
  <c r="N152" i="17"/>
  <c r="V166" i="23"/>
  <c r="G80" i="24"/>
  <c r="R159" i="17"/>
  <c r="O159" i="23"/>
  <c r="J159" i="23"/>
  <c r="N163" i="6"/>
  <c r="Q163" i="20"/>
  <c r="U170" i="23"/>
  <c r="N159" i="6"/>
  <c r="N160" i="17"/>
  <c r="O153" i="18"/>
  <c r="K153" i="18"/>
  <c r="N164" i="23"/>
  <c r="U164" i="20"/>
  <c r="O164" i="20"/>
  <c r="S156" i="19"/>
  <c r="O162" i="19"/>
  <c r="T154" i="19"/>
  <c r="S154" i="19"/>
  <c r="S152" i="6"/>
  <c r="S152" i="17"/>
  <c r="J152" i="17"/>
  <c r="S156" i="17"/>
  <c r="U152" i="21"/>
  <c r="U149" i="21" s="1"/>
  <c r="V173" i="23"/>
  <c r="I173" i="23"/>
  <c r="S164" i="6"/>
  <c r="K164" i="6"/>
  <c r="V167" i="20"/>
  <c r="Q167" i="20"/>
  <c r="L162" i="19"/>
  <c r="O156" i="17"/>
  <c r="O152" i="21"/>
  <c r="O149" i="21" s="1"/>
  <c r="R159" i="18"/>
  <c r="S159" i="23"/>
  <c r="R163" i="6"/>
  <c r="L163" i="6"/>
  <c r="N153" i="23"/>
  <c r="S163" i="20"/>
  <c r="O163" i="20"/>
  <c r="I170" i="23"/>
  <c r="V159" i="6"/>
  <c r="L159" i="6"/>
  <c r="P154" i="20"/>
  <c r="V160" i="17"/>
  <c r="J160" i="17"/>
  <c r="P153" i="18"/>
  <c r="T164" i="23"/>
  <c r="I164" i="23"/>
  <c r="O160" i="6"/>
  <c r="O155" i="20"/>
  <c r="K166" i="20"/>
  <c r="P162" i="19"/>
  <c r="V163" i="6"/>
  <c r="N154" i="19"/>
  <c r="O160" i="19"/>
  <c r="I159" i="20"/>
  <c r="S165" i="20"/>
  <c r="U158" i="18"/>
  <c r="S158" i="18"/>
  <c r="M152" i="6"/>
  <c r="U162" i="20"/>
  <c r="L162" i="20"/>
  <c r="T152" i="17"/>
  <c r="P156" i="17"/>
  <c r="O166" i="23"/>
  <c r="N172" i="23"/>
  <c r="V152" i="21"/>
  <c r="V149" i="21" s="1"/>
  <c r="N152" i="21"/>
  <c r="N149" i="21" s="1"/>
  <c r="Q173" i="23"/>
  <c r="L173" i="23"/>
  <c r="P164" i="6"/>
  <c r="J164" i="6"/>
  <c r="W167" i="20"/>
  <c r="J167" i="20"/>
  <c r="O167" i="20"/>
  <c r="Q163" i="6"/>
  <c r="K163" i="6"/>
  <c r="V155" i="17"/>
  <c r="P153" i="23"/>
  <c r="J153" i="23"/>
  <c r="H159" i="17"/>
  <c r="V163" i="20"/>
  <c r="P163" i="20"/>
  <c r="V170" i="23"/>
  <c r="T159" i="6"/>
  <c r="J159" i="6"/>
  <c r="S160" i="17"/>
  <c r="K160" i="17"/>
  <c r="S153" i="18"/>
  <c r="O164" i="23"/>
  <c r="J164" i="23"/>
  <c r="U160" i="6"/>
  <c r="J160" i="6"/>
  <c r="P155" i="20"/>
  <c r="Q164" i="20"/>
  <c r="I156" i="19"/>
  <c r="U162" i="19"/>
  <c r="J162" i="19"/>
  <c r="U154" i="19"/>
  <c r="K154" i="19"/>
  <c r="V160" i="23"/>
  <c r="L153" i="20"/>
  <c r="V160" i="19"/>
  <c r="P160" i="19"/>
  <c r="S159" i="20"/>
  <c r="L152" i="6"/>
  <c r="V152" i="17"/>
  <c r="Q152" i="17"/>
  <c r="L156" i="17"/>
  <c r="Q152" i="21"/>
  <c r="Q149" i="21" s="1"/>
  <c r="O173" i="23"/>
  <c r="J173" i="23"/>
  <c r="W164" i="6"/>
  <c r="N164" i="6"/>
  <c r="H164" i="6"/>
  <c r="U167" i="20"/>
  <c r="L167" i="20"/>
  <c r="L157" i="19"/>
  <c r="L170" i="23"/>
  <c r="I163" i="20"/>
  <c r="S170" i="23"/>
  <c r="J170" i="23"/>
  <c r="Q153" i="18"/>
  <c r="I164" i="20"/>
  <c r="I162" i="19"/>
  <c r="L154" i="19"/>
  <c r="V156" i="17"/>
  <c r="I152" i="21"/>
  <c r="I149" i="21" s="1"/>
  <c r="D27" i="9" s="1"/>
  <c r="R173" i="23"/>
  <c r="H173" i="23"/>
  <c r="O164" i="6"/>
  <c r="P167" i="20"/>
  <c r="M167" i="20"/>
  <c r="U163" i="20"/>
  <c r="O159" i="6"/>
  <c r="V153" i="18"/>
  <c r="N153" i="18"/>
  <c r="I155" i="20"/>
  <c r="S164" i="20"/>
  <c r="L156" i="19"/>
  <c r="V159" i="23"/>
  <c r="V154" i="19"/>
  <c r="J154" i="19"/>
  <c r="K152" i="17"/>
  <c r="U156" i="17"/>
  <c r="T152" i="21"/>
  <c r="T149" i="21" s="1"/>
  <c r="K152" i="21"/>
  <c r="K149" i="21" s="1"/>
  <c r="F27" i="9" s="1"/>
  <c r="W173" i="23"/>
  <c r="P173" i="23"/>
  <c r="T164" i="6"/>
  <c r="Q164" i="6"/>
  <c r="R167" i="20"/>
  <c r="K167" i="20"/>
  <c r="I157" i="19"/>
  <c r="C39" i="21"/>
  <c r="AP51" i="30" s="1"/>
  <c r="C41" i="21"/>
  <c r="AP53" i="30" s="1"/>
  <c r="C39" i="28"/>
  <c r="I155" i="17"/>
  <c r="H163" i="19"/>
  <c r="S155" i="17"/>
  <c r="L159" i="23"/>
  <c r="O163" i="6"/>
  <c r="H163" i="6"/>
  <c r="S153" i="23"/>
  <c r="V152" i="18"/>
  <c r="N152" i="18"/>
  <c r="T163" i="20"/>
  <c r="L163" i="20"/>
  <c r="P170" i="23"/>
  <c r="U174" i="23"/>
  <c r="Q174" i="23"/>
  <c r="U159" i="6"/>
  <c r="P159" i="6"/>
  <c r="U154" i="20"/>
  <c r="I154" i="20"/>
  <c r="O160" i="17"/>
  <c r="I153" i="18"/>
  <c r="V164" i="23"/>
  <c r="P164" i="23"/>
  <c r="U156" i="6"/>
  <c r="K156" i="6"/>
  <c r="K160" i="6"/>
  <c r="I160" i="6"/>
  <c r="S155" i="20"/>
  <c r="L155" i="20"/>
  <c r="O166" i="20"/>
  <c r="U156" i="19"/>
  <c r="J156" i="19"/>
  <c r="S162" i="19"/>
  <c r="U153" i="17"/>
  <c r="L153" i="17"/>
  <c r="Q154" i="19"/>
  <c r="I154" i="19"/>
  <c r="O158" i="19"/>
  <c r="U160" i="23"/>
  <c r="I160" i="23"/>
  <c r="Q158" i="6"/>
  <c r="U153" i="20"/>
  <c r="I153" i="20"/>
  <c r="U160" i="19"/>
  <c r="I160" i="19"/>
  <c r="V156" i="20"/>
  <c r="U165" i="20"/>
  <c r="L158" i="18"/>
  <c r="P152" i="6"/>
  <c r="N162" i="20"/>
  <c r="U152" i="17"/>
  <c r="I152" i="17"/>
  <c r="J156" i="17"/>
  <c r="Q166" i="23"/>
  <c r="S152" i="21"/>
  <c r="S149" i="21" s="1"/>
  <c r="L152" i="21"/>
  <c r="L149" i="21" s="1"/>
  <c r="G27" i="9" s="1"/>
  <c r="U173" i="23"/>
  <c r="N173" i="23"/>
  <c r="T153" i="23"/>
  <c r="U164" i="6"/>
  <c r="M164" i="6"/>
  <c r="N167" i="20"/>
  <c r="I167" i="20"/>
  <c r="V162" i="20"/>
  <c r="S157" i="19"/>
  <c r="J157" i="19"/>
  <c r="K164" i="20"/>
  <c r="E43" i="28"/>
  <c r="C40" i="21"/>
  <c r="AP52" i="30" s="1"/>
  <c r="N163" i="20"/>
  <c r="L153" i="18"/>
  <c r="V155" i="20"/>
  <c r="J155" i="20"/>
  <c r="S153" i="20"/>
  <c r="O152" i="17"/>
  <c r="P152" i="21"/>
  <c r="P149" i="21" s="1"/>
  <c r="S173" i="23"/>
  <c r="V164" i="6"/>
  <c r="T167" i="20"/>
  <c r="S167" i="20"/>
  <c r="G96" i="24"/>
  <c r="G72" i="24"/>
  <c r="G24" i="24"/>
  <c r="G64" i="24"/>
  <c r="G30" i="24"/>
  <c r="G20" i="24"/>
  <c r="G93" i="24"/>
  <c r="G62" i="24"/>
  <c r="G23" i="24"/>
  <c r="G16" i="24"/>
  <c r="G88" i="24"/>
  <c r="G89" i="24"/>
  <c r="G87" i="24"/>
  <c r="G17" i="24"/>
  <c r="G26" i="24"/>
  <c r="G77" i="24"/>
  <c r="G82" i="24"/>
  <c r="G71" i="24"/>
  <c r="G95" i="24"/>
  <c r="G28" i="24"/>
  <c r="G91" i="24"/>
  <c r="G22" i="24"/>
  <c r="G25" i="24"/>
  <c r="G19" i="24"/>
  <c r="G67" i="24"/>
  <c r="G83" i="24"/>
  <c r="G21" i="24"/>
  <c r="G29" i="24"/>
  <c r="G70" i="24"/>
  <c r="G65" i="24"/>
  <c r="G81" i="24"/>
  <c r="G97" i="24"/>
  <c r="G68" i="24"/>
  <c r="G86" i="24"/>
  <c r="G31" i="24"/>
  <c r="G69" i="24"/>
  <c r="G85" i="24"/>
  <c r="G90" i="24"/>
  <c r="G27" i="24"/>
  <c r="G73" i="24"/>
  <c r="G76" i="24"/>
  <c r="G78" i="24"/>
  <c r="G74" i="24"/>
  <c r="G15" i="24"/>
  <c r="G75" i="24"/>
  <c r="G92" i="24"/>
  <c r="G94" i="24"/>
  <c r="G66" i="24"/>
  <c r="G63" i="24"/>
  <c r="G79" i="24"/>
  <c r="G84" i="24"/>
  <c r="F21" i="28"/>
  <c r="F28" i="17"/>
  <c r="F31" i="17"/>
  <c r="F26" i="21"/>
  <c r="F26" i="28"/>
  <c r="F30" i="17"/>
  <c r="F27" i="19"/>
  <c r="F21" i="23"/>
  <c r="F30" i="19"/>
  <c r="F24" i="19"/>
  <c r="F25" i="28"/>
  <c r="F25" i="17"/>
  <c r="F29" i="28"/>
  <c r="F23" i="17"/>
  <c r="F24" i="28"/>
  <c r="F22" i="19"/>
  <c r="F21" i="21"/>
  <c r="F29" i="19"/>
  <c r="F21" i="19"/>
  <c r="F29" i="21"/>
  <c r="F24" i="21"/>
  <c r="F20" i="18"/>
  <c r="E33" i="18" s="1"/>
  <c r="M163" i="19"/>
  <c r="W163" i="19"/>
  <c r="H160" i="17"/>
  <c r="W160" i="17"/>
  <c r="M160" i="17"/>
  <c r="R160" i="17"/>
  <c r="H158" i="17"/>
  <c r="M158" i="17"/>
  <c r="R158" i="17"/>
  <c r="W158" i="17"/>
  <c r="L35" i="30"/>
  <c r="O113" i="18" l="1"/>
  <c r="E113" i="20"/>
  <c r="N113" i="20" s="1"/>
  <c r="E110" i="21"/>
  <c r="H110" i="21" s="1"/>
  <c r="E39" i="21" s="1"/>
  <c r="F39" i="21" s="1"/>
  <c r="E114" i="17"/>
  <c r="N114" i="17" s="1"/>
  <c r="O149" i="17"/>
  <c r="F154" i="17"/>
  <c r="M154" i="17" s="1"/>
  <c r="F155" i="20"/>
  <c r="H155" i="20" s="1"/>
  <c r="E115" i="18"/>
  <c r="N115" i="18" s="1"/>
  <c r="O113" i="20"/>
  <c r="F157" i="18"/>
  <c r="R157" i="18" s="1"/>
  <c r="Q156" i="20"/>
  <c r="O113" i="19"/>
  <c r="K156" i="20"/>
  <c r="N156" i="20"/>
  <c r="E114" i="20"/>
  <c r="AV31" i="30" s="1"/>
  <c r="F116" i="18"/>
  <c r="F114" i="20"/>
  <c r="F115" i="17"/>
  <c r="F156" i="17"/>
  <c r="R156" i="17" s="1"/>
  <c r="O114" i="17"/>
  <c r="O115" i="18"/>
  <c r="K157" i="18"/>
  <c r="O112" i="19"/>
  <c r="O112" i="18"/>
  <c r="F113" i="20"/>
  <c r="F115" i="18"/>
  <c r="F114" i="17"/>
  <c r="T157" i="18"/>
  <c r="N157" i="18"/>
  <c r="Q157" i="18"/>
  <c r="F157" i="17"/>
  <c r="H157" i="17" s="1"/>
  <c r="E116" i="18"/>
  <c r="E115" i="17"/>
  <c r="L34" i="30" s="1"/>
  <c r="L111" i="20"/>
  <c r="AV28" i="30"/>
  <c r="F7" i="9"/>
  <c r="G7" i="9" s="1"/>
  <c r="L30" i="30"/>
  <c r="L111" i="17"/>
  <c r="O114" i="18"/>
  <c r="O110" i="6"/>
  <c r="O114" i="19"/>
  <c r="O110" i="23"/>
  <c r="O113" i="17"/>
  <c r="O112" i="17"/>
  <c r="F152" i="6"/>
  <c r="W152" i="6" s="1"/>
  <c r="O112" i="20"/>
  <c r="F155" i="17"/>
  <c r="F152" i="23"/>
  <c r="H152" i="23" s="1"/>
  <c r="E110" i="6"/>
  <c r="E110" i="23"/>
  <c r="E113" i="17"/>
  <c r="F154" i="20"/>
  <c r="E112" i="20"/>
  <c r="AV29" i="30" s="1"/>
  <c r="F114" i="19"/>
  <c r="F110" i="6"/>
  <c r="F113" i="17"/>
  <c r="F114" i="18"/>
  <c r="F110" i="23"/>
  <c r="F112" i="20"/>
  <c r="R153" i="17"/>
  <c r="W153" i="17"/>
  <c r="G11" i="4"/>
  <c r="Z11" i="4" s="1"/>
  <c r="E114" i="18" s="1"/>
  <c r="N114" i="18" s="1"/>
  <c r="G17" i="4"/>
  <c r="Z17" i="4" s="1"/>
  <c r="G18" i="4"/>
  <c r="H153" i="17"/>
  <c r="M152" i="21"/>
  <c r="M149" i="21" s="1"/>
  <c r="H27" i="9" s="1"/>
  <c r="H152" i="21"/>
  <c r="H149" i="21" s="1"/>
  <c r="C27" i="9" s="1"/>
  <c r="D75" i="9" s="1"/>
  <c r="G12" i="10" s="1"/>
  <c r="W152" i="21"/>
  <c r="W149" i="21" s="1"/>
  <c r="H111" i="20"/>
  <c r="K158" i="18"/>
  <c r="R153" i="20"/>
  <c r="M153" i="20"/>
  <c r="W153" i="20"/>
  <c r="N111" i="20"/>
  <c r="J111" i="20"/>
  <c r="J111" i="17"/>
  <c r="H111" i="17"/>
  <c r="N111" i="17"/>
  <c r="M156" i="20"/>
  <c r="W156" i="20"/>
  <c r="M158" i="18"/>
  <c r="R158" i="18"/>
  <c r="R156" i="20"/>
  <c r="W158" i="18"/>
  <c r="M24" i="32"/>
  <c r="D50" i="22"/>
  <c r="D48" i="22"/>
  <c r="J5" i="3"/>
  <c r="L5" i="3" s="1"/>
  <c r="G76" i="28"/>
  <c r="G45" i="28"/>
  <c r="E33" i="28"/>
  <c r="E33" i="19"/>
  <c r="J149" i="17"/>
  <c r="E22" i="9" s="1"/>
  <c r="I149" i="6"/>
  <c r="O149" i="18"/>
  <c r="O149" i="19"/>
  <c r="L149" i="17"/>
  <c r="G22" i="9" s="1"/>
  <c r="P149" i="17"/>
  <c r="L149" i="19"/>
  <c r="G24" i="9" s="1"/>
  <c r="P149" i="19"/>
  <c r="I149" i="18"/>
  <c r="D23" i="9" s="1"/>
  <c r="S149" i="18"/>
  <c r="S149" i="19"/>
  <c r="I149" i="19"/>
  <c r="D24" i="9" s="1"/>
  <c r="V149" i="18"/>
  <c r="U149" i="17"/>
  <c r="P149" i="18"/>
  <c r="J149" i="18"/>
  <c r="E23" i="9" s="1"/>
  <c r="J149" i="6"/>
  <c r="I149" i="20"/>
  <c r="D26" i="9" s="1"/>
  <c r="U149" i="18"/>
  <c r="U149" i="20"/>
  <c r="U149" i="6"/>
  <c r="S149" i="20"/>
  <c r="I149" i="17"/>
  <c r="D22" i="9" s="1"/>
  <c r="O149" i="6"/>
  <c r="V149" i="17"/>
  <c r="S149" i="6"/>
  <c r="P149" i="6"/>
  <c r="V149" i="19"/>
  <c r="L149" i="6"/>
  <c r="V149" i="6"/>
  <c r="L149" i="18"/>
  <c r="G23" i="9" s="1"/>
  <c r="U149" i="19"/>
  <c r="S149" i="17"/>
  <c r="J149" i="19"/>
  <c r="E24" i="9" s="1"/>
  <c r="E33" i="23"/>
  <c r="E33" i="21"/>
  <c r="E33" i="6"/>
  <c r="E33" i="17"/>
  <c r="AV30" i="30" l="1"/>
  <c r="L113" i="20"/>
  <c r="J110" i="21"/>
  <c r="E40" i="21" s="1"/>
  <c r="F40" i="21" s="1"/>
  <c r="L110" i="21"/>
  <c r="E41" i="21" s="1"/>
  <c r="F41" i="21" s="1"/>
  <c r="N110" i="21"/>
  <c r="G105" i="21" s="1"/>
  <c r="D67" i="9" s="1"/>
  <c r="E67" i="9" s="1"/>
  <c r="F67" i="9" s="1"/>
  <c r="G67" i="9" s="1"/>
  <c r="H67" i="9" s="1"/>
  <c r="AP61" i="30"/>
  <c r="V36" i="30"/>
  <c r="R154" i="17"/>
  <c r="L33" i="30"/>
  <c r="L114" i="17"/>
  <c r="W154" i="17"/>
  <c r="M155" i="20"/>
  <c r="H154" i="17"/>
  <c r="R157" i="17"/>
  <c r="W155" i="20"/>
  <c r="J114" i="20"/>
  <c r="W157" i="18"/>
  <c r="H157" i="18"/>
  <c r="M157" i="18"/>
  <c r="H115" i="18"/>
  <c r="L116" i="18"/>
  <c r="J113" i="20"/>
  <c r="H113" i="20"/>
  <c r="L114" i="20"/>
  <c r="N114" i="20"/>
  <c r="W156" i="17"/>
  <c r="M156" i="17"/>
  <c r="H156" i="17"/>
  <c r="H114" i="20"/>
  <c r="H114" i="17"/>
  <c r="H115" i="17"/>
  <c r="R155" i="20"/>
  <c r="K155" i="20"/>
  <c r="N155" i="20"/>
  <c r="T155" i="20"/>
  <c r="Q155" i="20"/>
  <c r="J116" i="18"/>
  <c r="N116" i="18"/>
  <c r="V35" i="30"/>
  <c r="J114" i="17"/>
  <c r="V37" i="30"/>
  <c r="F156" i="19"/>
  <c r="W156" i="19" s="1"/>
  <c r="F156" i="18"/>
  <c r="R156" i="18" s="1"/>
  <c r="H116" i="18"/>
  <c r="L114" i="18"/>
  <c r="E114" i="19"/>
  <c r="N114" i="19" s="1"/>
  <c r="W157" i="17"/>
  <c r="N157" i="17"/>
  <c r="K157" i="17"/>
  <c r="T157" i="17"/>
  <c r="Q157" i="17"/>
  <c r="M157" i="17"/>
  <c r="Q156" i="17"/>
  <c r="T156" i="17"/>
  <c r="N156" i="17"/>
  <c r="K156" i="17"/>
  <c r="N115" i="17"/>
  <c r="L115" i="17"/>
  <c r="F155" i="19"/>
  <c r="E113" i="19"/>
  <c r="F155" i="18"/>
  <c r="J115" i="17"/>
  <c r="J115" i="18"/>
  <c r="L115" i="18"/>
  <c r="W155" i="17"/>
  <c r="M155" i="17"/>
  <c r="R155" i="17"/>
  <c r="H154" i="20"/>
  <c r="M154" i="20"/>
  <c r="R154" i="20"/>
  <c r="AD10" i="30"/>
  <c r="Z18" i="4"/>
  <c r="F160" i="19" s="1"/>
  <c r="H160" i="19" s="1"/>
  <c r="N112" i="20"/>
  <c r="L112" i="20"/>
  <c r="N113" i="17"/>
  <c r="L113" i="17"/>
  <c r="AE78" i="30"/>
  <c r="L110" i="23"/>
  <c r="U78" i="30"/>
  <c r="L110" i="6"/>
  <c r="C13" i="19"/>
  <c r="G27" i="4"/>
  <c r="Z27" i="4" s="1"/>
  <c r="C13" i="17"/>
  <c r="M12" i="32"/>
  <c r="W152" i="23"/>
  <c r="N155" i="17"/>
  <c r="H155" i="17"/>
  <c r="T155" i="17"/>
  <c r="T154" i="20"/>
  <c r="K155" i="17"/>
  <c r="K154" i="20"/>
  <c r="Q155" i="17"/>
  <c r="N152" i="23"/>
  <c r="K152" i="23"/>
  <c r="L32" i="30"/>
  <c r="K152" i="6"/>
  <c r="K149" i="6" s="1"/>
  <c r="N152" i="6"/>
  <c r="N149" i="6" s="1"/>
  <c r="T152" i="6"/>
  <c r="T149" i="6" s="1"/>
  <c r="Q154" i="20"/>
  <c r="N154" i="20"/>
  <c r="N110" i="23"/>
  <c r="Q152" i="6"/>
  <c r="Q149" i="6" s="1"/>
  <c r="H152" i="6"/>
  <c r="H112" i="20"/>
  <c r="W154" i="20"/>
  <c r="T152" i="23"/>
  <c r="Q152" i="23"/>
  <c r="J113" i="17"/>
  <c r="H110" i="23"/>
  <c r="N110" i="6"/>
  <c r="J110" i="23"/>
  <c r="J110" i="6"/>
  <c r="H110" i="6"/>
  <c r="J112" i="20"/>
  <c r="C40" i="18"/>
  <c r="U22" i="30" s="1"/>
  <c r="H114" i="18"/>
  <c r="C39" i="18"/>
  <c r="U21" i="30" s="1"/>
  <c r="J114" i="18"/>
  <c r="C41" i="18"/>
  <c r="U23" i="30" s="1"/>
  <c r="C41" i="17"/>
  <c r="J21" i="30" s="1"/>
  <c r="C40" i="17"/>
  <c r="J20" i="30" s="1"/>
  <c r="C39" i="17"/>
  <c r="J19" i="30" s="1"/>
  <c r="H113" i="17"/>
  <c r="F152" i="20"/>
  <c r="M152" i="20" s="1"/>
  <c r="E110" i="17"/>
  <c r="F153" i="19"/>
  <c r="R153" i="19" s="1"/>
  <c r="O111" i="19"/>
  <c r="F153" i="18"/>
  <c r="H153" i="18" s="1"/>
  <c r="E110" i="20"/>
  <c r="AV27" i="30" s="1"/>
  <c r="F152" i="17"/>
  <c r="W152" i="17" s="1"/>
  <c r="O110" i="20"/>
  <c r="E111" i="18"/>
  <c r="E111" i="19"/>
  <c r="E113" i="18"/>
  <c r="L113" i="18" s="1"/>
  <c r="O111" i="18"/>
  <c r="C37" i="24" s="1"/>
  <c r="E112" i="17"/>
  <c r="L112" i="17" s="1"/>
  <c r="F154" i="18"/>
  <c r="E112" i="19"/>
  <c r="L112" i="19" s="1"/>
  <c r="E112" i="18"/>
  <c r="L112" i="18" s="1"/>
  <c r="F154" i="19"/>
  <c r="E75" i="9"/>
  <c r="F75" i="9" s="1"/>
  <c r="G75" i="9" s="1"/>
  <c r="H75" i="9" s="1"/>
  <c r="D52" i="22"/>
  <c r="D61" i="22"/>
  <c r="C13" i="21" s="1"/>
  <c r="H7" i="9"/>
  <c r="F43" i="21" l="1"/>
  <c r="G35" i="21" s="1"/>
  <c r="H12" i="10" s="1"/>
  <c r="F12" i="10"/>
  <c r="L110" i="17"/>
  <c r="E41" i="17" s="1"/>
  <c r="F41" i="17" s="1"/>
  <c r="C36" i="24"/>
  <c r="E43" i="21"/>
  <c r="K149" i="20"/>
  <c r="F26" i="9" s="1"/>
  <c r="T156" i="18"/>
  <c r="T149" i="18" s="1"/>
  <c r="AC34" i="30"/>
  <c r="N149" i="17"/>
  <c r="L114" i="19"/>
  <c r="K156" i="18"/>
  <c r="K149" i="18" s="1"/>
  <c r="F23" i="9" s="1"/>
  <c r="K149" i="17"/>
  <c r="F22" i="9" s="1"/>
  <c r="N156" i="18"/>
  <c r="N149" i="18" s="1"/>
  <c r="W149" i="17"/>
  <c r="Q149" i="20"/>
  <c r="H156" i="18"/>
  <c r="W156" i="18"/>
  <c r="M156" i="18"/>
  <c r="J114" i="19"/>
  <c r="N156" i="19"/>
  <c r="Q156" i="18"/>
  <c r="Q149" i="18" s="1"/>
  <c r="Q156" i="19"/>
  <c r="T156" i="19"/>
  <c r="H156" i="19"/>
  <c r="K156" i="19"/>
  <c r="R156" i="19"/>
  <c r="M156" i="19"/>
  <c r="H114" i="19"/>
  <c r="Q149" i="17"/>
  <c r="E120" i="19"/>
  <c r="F162" i="19"/>
  <c r="R162" i="19" s="1"/>
  <c r="T149" i="17"/>
  <c r="M160" i="19"/>
  <c r="M155" i="18"/>
  <c r="W155" i="18"/>
  <c r="R155" i="18"/>
  <c r="H155" i="18"/>
  <c r="H113" i="19"/>
  <c r="L113" i="19"/>
  <c r="N113" i="19"/>
  <c r="J113" i="19"/>
  <c r="AC33" i="30"/>
  <c r="H155" i="19"/>
  <c r="M155" i="19"/>
  <c r="W155" i="19"/>
  <c r="R155" i="19"/>
  <c r="E118" i="19"/>
  <c r="L118" i="19" s="1"/>
  <c r="E119" i="19"/>
  <c r="F161" i="19"/>
  <c r="M161" i="19" s="1"/>
  <c r="R160" i="19"/>
  <c r="C74" i="22"/>
  <c r="AQ42" i="30" s="1"/>
  <c r="C41" i="24"/>
  <c r="D41" i="24" s="1"/>
  <c r="G15" i="4"/>
  <c r="Z15" i="4" s="1"/>
  <c r="E117" i="19" s="1"/>
  <c r="H111" i="18"/>
  <c r="L111" i="18"/>
  <c r="J110" i="20"/>
  <c r="L110" i="20"/>
  <c r="N111" i="19"/>
  <c r="L111" i="19"/>
  <c r="C13" i="18"/>
  <c r="AD16" i="30"/>
  <c r="M13" i="32"/>
  <c r="G22" i="4" s="1"/>
  <c r="N23" i="32"/>
  <c r="M23" i="32" s="1"/>
  <c r="D53" i="22"/>
  <c r="G15" i="19"/>
  <c r="R152" i="20"/>
  <c r="W152" i="20"/>
  <c r="H152" i="20"/>
  <c r="R153" i="18"/>
  <c r="H110" i="20"/>
  <c r="M153" i="18"/>
  <c r="H153" i="19"/>
  <c r="M153" i="19"/>
  <c r="W153" i="19"/>
  <c r="W153" i="18"/>
  <c r="J110" i="17"/>
  <c r="H110" i="17"/>
  <c r="N110" i="17"/>
  <c r="L29" i="30"/>
  <c r="N110" i="20"/>
  <c r="J111" i="19"/>
  <c r="M152" i="17"/>
  <c r="M149" i="17" s="1"/>
  <c r="H22" i="9" s="1"/>
  <c r="H111" i="19"/>
  <c r="AC31" i="30"/>
  <c r="J111" i="18"/>
  <c r="N111" i="18"/>
  <c r="R152" i="17"/>
  <c r="R149" i="17" s="1"/>
  <c r="V32" i="30"/>
  <c r="H152" i="17"/>
  <c r="H149" i="17" s="1"/>
  <c r="C22" i="9" s="1"/>
  <c r="Q160" i="19"/>
  <c r="K160" i="19"/>
  <c r="N160" i="19"/>
  <c r="W160" i="19"/>
  <c r="T160" i="19"/>
  <c r="R154" i="19"/>
  <c r="H154" i="19"/>
  <c r="M154" i="19"/>
  <c r="W154" i="19"/>
  <c r="H112" i="18"/>
  <c r="N112" i="18"/>
  <c r="V33" i="30"/>
  <c r="J112" i="18"/>
  <c r="H112" i="19"/>
  <c r="J112" i="19"/>
  <c r="N112" i="19"/>
  <c r="AC32" i="30"/>
  <c r="W154" i="18"/>
  <c r="R154" i="18"/>
  <c r="H154" i="18"/>
  <c r="M154" i="18"/>
  <c r="H112" i="17"/>
  <c r="L31" i="30"/>
  <c r="J112" i="17"/>
  <c r="N112" i="17"/>
  <c r="J113" i="18"/>
  <c r="H113" i="18"/>
  <c r="V34" i="30"/>
  <c r="N113" i="18"/>
  <c r="G15" i="17"/>
  <c r="G15" i="28"/>
  <c r="E52" i="17"/>
  <c r="G52" i="17" s="1"/>
  <c r="G45" i="17" s="1"/>
  <c r="E52" i="19"/>
  <c r="G52" i="19" s="1"/>
  <c r="G45" i="19" s="1"/>
  <c r="E52" i="21"/>
  <c r="G52" i="21" s="1"/>
  <c r="G45" i="21" s="1"/>
  <c r="E52" i="18"/>
  <c r="G52" i="18" s="1"/>
  <c r="G45" i="18" s="1"/>
  <c r="O130" i="23"/>
  <c r="M14" i="32" l="1"/>
  <c r="M15" i="32" s="1"/>
  <c r="O117" i="19"/>
  <c r="F159" i="19"/>
  <c r="M162" i="19"/>
  <c r="N162" i="19"/>
  <c r="K162" i="19"/>
  <c r="Q162" i="19"/>
  <c r="T162" i="19"/>
  <c r="W162" i="19"/>
  <c r="H162" i="19"/>
  <c r="L120" i="19"/>
  <c r="J120" i="19"/>
  <c r="AC40" i="30"/>
  <c r="H120" i="19"/>
  <c r="N120" i="19"/>
  <c r="N118" i="19"/>
  <c r="H118" i="19"/>
  <c r="J118" i="19"/>
  <c r="L119" i="19"/>
  <c r="J119" i="19"/>
  <c r="N119" i="19"/>
  <c r="H119" i="19"/>
  <c r="AC39" i="30"/>
  <c r="AC38" i="30"/>
  <c r="R161" i="19"/>
  <c r="T161" i="19"/>
  <c r="K161" i="19"/>
  <c r="N161" i="19"/>
  <c r="Q161" i="19"/>
  <c r="W161" i="19"/>
  <c r="H161" i="19"/>
  <c r="O116" i="19"/>
  <c r="E116" i="19"/>
  <c r="F158" i="19"/>
  <c r="E74" i="22"/>
  <c r="I15" i="4"/>
  <c r="D70" i="9"/>
  <c r="G7" i="10" s="1"/>
  <c r="C73" i="22"/>
  <c r="AC37" i="30"/>
  <c r="G105" i="17"/>
  <c r="D62" i="9" s="1"/>
  <c r="D54" i="22"/>
  <c r="D37" i="9"/>
  <c r="E40" i="17"/>
  <c r="F40" i="17" s="1"/>
  <c r="E39" i="17"/>
  <c r="F39" i="17" s="1"/>
  <c r="G28" i="4"/>
  <c r="D35" i="9"/>
  <c r="N117" i="19"/>
  <c r="L24" i="30"/>
  <c r="AC25" i="30"/>
  <c r="V26" i="30"/>
  <c r="AP56" i="30"/>
  <c r="D55" i="22"/>
  <c r="D14" i="9"/>
  <c r="E14" i="9" s="1"/>
  <c r="F14" i="9" s="1"/>
  <c r="G14" i="9" s="1"/>
  <c r="H14" i="9" s="1"/>
  <c r="AD17" i="30"/>
  <c r="G15" i="21"/>
  <c r="E111" i="6"/>
  <c r="L111" i="6" s="1"/>
  <c r="F153" i="6"/>
  <c r="D43" i="9"/>
  <c r="D44" i="9"/>
  <c r="D48" i="9"/>
  <c r="D45" i="9"/>
  <c r="H172" i="23"/>
  <c r="M172" i="23"/>
  <c r="R172" i="23"/>
  <c r="W172" i="23"/>
  <c r="G19" i="4" l="1"/>
  <c r="Z19" i="4" s="1"/>
  <c r="F153" i="23" s="1"/>
  <c r="W153" i="23" s="1"/>
  <c r="G32" i="4"/>
  <c r="Z32" i="4" s="1"/>
  <c r="N22" i="32"/>
  <c r="F116" i="19"/>
  <c r="J116" i="19" s="1"/>
  <c r="F117" i="19"/>
  <c r="R159" i="19"/>
  <c r="W159" i="19"/>
  <c r="M159" i="19"/>
  <c r="H159" i="19"/>
  <c r="T158" i="19"/>
  <c r="N158" i="19"/>
  <c r="Q158" i="19"/>
  <c r="K158" i="19"/>
  <c r="M158" i="19"/>
  <c r="W158" i="19"/>
  <c r="H158" i="19"/>
  <c r="R158" i="19"/>
  <c r="N116" i="19"/>
  <c r="AC36" i="30"/>
  <c r="E73" i="22"/>
  <c r="V58" i="30"/>
  <c r="G29" i="4"/>
  <c r="Z28" i="4"/>
  <c r="O114" i="6" s="1"/>
  <c r="I40" i="4"/>
  <c r="F127" i="23" s="1"/>
  <c r="Z22" i="4"/>
  <c r="O116" i="23" s="1"/>
  <c r="E43" i="9"/>
  <c r="F43" i="9" s="1"/>
  <c r="G43" i="9" s="1"/>
  <c r="H43" i="9" s="1"/>
  <c r="D7" i="10"/>
  <c r="E35" i="9"/>
  <c r="F35" i="9" s="1"/>
  <c r="G35" i="9" s="1"/>
  <c r="H35" i="9" s="1"/>
  <c r="C7" i="10"/>
  <c r="E45" i="9"/>
  <c r="F45" i="9" s="1"/>
  <c r="G45" i="9" s="1"/>
  <c r="H45" i="9" s="1"/>
  <c r="D9" i="10"/>
  <c r="E62" i="9"/>
  <c r="F62" i="9" s="1"/>
  <c r="G62" i="9" s="1"/>
  <c r="F7" i="10"/>
  <c r="E37" i="9"/>
  <c r="F37" i="9" s="1"/>
  <c r="G37" i="9" s="1"/>
  <c r="H37" i="9" s="1"/>
  <c r="C9" i="10"/>
  <c r="E48" i="9"/>
  <c r="F48" i="9" s="1"/>
  <c r="G48" i="9" s="1"/>
  <c r="H48" i="9" s="1"/>
  <c r="D12" i="10"/>
  <c r="E44" i="9"/>
  <c r="F44" i="9" s="1"/>
  <c r="G44" i="9" s="1"/>
  <c r="H44" i="9" s="1"/>
  <c r="D8" i="10"/>
  <c r="E70" i="9"/>
  <c r="F70" i="9" s="1"/>
  <c r="G24" i="4"/>
  <c r="D13" i="9"/>
  <c r="E13" i="9" s="1"/>
  <c r="F13" i="9" s="1"/>
  <c r="G13" i="9" s="1"/>
  <c r="H13" i="9" s="1"/>
  <c r="G26" i="4"/>
  <c r="G40" i="4"/>
  <c r="G23" i="4"/>
  <c r="G30" i="4"/>
  <c r="D56" i="22"/>
  <c r="E115" i="19"/>
  <c r="F115" i="19"/>
  <c r="F43" i="17"/>
  <c r="G35" i="17" s="1"/>
  <c r="H7" i="10" s="1"/>
  <c r="E43" i="17"/>
  <c r="G31" i="4"/>
  <c r="D40" i="9"/>
  <c r="W153" i="6"/>
  <c r="M153" i="6"/>
  <c r="H153" i="6"/>
  <c r="R153" i="6"/>
  <c r="U79" i="30"/>
  <c r="J111" i="6"/>
  <c r="N111" i="6"/>
  <c r="H111" i="6"/>
  <c r="W18" i="30"/>
  <c r="G15" i="18"/>
  <c r="E125" i="20"/>
  <c r="F167" i="20"/>
  <c r="G34" i="4" l="1"/>
  <c r="Z34" i="4" s="1"/>
  <c r="F165" i="23" s="1"/>
  <c r="G35" i="4"/>
  <c r="Z35" i="4" s="1"/>
  <c r="E124" i="23" s="1"/>
  <c r="L124" i="23" s="1"/>
  <c r="G20" i="4"/>
  <c r="G25" i="4" s="1"/>
  <c r="G41" i="4"/>
  <c r="I41" i="4" s="1"/>
  <c r="AA50" i="30"/>
  <c r="O22" i="32"/>
  <c r="D51" i="22" s="1"/>
  <c r="D60" i="22" s="1"/>
  <c r="L116" i="19"/>
  <c r="O121" i="20"/>
  <c r="E126" i="23"/>
  <c r="F168" i="23"/>
  <c r="H116" i="19"/>
  <c r="L117" i="19"/>
  <c r="J117" i="19"/>
  <c r="H117" i="19"/>
  <c r="F154" i="6"/>
  <c r="M154" i="6" s="1"/>
  <c r="O113" i="6"/>
  <c r="F167" i="23"/>
  <c r="E125" i="23"/>
  <c r="L125" i="20"/>
  <c r="AV42" i="30"/>
  <c r="E111" i="23"/>
  <c r="AE79" i="30" s="1"/>
  <c r="Z40" i="4"/>
  <c r="F169" i="23" s="1"/>
  <c r="Z26" i="4"/>
  <c r="Z23" i="4"/>
  <c r="Z24" i="4"/>
  <c r="Z31" i="4"/>
  <c r="Z29" i="4"/>
  <c r="F155" i="6" s="1"/>
  <c r="Z30" i="4"/>
  <c r="E114" i="6" s="1"/>
  <c r="E40" i="9"/>
  <c r="F40" i="9" s="1"/>
  <c r="G40" i="9" s="1"/>
  <c r="H40" i="9" s="1"/>
  <c r="C12" i="10"/>
  <c r="C72" i="22"/>
  <c r="D36" i="9"/>
  <c r="L115" i="19"/>
  <c r="R153" i="23"/>
  <c r="H153" i="23"/>
  <c r="M153" i="23"/>
  <c r="C13" i="6"/>
  <c r="G15" i="6" s="1"/>
  <c r="D57" i="22"/>
  <c r="O115" i="19"/>
  <c r="C38" i="24" s="1"/>
  <c r="F157" i="19"/>
  <c r="C39" i="19"/>
  <c r="AB20" i="30" s="1"/>
  <c r="C41" i="19"/>
  <c r="AB22" i="30" s="1"/>
  <c r="C40" i="19"/>
  <c r="AB21" i="30" s="1"/>
  <c r="O112" i="6"/>
  <c r="E112" i="6"/>
  <c r="L112" i="6" s="1"/>
  <c r="E122" i="23"/>
  <c r="L122" i="23" s="1"/>
  <c r="F164" i="23"/>
  <c r="O124" i="20"/>
  <c r="J115" i="19"/>
  <c r="H115" i="19"/>
  <c r="N115" i="19"/>
  <c r="AC35" i="30"/>
  <c r="J125" i="20"/>
  <c r="H125" i="20"/>
  <c r="N125" i="20"/>
  <c r="G70" i="9"/>
  <c r="H62" i="9"/>
  <c r="E123" i="23" l="1"/>
  <c r="L123" i="23" s="1"/>
  <c r="F166" i="23"/>
  <c r="H166" i="23" s="1"/>
  <c r="Z41" i="4"/>
  <c r="E128" i="23" s="1"/>
  <c r="N128" i="23" s="1"/>
  <c r="G21" i="4"/>
  <c r="Z21" i="4" s="1"/>
  <c r="O115" i="23" s="1"/>
  <c r="Z20" i="4"/>
  <c r="F154" i="23" s="1"/>
  <c r="L154" i="23" s="1"/>
  <c r="J12" i="3"/>
  <c r="L12" i="3" s="1"/>
  <c r="D59" i="22"/>
  <c r="G47" i="4"/>
  <c r="I47" i="4" s="1"/>
  <c r="C68" i="22"/>
  <c r="D8" i="9" s="1"/>
  <c r="G44" i="4"/>
  <c r="G51" i="4"/>
  <c r="Z51" i="4" s="1"/>
  <c r="F164" i="20" s="1"/>
  <c r="G45" i="4"/>
  <c r="G49" i="4"/>
  <c r="Z49" i="4" s="1"/>
  <c r="E120" i="20" s="1"/>
  <c r="AV37" i="30" s="1"/>
  <c r="G50" i="4"/>
  <c r="Z50" i="4" s="1"/>
  <c r="F163" i="20" s="1"/>
  <c r="J10" i="3"/>
  <c r="L10" i="3" s="1"/>
  <c r="E12" i="24" s="1"/>
  <c r="G12" i="24" s="1"/>
  <c r="G46" i="4"/>
  <c r="G48" i="4"/>
  <c r="G52" i="4"/>
  <c r="Z52" i="4" s="1"/>
  <c r="F165" i="20" s="1"/>
  <c r="D58" i="22"/>
  <c r="C69" i="22" s="1"/>
  <c r="AQ18" i="30" s="1"/>
  <c r="AX11" i="30" s="1"/>
  <c r="C71" i="22"/>
  <c r="AQ33" i="30" s="1"/>
  <c r="AX13" i="30" s="1"/>
  <c r="H154" i="6"/>
  <c r="R154" i="6"/>
  <c r="W154" i="6"/>
  <c r="E121" i="23"/>
  <c r="L121" i="23" s="1"/>
  <c r="F120" i="20"/>
  <c r="F121" i="20"/>
  <c r="O117" i="6"/>
  <c r="O123" i="23"/>
  <c r="F159" i="6"/>
  <c r="E117" i="6"/>
  <c r="R168" i="23"/>
  <c r="H168" i="23"/>
  <c r="W168" i="23"/>
  <c r="M168" i="23"/>
  <c r="N126" i="23"/>
  <c r="H126" i="23"/>
  <c r="J126" i="23"/>
  <c r="L126" i="23"/>
  <c r="AE94" i="30"/>
  <c r="O129" i="23"/>
  <c r="O119" i="6"/>
  <c r="W157" i="19"/>
  <c r="K157" i="19"/>
  <c r="K149" i="19" s="1"/>
  <c r="F24" i="9" s="1"/>
  <c r="N157" i="19"/>
  <c r="N149" i="19" s="1"/>
  <c r="Q157" i="19"/>
  <c r="Q149" i="19" s="1"/>
  <c r="T157" i="19"/>
  <c r="T149" i="19" s="1"/>
  <c r="F157" i="6"/>
  <c r="H157" i="6" s="1"/>
  <c r="O116" i="6"/>
  <c r="O122" i="23"/>
  <c r="F158" i="6"/>
  <c r="E116" i="6"/>
  <c r="L125" i="23"/>
  <c r="J125" i="23"/>
  <c r="H125" i="23"/>
  <c r="N125" i="23"/>
  <c r="AE93" i="30"/>
  <c r="F118" i="6"/>
  <c r="F119" i="6"/>
  <c r="F129" i="23"/>
  <c r="M167" i="23"/>
  <c r="R167" i="23"/>
  <c r="W167" i="23"/>
  <c r="H167" i="23"/>
  <c r="F158" i="23"/>
  <c r="Q158" i="23" s="1"/>
  <c r="H169" i="23"/>
  <c r="R169" i="23"/>
  <c r="M169" i="23"/>
  <c r="O115" i="6"/>
  <c r="E120" i="23"/>
  <c r="H120" i="23" s="1"/>
  <c r="E115" i="6"/>
  <c r="L115" i="6" s="1"/>
  <c r="O121" i="23"/>
  <c r="E72" i="22"/>
  <c r="AF58" i="30"/>
  <c r="F163" i="23"/>
  <c r="M163" i="23" s="1"/>
  <c r="F156" i="6"/>
  <c r="H156" i="6" s="1"/>
  <c r="E127" i="23"/>
  <c r="L111" i="23"/>
  <c r="J111" i="23"/>
  <c r="N111" i="23"/>
  <c r="H111" i="23"/>
  <c r="F162" i="23"/>
  <c r="H162" i="23" s="1"/>
  <c r="E116" i="23"/>
  <c r="F128" i="23"/>
  <c r="E113" i="6"/>
  <c r="Z25" i="4"/>
  <c r="F161" i="23" s="1"/>
  <c r="H155" i="6"/>
  <c r="M155" i="6"/>
  <c r="R155" i="6"/>
  <c r="W155" i="6"/>
  <c r="E36" i="9"/>
  <c r="F36" i="9" s="1"/>
  <c r="G36" i="9" s="1"/>
  <c r="H36" i="9" s="1"/>
  <c r="C8" i="10"/>
  <c r="N114" i="6"/>
  <c r="L114" i="6"/>
  <c r="W169" i="23"/>
  <c r="Q169" i="23"/>
  <c r="T169" i="23"/>
  <c r="J114" i="6"/>
  <c r="H114" i="6"/>
  <c r="K169" i="23"/>
  <c r="N169" i="23"/>
  <c r="U82" i="30"/>
  <c r="D12" i="9"/>
  <c r="E12" i="9" s="1"/>
  <c r="F12" i="9" s="1"/>
  <c r="G12" i="9" s="1"/>
  <c r="H12" i="9" s="1"/>
  <c r="M157" i="19"/>
  <c r="H157" i="19"/>
  <c r="R157" i="19"/>
  <c r="J6" i="3"/>
  <c r="L6" i="3" s="1"/>
  <c r="H112" i="6"/>
  <c r="J112" i="6"/>
  <c r="U80" i="30"/>
  <c r="N112" i="6"/>
  <c r="R165" i="23"/>
  <c r="M165" i="23"/>
  <c r="W165" i="23"/>
  <c r="H165" i="23"/>
  <c r="N124" i="23"/>
  <c r="H124" i="23"/>
  <c r="AE92" i="30"/>
  <c r="J124" i="23"/>
  <c r="M164" i="23"/>
  <c r="R164" i="23"/>
  <c r="H164" i="23"/>
  <c r="W164" i="23"/>
  <c r="J122" i="23"/>
  <c r="H122" i="23"/>
  <c r="N122" i="23"/>
  <c r="AE90" i="30"/>
  <c r="F166" i="20"/>
  <c r="E124" i="20"/>
  <c r="H70" i="9"/>
  <c r="F160" i="6" l="1"/>
  <c r="H160" i="6" s="1"/>
  <c r="J123" i="23"/>
  <c r="N123" i="23"/>
  <c r="H123" i="23"/>
  <c r="AE91" i="30"/>
  <c r="E112" i="23"/>
  <c r="L112" i="23" s="1"/>
  <c r="R166" i="23"/>
  <c r="M166" i="23"/>
  <c r="W166" i="23"/>
  <c r="I154" i="23"/>
  <c r="E118" i="6"/>
  <c r="N118" i="6" s="1"/>
  <c r="O128" i="23"/>
  <c r="L128" i="23"/>
  <c r="O118" i="6"/>
  <c r="F170" i="23"/>
  <c r="M170" i="23" s="1"/>
  <c r="AE96" i="30"/>
  <c r="K154" i="23"/>
  <c r="N154" i="23"/>
  <c r="T154" i="23"/>
  <c r="P154" i="23"/>
  <c r="W154" i="23"/>
  <c r="R154" i="23"/>
  <c r="S154" i="23"/>
  <c r="H154" i="23"/>
  <c r="M154" i="23"/>
  <c r="J154" i="23"/>
  <c r="U154" i="23"/>
  <c r="V154" i="23"/>
  <c r="O154" i="23"/>
  <c r="Q154" i="23"/>
  <c r="E122" i="20"/>
  <c r="J122" i="20" s="1"/>
  <c r="E123" i="20"/>
  <c r="AV40" i="30" s="1"/>
  <c r="D13" i="20"/>
  <c r="E69" i="22"/>
  <c r="E121" i="20"/>
  <c r="L121" i="20" s="1"/>
  <c r="N120" i="20"/>
  <c r="E71" i="22"/>
  <c r="F162" i="20"/>
  <c r="H162" i="20" s="1"/>
  <c r="J120" i="20"/>
  <c r="J13" i="3"/>
  <c r="C70" i="22"/>
  <c r="F13" i="20" s="1"/>
  <c r="H21" i="20" s="1"/>
  <c r="Z45" i="4"/>
  <c r="F158" i="20" s="1"/>
  <c r="O158" i="20" s="1"/>
  <c r="O149" i="20" s="1"/>
  <c r="I45" i="4"/>
  <c r="F116" i="20" s="1"/>
  <c r="Z48" i="4"/>
  <c r="O119" i="20" s="1"/>
  <c r="I48" i="4"/>
  <c r="F119" i="20" s="1"/>
  <c r="Z46" i="4"/>
  <c r="I46" i="4"/>
  <c r="F117" i="20" s="1"/>
  <c r="Z44" i="4"/>
  <c r="I44" i="4"/>
  <c r="F115" i="20" s="1"/>
  <c r="Z47" i="4"/>
  <c r="F118" i="20"/>
  <c r="AQ10" i="30"/>
  <c r="E68" i="22"/>
  <c r="H121" i="23"/>
  <c r="J121" i="23"/>
  <c r="AE89" i="30"/>
  <c r="C40" i="6"/>
  <c r="T69" i="30" s="1"/>
  <c r="H120" i="20"/>
  <c r="L120" i="20"/>
  <c r="N121" i="23"/>
  <c r="M157" i="6"/>
  <c r="W158" i="23"/>
  <c r="C41" i="6"/>
  <c r="T70" i="30" s="1"/>
  <c r="E113" i="23"/>
  <c r="H113" i="23" s="1"/>
  <c r="W157" i="6"/>
  <c r="C39" i="6"/>
  <c r="T68" i="30" s="1"/>
  <c r="R157" i="6"/>
  <c r="K158" i="23"/>
  <c r="T158" i="23"/>
  <c r="H158" i="23"/>
  <c r="F157" i="23"/>
  <c r="N157" i="23" s="1"/>
  <c r="J159" i="20"/>
  <c r="L159" i="20"/>
  <c r="P159" i="20"/>
  <c r="T159" i="20"/>
  <c r="V159" i="20"/>
  <c r="N159" i="20"/>
  <c r="E115" i="23"/>
  <c r="J117" i="6"/>
  <c r="L117" i="6"/>
  <c r="H117" i="6"/>
  <c r="U85" i="30"/>
  <c r="N117" i="6"/>
  <c r="F160" i="23"/>
  <c r="W160" i="23" s="1"/>
  <c r="O119" i="23"/>
  <c r="H159" i="6"/>
  <c r="W159" i="6"/>
  <c r="R159" i="6"/>
  <c r="M159" i="6"/>
  <c r="E119" i="23"/>
  <c r="AE87" i="30" s="1"/>
  <c r="N158" i="23"/>
  <c r="U158" i="23"/>
  <c r="S158" i="23"/>
  <c r="R158" i="23"/>
  <c r="V158" i="23"/>
  <c r="I158" i="23"/>
  <c r="O158" i="23"/>
  <c r="L158" i="23"/>
  <c r="P158" i="23"/>
  <c r="M158" i="23"/>
  <c r="J158" i="23"/>
  <c r="L120" i="23"/>
  <c r="O117" i="23"/>
  <c r="O118" i="23"/>
  <c r="AE88" i="30"/>
  <c r="N116" i="6"/>
  <c r="H116" i="6"/>
  <c r="L116" i="6"/>
  <c r="U84" i="30"/>
  <c r="J116" i="6"/>
  <c r="J120" i="23"/>
  <c r="O113" i="23"/>
  <c r="E114" i="23"/>
  <c r="F156" i="23"/>
  <c r="O114" i="23"/>
  <c r="R158" i="6"/>
  <c r="W158" i="6"/>
  <c r="M158" i="6"/>
  <c r="H158" i="6"/>
  <c r="N120" i="23"/>
  <c r="E118" i="23"/>
  <c r="L118" i="23" s="1"/>
  <c r="N170" i="23"/>
  <c r="K170" i="23"/>
  <c r="Q170" i="23"/>
  <c r="T170" i="23"/>
  <c r="W160" i="6"/>
  <c r="V157" i="23"/>
  <c r="U157" i="23"/>
  <c r="I157" i="23"/>
  <c r="L157" i="23"/>
  <c r="U83" i="30"/>
  <c r="N115" i="6"/>
  <c r="J115" i="6"/>
  <c r="H115" i="6"/>
  <c r="F155" i="23"/>
  <c r="M162" i="23"/>
  <c r="R163" i="23"/>
  <c r="M156" i="6"/>
  <c r="L124" i="20"/>
  <c r="AV41" i="30"/>
  <c r="W163" i="23"/>
  <c r="H163" i="23"/>
  <c r="W156" i="6"/>
  <c r="R160" i="6"/>
  <c r="W162" i="23"/>
  <c r="R156" i="6"/>
  <c r="R162" i="23"/>
  <c r="L127" i="23"/>
  <c r="AE95" i="30"/>
  <c r="J127" i="23"/>
  <c r="H127" i="23"/>
  <c r="N127" i="23"/>
  <c r="J128" i="23"/>
  <c r="H128" i="23"/>
  <c r="M160" i="6"/>
  <c r="E117" i="23"/>
  <c r="F159" i="23"/>
  <c r="L116" i="23"/>
  <c r="H116" i="23"/>
  <c r="J116" i="23"/>
  <c r="AE84" i="30"/>
  <c r="N116" i="23"/>
  <c r="R161" i="23"/>
  <c r="W161" i="23"/>
  <c r="H161" i="23"/>
  <c r="M161" i="23"/>
  <c r="L113" i="6"/>
  <c r="U81" i="30"/>
  <c r="J113" i="6"/>
  <c r="N113" i="6"/>
  <c r="H113" i="6"/>
  <c r="C41" i="23"/>
  <c r="AD70" i="30" s="1"/>
  <c r="C40" i="23"/>
  <c r="AD69" i="30" s="1"/>
  <c r="C39" i="23"/>
  <c r="AD68" i="30" s="1"/>
  <c r="D11" i="9"/>
  <c r="E11" i="9" s="1"/>
  <c r="F11" i="9" s="1"/>
  <c r="G11" i="9" s="1"/>
  <c r="H11" i="9" s="1"/>
  <c r="D9" i="9"/>
  <c r="E9" i="9" s="1"/>
  <c r="F9" i="9" s="1"/>
  <c r="G9" i="9" s="1"/>
  <c r="H9" i="9" s="1"/>
  <c r="G13" i="20"/>
  <c r="H22" i="20" s="1"/>
  <c r="H13" i="20"/>
  <c r="C13" i="23"/>
  <c r="AF57" i="30" s="1"/>
  <c r="J8" i="3"/>
  <c r="L8" i="3" s="1"/>
  <c r="M166" i="20"/>
  <c r="W166" i="20"/>
  <c r="N164" i="20"/>
  <c r="T164" i="20"/>
  <c r="V164" i="20"/>
  <c r="L164" i="20"/>
  <c r="P164" i="20"/>
  <c r="J164" i="20"/>
  <c r="E13" i="20"/>
  <c r="H20" i="20" s="1"/>
  <c r="W162" i="20"/>
  <c r="M162" i="20"/>
  <c r="L166" i="20"/>
  <c r="R166" i="20"/>
  <c r="J166" i="20"/>
  <c r="P166" i="20"/>
  <c r="V166" i="20"/>
  <c r="H166" i="20"/>
  <c r="T166" i="20"/>
  <c r="N166" i="20"/>
  <c r="N158" i="20"/>
  <c r="L158" i="20"/>
  <c r="V158" i="20"/>
  <c r="T158" i="20"/>
  <c r="J158" i="20"/>
  <c r="P158" i="20"/>
  <c r="M165" i="20"/>
  <c r="W165" i="20"/>
  <c r="M157" i="20"/>
  <c r="W157" i="20"/>
  <c r="E54" i="20"/>
  <c r="G54" i="20" s="1"/>
  <c r="N124" i="20"/>
  <c r="J124" i="20"/>
  <c r="H124" i="20"/>
  <c r="E8" i="9"/>
  <c r="R164" i="20"/>
  <c r="M164" i="20"/>
  <c r="H164" i="20"/>
  <c r="W164" i="20"/>
  <c r="W163" i="20"/>
  <c r="M163" i="20"/>
  <c r="H163" i="20"/>
  <c r="R163" i="20"/>
  <c r="T165" i="20"/>
  <c r="R165" i="20"/>
  <c r="J165" i="20"/>
  <c r="N165" i="20"/>
  <c r="P165" i="20"/>
  <c r="V165" i="20"/>
  <c r="L165" i="20"/>
  <c r="H165" i="20"/>
  <c r="N112" i="23" l="1"/>
  <c r="H112" i="23"/>
  <c r="J112" i="23"/>
  <c r="AE80" i="30"/>
  <c r="R170" i="23"/>
  <c r="U86" i="30"/>
  <c r="W170" i="23"/>
  <c r="H170" i="23"/>
  <c r="J118" i="6"/>
  <c r="L118" i="6"/>
  <c r="H118" i="6"/>
  <c r="J123" i="20"/>
  <c r="N122" i="20"/>
  <c r="L122" i="20"/>
  <c r="N123" i="20"/>
  <c r="L123" i="20"/>
  <c r="H123" i="20"/>
  <c r="H122" i="20"/>
  <c r="AV38" i="30"/>
  <c r="J121" i="20"/>
  <c r="H121" i="20"/>
  <c r="AV39" i="30"/>
  <c r="R162" i="20"/>
  <c r="N121" i="20"/>
  <c r="D10" i="9"/>
  <c r="E10" i="9" s="1"/>
  <c r="F10" i="9" s="1"/>
  <c r="G10" i="9" s="1"/>
  <c r="H10" i="9" s="1"/>
  <c r="E116" i="20"/>
  <c r="AV33" i="30" s="1"/>
  <c r="W158" i="20"/>
  <c r="O116" i="20"/>
  <c r="H158" i="20"/>
  <c r="R158" i="20"/>
  <c r="M158" i="20"/>
  <c r="E119" i="20"/>
  <c r="L119" i="20" s="1"/>
  <c r="F161" i="20"/>
  <c r="R161" i="20" s="1"/>
  <c r="C39" i="20"/>
  <c r="AW16" i="30" s="1"/>
  <c r="C40" i="20"/>
  <c r="AW17" i="30" s="1"/>
  <c r="C41" i="20"/>
  <c r="AW18" i="30" s="1"/>
  <c r="F159" i="20"/>
  <c r="E117" i="20"/>
  <c r="O117" i="20"/>
  <c r="AK13" i="30"/>
  <c r="AX10" i="30"/>
  <c r="O120" i="20"/>
  <c r="E118" i="20"/>
  <c r="O118" i="20"/>
  <c r="F160" i="20"/>
  <c r="G71" i="22"/>
  <c r="G70" i="22"/>
  <c r="G73" i="22"/>
  <c r="G67" i="22"/>
  <c r="E70" i="22"/>
  <c r="E75" i="22" s="1"/>
  <c r="G68" i="22"/>
  <c r="AQ26" i="30"/>
  <c r="AX12" i="30" s="1"/>
  <c r="G69" i="22"/>
  <c r="C75" i="22"/>
  <c r="G72" i="22"/>
  <c r="G74" i="22"/>
  <c r="O115" i="20"/>
  <c r="F157" i="20"/>
  <c r="E115" i="20"/>
  <c r="L13" i="3"/>
  <c r="J7" i="3"/>
  <c r="L7" i="3" s="1"/>
  <c r="L113" i="23"/>
  <c r="N113" i="23"/>
  <c r="J113" i="23"/>
  <c r="AE81" i="30"/>
  <c r="Q157" i="23"/>
  <c r="T157" i="23"/>
  <c r="J157" i="23"/>
  <c r="P157" i="23"/>
  <c r="O157" i="23"/>
  <c r="M157" i="23"/>
  <c r="W157" i="23"/>
  <c r="R157" i="23"/>
  <c r="S157" i="23"/>
  <c r="H157" i="23"/>
  <c r="K157" i="23"/>
  <c r="H119" i="23"/>
  <c r="J119" i="23"/>
  <c r="C39" i="24"/>
  <c r="R160" i="23"/>
  <c r="M160" i="23"/>
  <c r="H160" i="23"/>
  <c r="V156" i="23"/>
  <c r="T156" i="23"/>
  <c r="Q156" i="23"/>
  <c r="J156" i="23"/>
  <c r="N156" i="23"/>
  <c r="I156" i="23"/>
  <c r="U156" i="23"/>
  <c r="O156" i="23"/>
  <c r="P156" i="23"/>
  <c r="S156" i="23"/>
  <c r="K156" i="23"/>
  <c r="L115" i="23"/>
  <c r="J115" i="23"/>
  <c r="N115" i="23"/>
  <c r="H115" i="23"/>
  <c r="AE83" i="30"/>
  <c r="L119" i="23"/>
  <c r="N119" i="23"/>
  <c r="Q160" i="23"/>
  <c r="K160" i="23"/>
  <c r="N160" i="23"/>
  <c r="T160" i="23"/>
  <c r="R155" i="23"/>
  <c r="K155" i="23"/>
  <c r="V155" i="23"/>
  <c r="P155" i="23"/>
  <c r="T155" i="23"/>
  <c r="U155" i="23"/>
  <c r="S155" i="23"/>
  <c r="I155" i="23"/>
  <c r="L155" i="23"/>
  <c r="Q155" i="23"/>
  <c r="N155" i="23"/>
  <c r="O155" i="23"/>
  <c r="J155" i="23"/>
  <c r="L114" i="23"/>
  <c r="AE82" i="30"/>
  <c r="H114" i="23"/>
  <c r="N114" i="23"/>
  <c r="J114" i="23"/>
  <c r="H118" i="23"/>
  <c r="AE86" i="30"/>
  <c r="N159" i="23"/>
  <c r="T159" i="23"/>
  <c r="Q159" i="23"/>
  <c r="K159" i="23"/>
  <c r="J118" i="23"/>
  <c r="N118" i="23"/>
  <c r="L156" i="23"/>
  <c r="H156" i="23"/>
  <c r="W156" i="23"/>
  <c r="M156" i="23"/>
  <c r="R156" i="23"/>
  <c r="W155" i="23"/>
  <c r="H155" i="23"/>
  <c r="M155" i="23"/>
  <c r="H159" i="23"/>
  <c r="R159" i="23"/>
  <c r="M159" i="23"/>
  <c r="W159" i="23"/>
  <c r="L117" i="23"/>
  <c r="AE85" i="30"/>
  <c r="N117" i="23"/>
  <c r="H117" i="23"/>
  <c r="J117" i="23"/>
  <c r="G15" i="23"/>
  <c r="E52" i="23"/>
  <c r="E52" i="6"/>
  <c r="E33" i="20"/>
  <c r="G15" i="20" s="1"/>
  <c r="D39" i="9" s="1"/>
  <c r="C11" i="10" s="1"/>
  <c r="F8" i="9"/>
  <c r="I149" i="23" l="1"/>
  <c r="D25" i="9" s="1"/>
  <c r="D19" i="9" s="1"/>
  <c r="D101" i="9" s="1"/>
  <c r="V149" i="23"/>
  <c r="D6" i="9"/>
  <c r="D114" i="9" s="1"/>
  <c r="E6" i="9"/>
  <c r="E100" i="9" s="1"/>
  <c r="E103" i="9" s="1"/>
  <c r="F6" i="9"/>
  <c r="J119" i="20"/>
  <c r="L116" i="20"/>
  <c r="J116" i="20"/>
  <c r="N116" i="20"/>
  <c r="H116" i="20"/>
  <c r="H161" i="20"/>
  <c r="N119" i="20"/>
  <c r="H119" i="20"/>
  <c r="AV36" i="30"/>
  <c r="M161" i="20"/>
  <c r="W161" i="20"/>
  <c r="J11" i="3"/>
  <c r="L11" i="3" s="1"/>
  <c r="J9" i="3"/>
  <c r="L9" i="3" s="1"/>
  <c r="E83" i="17" s="1"/>
  <c r="C40" i="24"/>
  <c r="AV32" i="30"/>
  <c r="L115" i="20"/>
  <c r="J115" i="20"/>
  <c r="N115" i="20"/>
  <c r="H115" i="20"/>
  <c r="AV35" i="30"/>
  <c r="J118" i="20"/>
  <c r="H118" i="20"/>
  <c r="N118" i="20"/>
  <c r="L118" i="20"/>
  <c r="P157" i="20"/>
  <c r="P149" i="20" s="1"/>
  <c r="J157" i="20"/>
  <c r="J149" i="20" s="1"/>
  <c r="E26" i="9" s="1"/>
  <c r="H157" i="20"/>
  <c r="T157" i="20"/>
  <c r="T149" i="20" s="1"/>
  <c r="L157" i="20"/>
  <c r="L149" i="20" s="1"/>
  <c r="G26" i="9" s="1"/>
  <c r="R157" i="20"/>
  <c r="N157" i="20"/>
  <c r="N149" i="20" s="1"/>
  <c r="V157" i="20"/>
  <c r="V149" i="20" s="1"/>
  <c r="G75" i="22"/>
  <c r="AV34" i="30"/>
  <c r="L117" i="20"/>
  <c r="J117" i="20"/>
  <c r="H117" i="20"/>
  <c r="N117" i="20"/>
  <c r="E9" i="24"/>
  <c r="G9" i="24" s="1"/>
  <c r="E83" i="21"/>
  <c r="H160" i="20"/>
  <c r="R160" i="20"/>
  <c r="M160" i="20"/>
  <c r="W160" i="20"/>
  <c r="R159" i="20"/>
  <c r="W159" i="20"/>
  <c r="M159" i="20"/>
  <c r="H159" i="20"/>
  <c r="P149" i="23"/>
  <c r="O149" i="23"/>
  <c r="S149" i="23"/>
  <c r="U149" i="23"/>
  <c r="J149" i="23"/>
  <c r="E25" i="9" s="1"/>
  <c r="L149" i="23"/>
  <c r="G25" i="9" s="1"/>
  <c r="E83" i="23"/>
  <c r="AE74" i="30" s="1"/>
  <c r="D38" i="9"/>
  <c r="U73" i="30"/>
  <c r="G52" i="6"/>
  <c r="G45" i="6" s="1"/>
  <c r="AE73" i="30"/>
  <c r="G52" i="23"/>
  <c r="G45" i="23" s="1"/>
  <c r="G8" i="9"/>
  <c r="G6" i="9" s="1"/>
  <c r="E39" i="9"/>
  <c r="E83" i="20" l="1"/>
  <c r="G83" i="20" s="1"/>
  <c r="E83" i="18"/>
  <c r="G83" i="18" s="1"/>
  <c r="E84" i="18"/>
  <c r="V28" i="30" s="1"/>
  <c r="E83" i="6"/>
  <c r="E10" i="24"/>
  <c r="G10" i="24" s="1"/>
  <c r="E83" i="19"/>
  <c r="G83" i="19" s="1"/>
  <c r="E114" i="9"/>
  <c r="D100" i="9"/>
  <c r="D103" i="9" s="1"/>
  <c r="E41" i="20"/>
  <c r="F41" i="20" s="1"/>
  <c r="E84" i="21"/>
  <c r="AP58" i="30" s="1"/>
  <c r="E19" i="9"/>
  <c r="E101" i="9" s="1"/>
  <c r="E84" i="6"/>
  <c r="U75" i="30" s="1"/>
  <c r="E84" i="23"/>
  <c r="G84" i="23" s="1"/>
  <c r="E84" i="20"/>
  <c r="AV24" i="30" s="1"/>
  <c r="G105" i="20"/>
  <c r="D66" i="9" s="1"/>
  <c r="F11" i="10" s="1"/>
  <c r="R149" i="20"/>
  <c r="E84" i="19"/>
  <c r="AC27" i="30" s="1"/>
  <c r="K3" i="3"/>
  <c r="E11" i="24"/>
  <c r="G11" i="24" s="1"/>
  <c r="C42" i="24"/>
  <c r="C43" i="24" s="1"/>
  <c r="E84" i="17"/>
  <c r="L26" i="30" s="1"/>
  <c r="E39" i="20"/>
  <c r="F39" i="20" s="1"/>
  <c r="E40" i="20"/>
  <c r="F40" i="20" s="1"/>
  <c r="M149" i="20"/>
  <c r="H26" i="9" s="1"/>
  <c r="H149" i="20"/>
  <c r="C26" i="9" s="1"/>
  <c r="D74" i="9" s="1"/>
  <c r="G11" i="10" s="1"/>
  <c r="G19" i="9"/>
  <c r="G101" i="9" s="1"/>
  <c r="W149" i="20"/>
  <c r="AP57" i="30"/>
  <c r="G83" i="21"/>
  <c r="G83" i="17"/>
  <c r="L25" i="30"/>
  <c r="C47" i="24"/>
  <c r="E13" i="24"/>
  <c r="G13" i="24" s="1"/>
  <c r="K7" i="43"/>
  <c r="E38" i="9"/>
  <c r="F38" i="9" s="1"/>
  <c r="G38" i="9" s="1"/>
  <c r="H38" i="9" s="1"/>
  <c r="C10" i="10"/>
  <c r="G83" i="23"/>
  <c r="D34" i="9"/>
  <c r="D46" i="9"/>
  <c r="F114" i="9"/>
  <c r="F100" i="9"/>
  <c r="F103" i="9" s="1"/>
  <c r="F39" i="9"/>
  <c r="H8" i="9"/>
  <c r="H6" i="9" s="1"/>
  <c r="V27" i="30" l="1"/>
  <c r="AV23" i="30"/>
  <c r="G84" i="18"/>
  <c r="G76" i="18" s="1"/>
  <c r="D55" i="9" s="1"/>
  <c r="E55" i="9" s="1"/>
  <c r="F55" i="9" s="1"/>
  <c r="G55" i="9" s="1"/>
  <c r="H55" i="9" s="1"/>
  <c r="AC26" i="30"/>
  <c r="U74" i="30"/>
  <c r="G83" i="6"/>
  <c r="G84" i="20"/>
  <c r="G76" i="20" s="1"/>
  <c r="D58" i="9" s="1"/>
  <c r="E11" i="10" s="1"/>
  <c r="G84" i="21"/>
  <c r="G76" i="21" s="1"/>
  <c r="D59" i="9" s="1"/>
  <c r="E59" i="9" s="1"/>
  <c r="F59" i="9" s="1"/>
  <c r="G59" i="9" s="1"/>
  <c r="H59" i="9" s="1"/>
  <c r="AE75" i="30"/>
  <c r="G3" i="24"/>
  <c r="D86" i="9" s="1"/>
  <c r="E86" i="9" s="1"/>
  <c r="F86" i="9" s="1"/>
  <c r="G86" i="9" s="1"/>
  <c r="D42" i="24"/>
  <c r="C48" i="24" s="1"/>
  <c r="D89" i="9" s="1"/>
  <c r="C63" i="10" s="1"/>
  <c r="G84" i="17"/>
  <c r="G76" i="17" s="1"/>
  <c r="D54" i="9" s="1"/>
  <c r="E54" i="9" s="1"/>
  <c r="F54" i="9" s="1"/>
  <c r="G54" i="9" s="1"/>
  <c r="G84" i="19"/>
  <c r="G76" i="19" s="1"/>
  <c r="D56" i="9" s="1"/>
  <c r="E56" i="9" s="1"/>
  <c r="F56" i="9" s="1"/>
  <c r="G56" i="9" s="1"/>
  <c r="H56" i="9" s="1"/>
  <c r="E74" i="9"/>
  <c r="F74" i="9" s="1"/>
  <c r="G74" i="9" s="1"/>
  <c r="H74" i="9" s="1"/>
  <c r="E66" i="9"/>
  <c r="F66" i="9" s="1"/>
  <c r="G66" i="9" s="1"/>
  <c r="H66" i="9" s="1"/>
  <c r="G76" i="23"/>
  <c r="G84" i="6"/>
  <c r="F43" i="20"/>
  <c r="G35" i="20" s="1"/>
  <c r="H11" i="10" s="1"/>
  <c r="E43" i="20"/>
  <c r="E34" i="9"/>
  <c r="C13" i="10"/>
  <c r="E46" i="9"/>
  <c r="F46" i="9" s="1"/>
  <c r="G46" i="9" s="1"/>
  <c r="H46" i="9" s="1"/>
  <c r="D10" i="10"/>
  <c r="G100" i="9"/>
  <c r="G103" i="9" s="1"/>
  <c r="G114" i="9"/>
  <c r="G39" i="9"/>
  <c r="F34" i="9"/>
  <c r="G76" i="6" l="1"/>
  <c r="D57" i="9" s="1"/>
  <c r="E10" i="10" s="1"/>
  <c r="E12" i="10"/>
  <c r="I12" i="10" s="1"/>
  <c r="C60" i="10"/>
  <c r="E9" i="10"/>
  <c r="E8" i="10"/>
  <c r="E58" i="9"/>
  <c r="F58" i="9" s="1"/>
  <c r="G58" i="9" s="1"/>
  <c r="H58" i="9" s="1"/>
  <c r="E7" i="10"/>
  <c r="I7" i="10" s="1"/>
  <c r="C18" i="10"/>
  <c r="C20" i="10"/>
  <c r="C23" i="10"/>
  <c r="C19" i="10"/>
  <c r="C22" i="10"/>
  <c r="C21" i="10"/>
  <c r="H86" i="9"/>
  <c r="H54" i="9"/>
  <c r="H100" i="9"/>
  <c r="H103" i="9" s="1"/>
  <c r="H114" i="9"/>
  <c r="H39" i="9"/>
  <c r="G34" i="9"/>
  <c r="D53" i="9" l="1"/>
  <c r="E57" i="9"/>
  <c r="F57" i="9" s="1"/>
  <c r="G57" i="9" s="1"/>
  <c r="H57" i="9" s="1"/>
  <c r="H53" i="9" s="1"/>
  <c r="E13" i="10"/>
  <c r="E18" i="10" s="1"/>
  <c r="H28" i="10"/>
  <c r="H32" i="10"/>
  <c r="H33" i="10"/>
  <c r="H31" i="10"/>
  <c r="H29" i="10"/>
  <c r="C28" i="10"/>
  <c r="C32" i="10"/>
  <c r="C31" i="10"/>
  <c r="C33" i="10"/>
  <c r="C29" i="10"/>
  <c r="H30" i="10"/>
  <c r="C30" i="10"/>
  <c r="C24" i="10"/>
  <c r="H34" i="9"/>
  <c r="E53" i="9" l="1"/>
  <c r="F53" i="9"/>
  <c r="G53" i="9"/>
  <c r="C34" i="10"/>
  <c r="E22" i="10"/>
  <c r="E20" i="10"/>
  <c r="E21" i="10"/>
  <c r="H34" i="10"/>
  <c r="E19" i="10"/>
  <c r="E23" i="10"/>
  <c r="E24" i="10" l="1"/>
  <c r="S103" i="9" l="1"/>
  <c r="D40" i="24"/>
  <c r="D37" i="24"/>
  <c r="D38" i="24"/>
  <c r="D39" i="24"/>
  <c r="G42" i="4" s="1"/>
  <c r="Z42" i="4" l="1"/>
  <c r="F172" i="23"/>
  <c r="E130" i="23"/>
  <c r="E120" i="6"/>
  <c r="E131" i="23"/>
  <c r="F173" i="23"/>
  <c r="F162" i="6"/>
  <c r="D36" i="24"/>
  <c r="D43" i="24" s="1"/>
  <c r="C12" i="43" s="1"/>
  <c r="L131" i="23" l="1"/>
  <c r="AE99" i="30"/>
  <c r="L120" i="6"/>
  <c r="U88" i="30"/>
  <c r="L130" i="23"/>
  <c r="AE98" i="30"/>
  <c r="E119" i="6"/>
  <c r="F161" i="6"/>
  <c r="F171" i="23"/>
  <c r="E129" i="23"/>
  <c r="L129" i="23" s="1"/>
  <c r="J120" i="6"/>
  <c r="H120" i="6"/>
  <c r="J130" i="23"/>
  <c r="H130" i="23"/>
  <c r="H131" i="23"/>
  <c r="J131" i="23"/>
  <c r="N130" i="23"/>
  <c r="N131" i="23"/>
  <c r="N120" i="6"/>
  <c r="T171" i="23" l="1"/>
  <c r="T149" i="23" s="1"/>
  <c r="Q171" i="23"/>
  <c r="Q149" i="23" s="1"/>
  <c r="N171" i="23"/>
  <c r="N149" i="23" s="1"/>
  <c r="K171" i="23"/>
  <c r="K149" i="23" s="1"/>
  <c r="F25" i="9" s="1"/>
  <c r="F19" i="9" s="1"/>
  <c r="F101" i="9" s="1"/>
  <c r="R161" i="6"/>
  <c r="R149" i="6" s="1"/>
  <c r="H161" i="6"/>
  <c r="H149" i="6" s="1"/>
  <c r="M161" i="6"/>
  <c r="M149" i="6" s="1"/>
  <c r="W161" i="6"/>
  <c r="W149" i="6" s="1"/>
  <c r="R171" i="23"/>
  <c r="R149" i="23" s="1"/>
  <c r="M171" i="23"/>
  <c r="M149" i="23" s="1"/>
  <c r="H171" i="23"/>
  <c r="H149" i="23" s="1"/>
  <c r="W171" i="23"/>
  <c r="W149" i="23" s="1"/>
  <c r="L119" i="6"/>
  <c r="E41" i="6" s="1"/>
  <c r="F41" i="6" s="1"/>
  <c r="U87" i="30"/>
  <c r="N129" i="23"/>
  <c r="G105" i="23" s="1"/>
  <c r="AE97" i="30"/>
  <c r="H129" i="23"/>
  <c r="E39" i="23" s="1"/>
  <c r="J129" i="23"/>
  <c r="E40" i="23" s="1"/>
  <c r="F40" i="23" s="1"/>
  <c r="N119" i="6"/>
  <c r="G105" i="6" s="1"/>
  <c r="H119" i="6"/>
  <c r="E39" i="6" s="1"/>
  <c r="F39" i="6" s="1"/>
  <c r="J119" i="6"/>
  <c r="E40" i="6" s="1"/>
  <c r="F40" i="6" s="1"/>
  <c r="G7" i="4"/>
  <c r="H7" i="4" s="1"/>
  <c r="Z7" i="4" s="1"/>
  <c r="E110" i="19"/>
  <c r="L110" i="19" s="1"/>
  <c r="F152" i="18"/>
  <c r="F152" i="19"/>
  <c r="E110" i="18"/>
  <c r="L110" i="18" s="1"/>
  <c r="E89" i="9"/>
  <c r="F89" i="9" s="1"/>
  <c r="G89" i="9" s="1"/>
  <c r="H89" i="9" s="1"/>
  <c r="C53" i="24"/>
  <c r="C21" i="9" s="1"/>
  <c r="C52" i="24"/>
  <c r="C20" i="9" s="1"/>
  <c r="E41" i="23"/>
  <c r="F41" i="23" s="1"/>
  <c r="C46" i="24"/>
  <c r="C87" i="9" s="1"/>
  <c r="H25" i="9" l="1"/>
  <c r="C25" i="9"/>
  <c r="D73" i="9" s="1"/>
  <c r="G10" i="10" s="1"/>
  <c r="G33" i="24"/>
  <c r="E60" i="24"/>
  <c r="G60" i="24" s="1"/>
  <c r="E61" i="24"/>
  <c r="G61" i="24" s="1"/>
  <c r="V31" i="30"/>
  <c r="E41" i="18"/>
  <c r="F41" i="18" s="1"/>
  <c r="J110" i="18"/>
  <c r="E40" i="18" s="1"/>
  <c r="F40" i="18" s="1"/>
  <c r="H110" i="18"/>
  <c r="E39" i="18" s="1"/>
  <c r="N110" i="18"/>
  <c r="G105" i="18" s="1"/>
  <c r="H152" i="19"/>
  <c r="H149" i="19" s="1"/>
  <c r="C24" i="9" s="1"/>
  <c r="D72" i="9" s="1"/>
  <c r="G9" i="10" s="1"/>
  <c r="R152" i="19"/>
  <c r="R149" i="19" s="1"/>
  <c r="W152" i="19"/>
  <c r="W149" i="19" s="1"/>
  <c r="M152" i="19"/>
  <c r="M149" i="19" s="1"/>
  <c r="H24" i="9" s="1"/>
  <c r="W152" i="18"/>
  <c r="W149" i="18" s="1"/>
  <c r="M152" i="18"/>
  <c r="M149" i="18" s="1"/>
  <c r="H23" i="9" s="1"/>
  <c r="H152" i="18"/>
  <c r="H149" i="18" s="1"/>
  <c r="C23" i="9" s="1"/>
  <c r="R152" i="18"/>
  <c r="R149" i="18" s="1"/>
  <c r="J110" i="19"/>
  <c r="E40" i="19" s="1"/>
  <c r="F40" i="19" s="1"/>
  <c r="H110" i="19"/>
  <c r="E39" i="19" s="1"/>
  <c r="E41" i="19"/>
  <c r="F41" i="19" s="1"/>
  <c r="AC30" i="30"/>
  <c r="N110" i="19"/>
  <c r="G105" i="19" s="1"/>
  <c r="D65" i="9"/>
  <c r="E43" i="23"/>
  <c r="G39" i="23" s="1"/>
  <c r="F43" i="6"/>
  <c r="G35" i="6" s="1"/>
  <c r="E43" i="6"/>
  <c r="F39" i="23"/>
  <c r="D87" i="9"/>
  <c r="C85" i="9"/>
  <c r="C102" i="9" s="1"/>
  <c r="C61" i="10" l="1"/>
  <c r="E65" i="9"/>
  <c r="F65" i="9" s="1"/>
  <c r="F10" i="10"/>
  <c r="D71" i="9"/>
  <c r="G8" i="10" s="1"/>
  <c r="C28" i="9"/>
  <c r="C19" i="9" s="1"/>
  <c r="E87" i="9"/>
  <c r="G55" i="24"/>
  <c r="D79" i="9"/>
  <c r="D80" i="9"/>
  <c r="H101" i="9"/>
  <c r="D63" i="9"/>
  <c r="F8" i="10" s="1"/>
  <c r="F39" i="18"/>
  <c r="F43" i="18" s="1"/>
  <c r="G35" i="18" s="1"/>
  <c r="H8" i="10" s="1"/>
  <c r="E43" i="18"/>
  <c r="E43" i="19"/>
  <c r="F39" i="19"/>
  <c r="F43" i="19" s="1"/>
  <c r="G35" i="19" s="1"/>
  <c r="H9" i="10" s="1"/>
  <c r="D64" i="9"/>
  <c r="F9" i="10" s="1"/>
  <c r="E73" i="9"/>
  <c r="F43" i="23"/>
  <c r="G35" i="23" s="1"/>
  <c r="D82" i="9"/>
  <c r="E83" i="9"/>
  <c r="C82" i="9"/>
  <c r="C52" i="9" s="1"/>
  <c r="G7" i="43" l="1"/>
  <c r="G8" i="43" s="1"/>
  <c r="I8" i="10"/>
  <c r="F13" i="10"/>
  <c r="F21" i="10" s="1"/>
  <c r="I9" i="10"/>
  <c r="E31" i="10" s="1"/>
  <c r="G13" i="10"/>
  <c r="G19" i="10" s="1"/>
  <c r="H10" i="10"/>
  <c r="E80" i="9"/>
  <c r="F80" i="9" s="1"/>
  <c r="G80" i="9" s="1"/>
  <c r="H80" i="9" s="1"/>
  <c r="C73" i="10"/>
  <c r="E79" i="9"/>
  <c r="F79" i="9" s="1"/>
  <c r="G79" i="9" s="1"/>
  <c r="H79" i="9" s="1"/>
  <c r="C72" i="10"/>
  <c r="C101" i="9"/>
  <c r="C104" i="9" s="1"/>
  <c r="E132" i="22"/>
  <c r="E137" i="22" s="1"/>
  <c r="E138" i="22" s="1"/>
  <c r="E139" i="22" s="1"/>
  <c r="F87" i="9"/>
  <c r="D90" i="9"/>
  <c r="D88" i="9"/>
  <c r="D61" i="9"/>
  <c r="E63" i="9"/>
  <c r="E71" i="9"/>
  <c r="F71" i="9" s="1"/>
  <c r="G71" i="9" s="1"/>
  <c r="H71" i="9" s="1"/>
  <c r="E72" i="9"/>
  <c r="F72" i="9" s="1"/>
  <c r="G72" i="9" s="1"/>
  <c r="H72" i="9" s="1"/>
  <c r="E64" i="9"/>
  <c r="F64" i="9" s="1"/>
  <c r="G64" i="9" s="1"/>
  <c r="H64" i="9" s="1"/>
  <c r="D78" i="9"/>
  <c r="C71" i="10" s="1"/>
  <c r="C118" i="9"/>
  <c r="C117" i="9"/>
  <c r="C125" i="9" s="1"/>
  <c r="C123" i="9"/>
  <c r="E82" i="9"/>
  <c r="F83" i="9"/>
  <c r="G65" i="9"/>
  <c r="F73" i="9"/>
  <c r="C62" i="10" l="1"/>
  <c r="D85" i="9"/>
  <c r="K9" i="43" s="1"/>
  <c r="C107" i="9"/>
  <c r="C108" i="9" s="1"/>
  <c r="C106" i="9"/>
  <c r="E33" i="10"/>
  <c r="H13" i="10"/>
  <c r="H22" i="10" s="1"/>
  <c r="D28" i="10"/>
  <c r="D29" i="10"/>
  <c r="D30" i="10"/>
  <c r="I10" i="10"/>
  <c r="D32" i="10"/>
  <c r="F20" i="10"/>
  <c r="D33" i="10"/>
  <c r="E28" i="10"/>
  <c r="E29" i="10"/>
  <c r="E30" i="10"/>
  <c r="E32" i="10"/>
  <c r="D31" i="10"/>
  <c r="C74" i="10"/>
  <c r="D71" i="10" s="1"/>
  <c r="E90" i="9"/>
  <c r="F90" i="9" s="1"/>
  <c r="G90" i="9" s="1"/>
  <c r="H90" i="9" s="1"/>
  <c r="C64" i="10"/>
  <c r="F23" i="10"/>
  <c r="F18" i="10"/>
  <c r="F22" i="10"/>
  <c r="G23" i="10"/>
  <c r="G18" i="10"/>
  <c r="G21" i="10"/>
  <c r="G22" i="10"/>
  <c r="G20" i="10"/>
  <c r="F19" i="10"/>
  <c r="G95" i="9"/>
  <c r="D95" i="9"/>
  <c r="D120" i="9" s="1"/>
  <c r="K14" i="43" s="1"/>
  <c r="E95" i="9"/>
  <c r="H95" i="9"/>
  <c r="F95" i="9"/>
  <c r="G87" i="9"/>
  <c r="E88" i="9"/>
  <c r="E69" i="9"/>
  <c r="D69" i="9"/>
  <c r="E78" i="9"/>
  <c r="D77" i="9"/>
  <c r="F63" i="9"/>
  <c r="E61" i="9"/>
  <c r="C124" i="9"/>
  <c r="C121" i="9"/>
  <c r="C126" i="9" s="1"/>
  <c r="F82" i="9"/>
  <c r="G83" i="9"/>
  <c r="H65" i="9"/>
  <c r="F69" i="9"/>
  <c r="G73" i="9"/>
  <c r="D73" i="10" l="1"/>
  <c r="D72" i="10"/>
  <c r="C67" i="10"/>
  <c r="H19" i="10"/>
  <c r="H21" i="10"/>
  <c r="H23" i="10"/>
  <c r="H18" i="10"/>
  <c r="H20" i="10"/>
  <c r="F28" i="10"/>
  <c r="F32" i="10"/>
  <c r="F29" i="10"/>
  <c r="F30" i="10"/>
  <c r="F31" i="10"/>
  <c r="D34" i="10"/>
  <c r="E34" i="10"/>
  <c r="F33" i="10"/>
  <c r="F24" i="10"/>
  <c r="G24" i="10"/>
  <c r="D52" i="9"/>
  <c r="F88" i="9"/>
  <c r="F85" i="9" s="1"/>
  <c r="E85" i="9"/>
  <c r="H87" i="9"/>
  <c r="C109" i="9"/>
  <c r="F78" i="9"/>
  <c r="E77" i="9"/>
  <c r="E52" i="9" s="1"/>
  <c r="G63" i="9"/>
  <c r="F61" i="9"/>
  <c r="G82" i="9"/>
  <c r="H83" i="9"/>
  <c r="H73" i="9"/>
  <c r="G69" i="9"/>
  <c r="D74" i="10" l="1"/>
  <c r="D66" i="10"/>
  <c r="D65" i="10"/>
  <c r="D63" i="10"/>
  <c r="D60" i="10"/>
  <c r="D61" i="10"/>
  <c r="D62" i="10"/>
  <c r="D64" i="10"/>
  <c r="C55" i="10"/>
  <c r="H24" i="10"/>
  <c r="F34" i="10"/>
  <c r="G88" i="9"/>
  <c r="H63" i="9"/>
  <c r="G61" i="9"/>
  <c r="G78" i="9"/>
  <c r="F77" i="9"/>
  <c r="F52" i="9" s="1"/>
  <c r="F120" i="9"/>
  <c r="H120" i="9"/>
  <c r="G120" i="9"/>
  <c r="E120" i="9"/>
  <c r="H82" i="9"/>
  <c r="H69" i="9"/>
  <c r="D67" i="10" l="1"/>
  <c r="H88" i="9"/>
  <c r="G85" i="9"/>
  <c r="G77" i="9"/>
  <c r="G52" i="9" s="1"/>
  <c r="H78" i="9"/>
  <c r="H61" i="9"/>
  <c r="H85" i="9" l="1"/>
  <c r="H77" i="9"/>
  <c r="H52" i="9" s="1"/>
  <c r="E53" i="20" l="1"/>
  <c r="E52" i="20"/>
  <c r="G52" i="20" l="1"/>
  <c r="AV21" i="30"/>
  <c r="G53" i="20"/>
  <c r="AV22" i="30"/>
  <c r="C11" i="43"/>
  <c r="G45" i="20" l="1"/>
  <c r="D47" i="9" s="1"/>
  <c r="D11" i="10" s="1"/>
  <c r="D13" i="10" s="1"/>
  <c r="D42" i="9" l="1"/>
  <c r="D50" i="9" s="1"/>
  <c r="D33" i="9" s="1"/>
  <c r="I11" i="10"/>
  <c r="G29" i="10" s="1"/>
  <c r="E47" i="9"/>
  <c r="F47" i="9" s="1"/>
  <c r="D18" i="10"/>
  <c r="D19" i="10"/>
  <c r="D20" i="10"/>
  <c r="D23" i="10"/>
  <c r="D21" i="10"/>
  <c r="D22" i="10"/>
  <c r="G33" i="10" l="1"/>
  <c r="G31" i="10"/>
  <c r="G28" i="10"/>
  <c r="G30" i="10"/>
  <c r="G32" i="10"/>
  <c r="E42" i="9"/>
  <c r="E50" i="9" s="1"/>
  <c r="E33" i="9" s="1"/>
  <c r="I13" i="10"/>
  <c r="C47" i="10" s="1"/>
  <c r="G9" i="43"/>
  <c r="G10" i="43" s="1"/>
  <c r="D115" i="9"/>
  <c r="D116" i="9" s="1"/>
  <c r="D117" i="9" s="1"/>
  <c r="D102" i="9"/>
  <c r="D24" i="10"/>
  <c r="D127" i="9"/>
  <c r="O11" i="43" s="1"/>
  <c r="F42" i="9"/>
  <c r="G47" i="9"/>
  <c r="E115" i="9" l="1"/>
  <c r="E116" i="9" s="1"/>
  <c r="G34" i="10"/>
  <c r="F44" i="10"/>
  <c r="D54" i="10"/>
  <c r="F46" i="10"/>
  <c r="F45" i="10"/>
  <c r="F43" i="10"/>
  <c r="C45" i="10"/>
  <c r="C54" i="10"/>
  <c r="C56" i="10" s="1"/>
  <c r="C42" i="10"/>
  <c r="C46" i="10"/>
  <c r="F42" i="10"/>
  <c r="D55" i="10"/>
  <c r="C43" i="10"/>
  <c r="C44" i="10"/>
  <c r="F47" i="10"/>
  <c r="K11" i="43"/>
  <c r="D118" i="9"/>
  <c r="D123" i="9"/>
  <c r="O7" i="43" s="1"/>
  <c r="K8" i="43"/>
  <c r="D106" i="9"/>
  <c r="D104" i="9"/>
  <c r="E102" i="9"/>
  <c r="E104" i="9" s="1"/>
  <c r="F50" i="9"/>
  <c r="F33" i="9" s="1"/>
  <c r="E127" i="9"/>
  <c r="G42" i="9"/>
  <c r="H47" i="9"/>
  <c r="F115" i="9"/>
  <c r="F116" i="9" s="1"/>
  <c r="D56" i="10" l="1"/>
  <c r="F48" i="10"/>
  <c r="C48" i="10"/>
  <c r="D107" i="9"/>
  <c r="K10" i="43"/>
  <c r="F102" i="9"/>
  <c r="F104" i="9" s="1"/>
  <c r="G50" i="9"/>
  <c r="G33" i="9" s="1"/>
  <c r="G115" i="9"/>
  <c r="G116" i="9" s="1"/>
  <c r="H42" i="9"/>
  <c r="F127" i="9"/>
  <c r="E117" i="9"/>
  <c r="E125" i="9" s="1"/>
  <c r="E118" i="9"/>
  <c r="E94" i="9" s="1"/>
  <c r="E123" i="9"/>
  <c r="D125" i="9" l="1"/>
  <c r="O8" i="43" s="1"/>
  <c r="H50" i="9"/>
  <c r="H102" i="9" s="1"/>
  <c r="H104" i="9" s="1"/>
  <c r="G102" i="9"/>
  <c r="G104" i="9" s="1"/>
  <c r="E119" i="9"/>
  <c r="E121" i="9" s="1"/>
  <c r="E126" i="9" s="1"/>
  <c r="E106" i="9"/>
  <c r="H115" i="9"/>
  <c r="H116" i="9" s="1"/>
  <c r="F117" i="9"/>
  <c r="F125" i="9" s="1"/>
  <c r="F118" i="9"/>
  <c r="F94" i="9" s="1"/>
  <c r="F123" i="9"/>
  <c r="G127" i="9"/>
  <c r="E124" i="9"/>
  <c r="E107" i="9" l="1"/>
  <c r="H33" i="9"/>
  <c r="H127" i="9" s="1"/>
  <c r="E108" i="9"/>
  <c r="F119" i="9"/>
  <c r="F121" i="9" s="1"/>
  <c r="F126" i="9" s="1"/>
  <c r="F106" i="9"/>
  <c r="F108" i="9" s="1"/>
  <c r="G117" i="9"/>
  <c r="G125" i="9" s="1"/>
  <c r="G118" i="9"/>
  <c r="G94" i="9" s="1"/>
  <c r="G123" i="9"/>
  <c r="F124" i="9"/>
  <c r="G119" i="9" l="1"/>
  <c r="G121" i="9" s="1"/>
  <c r="G126" i="9" s="1"/>
  <c r="G106" i="9"/>
  <c r="G108" i="9" s="1"/>
  <c r="H123" i="9"/>
  <c r="H117" i="9"/>
  <c r="H125" i="9" s="1"/>
  <c r="H118" i="9"/>
  <c r="H94" i="9" s="1"/>
  <c r="G124" i="9"/>
  <c r="H119" i="9" l="1"/>
  <c r="H121" i="9" s="1"/>
  <c r="H126" i="9" s="1"/>
  <c r="H106" i="9"/>
  <c r="H124" i="9"/>
  <c r="C132" i="9" l="1"/>
  <c r="C133" i="9"/>
  <c r="H108" i="9"/>
  <c r="S104" i="9" l="1"/>
  <c r="K12" i="43" l="1"/>
  <c r="D94" i="9"/>
  <c r="G13" i="43" s="1"/>
  <c r="D124" i="9"/>
  <c r="O9" i="43" s="1"/>
  <c r="D119" i="9" l="1"/>
  <c r="K13" i="43" s="1"/>
  <c r="D108" i="9"/>
  <c r="C134" i="9" s="1"/>
  <c r="G14" i="43" l="1"/>
  <c r="M9" i="22"/>
  <c r="D121" i="9"/>
  <c r="F107" i="9"/>
  <c r="G107" i="9" s="1"/>
  <c r="H107" i="9" s="1"/>
  <c r="D109" i="9"/>
  <c r="D126" i="9" l="1"/>
  <c r="O10" i="43" s="1"/>
  <c r="K15" i="43"/>
  <c r="C130" i="9"/>
  <c r="G11" i="43" s="1"/>
  <c r="E109" i="9"/>
  <c r="F109" i="9" s="1"/>
  <c r="G109" i="9" s="1"/>
  <c r="H109" i="9" s="1"/>
  <c r="C131" i="9" l="1"/>
  <c r="G12" i="43" s="1"/>
</calcChain>
</file>

<file path=xl/comments1.xml><?xml version="1.0" encoding="utf-8"?>
<comments xmlns="http://schemas.openxmlformats.org/spreadsheetml/2006/main">
  <authors>
    <author>Grau, Max</author>
  </authors>
  <commentList>
    <comment ref="E48" authorId="0" shapeId="0">
      <text>
        <r>
          <rPr>
            <b/>
            <sz val="9"/>
            <color indexed="81"/>
            <rFont val="Tahoma"/>
            <family val="2"/>
          </rPr>
          <t>Value: 160</t>
        </r>
      </text>
    </comment>
    <comment ref="E49" authorId="0" shapeId="0">
      <text>
        <r>
          <rPr>
            <b/>
            <sz val="9"/>
            <color indexed="81"/>
            <rFont val="Tahoma"/>
            <family val="2"/>
          </rPr>
          <t>Value = 12</t>
        </r>
      </text>
    </comment>
  </commentList>
</comments>
</file>

<file path=xl/comments2.xml><?xml version="1.0" encoding="utf-8"?>
<comments xmlns="http://schemas.openxmlformats.org/spreadsheetml/2006/main">
  <authors>
    <author>Grau, Max</author>
  </authors>
  <commentList>
    <comment ref="C3" authorId="0" shapeId="0">
      <text>
        <r>
          <rPr>
            <b/>
            <sz val="9"/>
            <color indexed="81"/>
            <rFont val="Tahoma"/>
            <family val="2"/>
          </rPr>
          <t>Info: Installation in year 00 (= initial Capex)</t>
        </r>
      </text>
    </comment>
    <comment ref="B69" authorId="0" shapeId="0">
      <text>
        <r>
          <rPr>
            <sz val="9"/>
            <color indexed="81"/>
            <rFont val="Tahoma"/>
            <family val="2"/>
          </rPr>
          <t>assuming overall maintenance cost setting as set in "0.3-Equipment database" tab</t>
        </r>
      </text>
    </comment>
    <comment ref="B88" authorId="0" shapeId="0">
      <text>
        <r>
          <rPr>
            <sz val="9"/>
            <color indexed="81"/>
            <rFont val="Tahoma"/>
            <family val="2"/>
          </rPr>
          <t>Only if the company owns building (and land) - Investment</t>
        </r>
      </text>
    </comment>
    <comment ref="B92" authorId="0" shapeId="0">
      <text>
        <r>
          <rPr>
            <sz val="9"/>
            <color indexed="81"/>
            <rFont val="Tahoma"/>
            <family val="2"/>
          </rPr>
          <t>if other SG&amp;A costs to depreciate</t>
        </r>
      </text>
    </comment>
    <comment ref="B114" authorId="0" shapeId="0">
      <text>
        <r>
          <rPr>
            <sz val="9"/>
            <color indexed="81"/>
            <rFont val="Tahoma"/>
            <family val="2"/>
          </rPr>
          <t xml:space="preserve">note: Gross revenue - discounts, etc.
</t>
        </r>
      </text>
    </comment>
    <comment ref="B116" authorId="0" shapeId="0">
      <text>
        <r>
          <rPr>
            <sz val="9"/>
            <color indexed="81"/>
            <rFont val="Tahoma"/>
            <family val="2"/>
          </rPr>
          <t>note: Revenue - Variable costs (i.e. COGS &amp; Manufacturing Overhead)</t>
        </r>
      </text>
    </comment>
    <comment ref="B117" authorId="0" shapeId="0">
      <text>
        <r>
          <rPr>
            <sz val="9"/>
            <color indexed="81"/>
            <rFont val="Tahoma"/>
            <family val="2"/>
          </rPr>
          <t xml:space="preserve">Before interest, taxes, depreciation and amortization
</t>
        </r>
      </text>
    </comment>
    <comment ref="B118" authorId="0" shapeId="0">
      <text>
        <r>
          <rPr>
            <sz val="9"/>
            <color indexed="81"/>
            <rFont val="Tahoma"/>
            <family val="2"/>
          </rPr>
          <t>Before interest and taxes</t>
        </r>
      </text>
    </comment>
  </commentList>
</comments>
</file>

<file path=xl/sharedStrings.xml><?xml version="1.0" encoding="utf-8"?>
<sst xmlns="http://schemas.openxmlformats.org/spreadsheetml/2006/main" count="2462" uniqueCount="1086">
  <si>
    <t>Technical process description</t>
  </si>
  <si>
    <t>In this section will inserted a process diagram showing the key inputs and outputs of this unit's processes (e.g. materials, energy, consumables, etc.)</t>
  </si>
  <si>
    <t>Equipement inventory</t>
  </si>
  <si>
    <t>Direct labor</t>
  </si>
  <si>
    <t>comment/note</t>
  </si>
  <si>
    <t>Position</t>
  </si>
  <si>
    <t>Conversion crates</t>
  </si>
  <si>
    <t>Pallets</t>
  </si>
  <si>
    <t>Ventilation frames</t>
  </si>
  <si>
    <t>Pallet trolley</t>
  </si>
  <si>
    <t>Shredder</t>
  </si>
  <si>
    <t>High pressure cleaner</t>
  </si>
  <si>
    <t>Pupation cage frame</t>
  </si>
  <si>
    <t>Oviposition cage frame</t>
  </si>
  <si>
    <t>Hatchling crate</t>
  </si>
  <si>
    <t>Mobile hatching frame</t>
  </si>
  <si>
    <t>Working table</t>
  </si>
  <si>
    <t>Nursery Larvero</t>
  </si>
  <si>
    <t>Mobile Larvero frame</t>
  </si>
  <si>
    <t>eq0001</t>
  </si>
  <si>
    <t>eq0002</t>
  </si>
  <si>
    <t>eq0003</t>
  </si>
  <si>
    <t>eq0004</t>
  </si>
  <si>
    <t>eq0005</t>
  </si>
  <si>
    <t>eq0006</t>
  </si>
  <si>
    <t>eq0007</t>
  </si>
  <si>
    <t>eq0008</t>
  </si>
  <si>
    <t>eq0009</t>
  </si>
  <si>
    <t>eq0010</t>
  </si>
  <si>
    <t>eq0011</t>
  </si>
  <si>
    <t>eq0012</t>
  </si>
  <si>
    <t>eq0013</t>
  </si>
  <si>
    <t>eq0014</t>
  </si>
  <si>
    <t>eq0015</t>
  </si>
  <si>
    <t>eq0016</t>
  </si>
  <si>
    <t>eq0017</t>
  </si>
  <si>
    <t>eq0018</t>
  </si>
  <si>
    <t>eq0019</t>
  </si>
  <si>
    <t>eq0020</t>
  </si>
  <si>
    <t>eq0021</t>
  </si>
  <si>
    <t>eq0022</t>
  </si>
  <si>
    <t>eq0023</t>
  </si>
  <si>
    <t>eq0024</t>
  </si>
  <si>
    <t>eq0025</t>
  </si>
  <si>
    <t>eq0026</t>
  </si>
  <si>
    <t>eq0027</t>
  </si>
  <si>
    <t>eq0028</t>
  </si>
  <si>
    <t>eq0029</t>
  </si>
  <si>
    <t>eq0030</t>
  </si>
  <si>
    <t>Instructions:</t>
  </si>
  <si>
    <t>Quantity</t>
  </si>
  <si>
    <t>Allocation between Op. units</t>
  </si>
  <si>
    <t>Unit capital cost</t>
  </si>
  <si>
    <t>Equipment name</t>
  </si>
  <si>
    <t>eq0031</t>
  </si>
  <si>
    <t>eq0032</t>
  </si>
  <si>
    <t>eq0033</t>
  </si>
  <si>
    <t>eq0034</t>
  </si>
  <si>
    <t>eq0035</t>
  </si>
  <si>
    <t>eq0036</t>
  </si>
  <si>
    <t>eq0037</t>
  </si>
  <si>
    <t>eq0038</t>
  </si>
  <si>
    <t>Operational Unit codes</t>
  </si>
  <si>
    <t>Operational Unit desigation</t>
  </si>
  <si>
    <t>U-W</t>
  </si>
  <si>
    <t>U-T</t>
  </si>
  <si>
    <t>U-H</t>
  </si>
  <si>
    <t>Staff category</t>
  </si>
  <si>
    <t>Manufacturing Direct Labor</t>
  </si>
  <si>
    <t>Manufacturing Overhead</t>
  </si>
  <si>
    <t>Output product</t>
  </si>
  <si>
    <t>quantity produced (e.g. [t/yr])</t>
  </si>
  <si>
    <t>5 DOL</t>
  </si>
  <si>
    <t>Input materials</t>
  </si>
  <si>
    <t>Considered as product to be sold</t>
  </si>
  <si>
    <t>Waste pre-processing unit</t>
  </si>
  <si>
    <t>Waste Treatment unit</t>
  </si>
  <si>
    <t>staff category</t>
  </si>
  <si>
    <t>Unit</t>
  </si>
  <si>
    <t>Net Salary</t>
  </si>
  <si>
    <t>pulling data from "Staff input table"</t>
  </si>
  <si>
    <t>Note: If # of staff &gt; 20, please manually insert lines and pull the cells (A:C containing the dynamic cells) down.</t>
  </si>
  <si>
    <t>pulling data from "Equipment input table"</t>
  </si>
  <si>
    <t>Manufacturing overhead labor</t>
  </si>
  <si>
    <t>Equipment ID</t>
  </si>
  <si>
    <t>Direct labor cost:</t>
  </si>
  <si>
    <t>Manufacturing overhead labor cost:</t>
  </si>
  <si>
    <t>Alloc. U-R</t>
  </si>
  <si>
    <t>Total equipment cost (scenario 1):</t>
  </si>
  <si>
    <t>Revenues</t>
  </si>
  <si>
    <t>COGS</t>
  </si>
  <si>
    <t>Financials</t>
  </si>
  <si>
    <t>Net Revenue</t>
  </si>
  <si>
    <t>Gross Profit</t>
  </si>
  <si>
    <t>Net Profit (after taxes)</t>
  </si>
  <si>
    <t>Gross margin</t>
  </si>
  <si>
    <t>Net margin (after taxes)</t>
  </si>
  <si>
    <t>Unit W: Waste pre-processing</t>
  </si>
  <si>
    <t>Unit T: Waste treatment</t>
  </si>
  <si>
    <t>Unit H: Harvesting</t>
  </si>
  <si>
    <t>Unit P: Larvae post-processing</t>
  </si>
  <si>
    <t>Electricity</t>
  </si>
  <si>
    <t>Water</t>
  </si>
  <si>
    <t>Fuel</t>
  </si>
  <si>
    <t>Alloc. U-W</t>
  </si>
  <si>
    <t>Cocopeat</t>
  </si>
  <si>
    <t>Chicken feed</t>
  </si>
  <si>
    <t>Diesel</t>
  </si>
  <si>
    <t>Mix 17DOL + residue</t>
  </si>
  <si>
    <t>Unit cost [IDR/kg]</t>
  </si>
  <si>
    <t>5DOL</t>
  </si>
  <si>
    <t>15-17DOL</t>
  </si>
  <si>
    <t>Harvesting container</t>
  </si>
  <si>
    <t>Harvesting large scoop</t>
  </si>
  <si>
    <t>Alloc. U-H</t>
  </si>
  <si>
    <t>kg/kg of 5DOL_out</t>
  </si>
  <si>
    <t>Fruit water</t>
  </si>
  <si>
    <t>Compost</t>
  </si>
  <si>
    <t>Nursery staff</t>
  </si>
  <si>
    <t>Nursery manager</t>
  </si>
  <si>
    <t>Site manager</t>
  </si>
  <si>
    <t>Allocation</t>
  </si>
  <si>
    <t>Labor cost [IDR/yr]</t>
  </si>
  <si>
    <t>Manufacturing overhead labor cost [IDR/yr]:</t>
  </si>
  <si>
    <t>eq0039</t>
  </si>
  <si>
    <t>Measuring balance ("heavy" duty)</t>
  </si>
  <si>
    <t>Washing machine</t>
  </si>
  <si>
    <t>Total input materials cost: [IDR/kg 5DOL]</t>
  </si>
  <si>
    <t>Input materials cost [IDR/yr]:</t>
  </si>
  <si>
    <t>Direct labor cost [IDR/yr]:</t>
  </si>
  <si>
    <t>General worker</t>
  </si>
  <si>
    <t>Waste units manager</t>
  </si>
  <si>
    <t>Sales manager</t>
  </si>
  <si>
    <t>Admin &amp; Accounting</t>
  </si>
  <si>
    <t>Selling, General &amp; Admin Overhead</t>
  </si>
  <si>
    <t>SG&amp;A</t>
  </si>
  <si>
    <t>Waste pre-processing</t>
  </si>
  <si>
    <t>Waste treatment</t>
  </si>
  <si>
    <t>Harvesting</t>
  </si>
  <si>
    <t>Salaries</t>
  </si>
  <si>
    <t>Office utilities</t>
  </si>
  <si>
    <t>Office equipment</t>
  </si>
  <si>
    <t>Selling, General &amp; Administration overhead</t>
  </si>
  <si>
    <t>Office supplies</t>
  </si>
  <si>
    <t>Utilities</t>
  </si>
  <si>
    <t>Item</t>
  </si>
  <si>
    <t>Eggs</t>
  </si>
  <si>
    <r>
      <t xml:space="preserve">The scenario presented here is an "integrated" scenario where the </t>
    </r>
    <r>
      <rPr>
        <i/>
        <sz val="11"/>
        <color theme="1"/>
        <rFont val="Calibri"/>
        <family val="2"/>
        <scheme val="minor"/>
      </rPr>
      <t>Nursery</t>
    </r>
    <r>
      <rPr>
        <sz val="11"/>
        <color theme="1"/>
        <rFont val="Calibri"/>
        <family val="2"/>
        <scheme val="minor"/>
      </rPr>
      <t xml:space="preserve"> unit uses 15-17DOL from the </t>
    </r>
    <r>
      <rPr>
        <i/>
        <sz val="11"/>
        <color theme="1"/>
        <rFont val="Calibri"/>
        <family val="2"/>
        <scheme val="minor"/>
      </rPr>
      <t>Harvesting</t>
    </r>
    <r>
      <rPr>
        <sz val="11"/>
        <color theme="1"/>
        <rFont val="Calibri"/>
        <family val="2"/>
        <scheme val="minor"/>
      </rPr>
      <t xml:space="preserve"> unit for processing unit which allow the </t>
    </r>
    <r>
      <rPr>
        <i/>
        <sz val="11"/>
        <color theme="1"/>
        <rFont val="Calibri"/>
        <family val="2"/>
        <scheme val="minor"/>
      </rPr>
      <t>Nursery</t>
    </r>
    <r>
      <rPr>
        <sz val="11"/>
        <color theme="1"/>
        <rFont val="Calibri"/>
        <family val="2"/>
        <scheme val="minor"/>
      </rPr>
      <t xml:space="preserve"> to not take care of growing the larvae between 5DOL to 15-17DOL stage.</t>
    </r>
  </si>
  <si>
    <r>
      <t xml:space="preserve">Check consistency between 1) the volume of 5DOL produced by the Nusery (cf. [1.1-Unit R]B15); 2) used in </t>
    </r>
    <r>
      <rPr>
        <i/>
        <sz val="11"/>
        <color theme="1"/>
        <rFont val="Calibri"/>
        <family val="2"/>
        <scheme val="minor"/>
      </rPr>
      <t>Waste Treatment (here)</t>
    </r>
    <r>
      <rPr>
        <sz val="11"/>
        <color theme="1"/>
        <rFont val="Calibri"/>
        <family val="2"/>
        <scheme val="minor"/>
      </rPr>
      <t>; and 3) volume sold (cf. [2-Sales])</t>
    </r>
  </si>
  <si>
    <t>Lifetime expectancy [yr]</t>
  </si>
  <si>
    <t>Depreciation</t>
  </si>
  <si>
    <t>Harvesting unit (wet)</t>
  </si>
  <si>
    <t>Unit depreciation cost [IDR/yr]</t>
  </si>
  <si>
    <t>Total equipment depreciation cost (scenario 1) [IDR/yr]:</t>
  </si>
  <si>
    <t>Total allocated depreciation cost  [IDR/yr]</t>
  </si>
  <si>
    <t>Alloc. U-T</t>
  </si>
  <si>
    <t>Alloc. U-P</t>
  </si>
  <si>
    <t>Operating Profit (EBIT)</t>
  </si>
  <si>
    <t>Operating margin (before taxes)</t>
  </si>
  <si>
    <t>EBITDA</t>
  </si>
  <si>
    <t>SG&amp;A Depreciation</t>
  </si>
  <si>
    <t>EBITDA margin</t>
  </si>
  <si>
    <t>17DOL -&gt; PP [%]</t>
  </si>
  <si>
    <t>PP -&gt; Fly [%]</t>
  </si>
  <si>
    <t>Available for sales</t>
  </si>
  <si>
    <t>17DOL [t/yr]</t>
  </si>
  <si>
    <t>Total Production</t>
  </si>
  <si>
    <t>Egg [t/yr]</t>
  </si>
  <si>
    <t>5DOL [t/yr]</t>
  </si>
  <si>
    <t>n/a</t>
  </si>
  <si>
    <t>BSF operating data</t>
  </si>
  <si>
    <t>Organic waste treatment objective [t/yr]</t>
  </si>
  <si>
    <t>incl. Cloth, frame, etc. that goes inside the dewatering bins, incl. Cloth, PVC structure, etc. that goes inside the dewatering bins</t>
  </si>
  <si>
    <t>Egg -&gt; 5DOL [%]</t>
  </si>
  <si>
    <t>Waste sorting yield [%wt]</t>
  </si>
  <si>
    <t>Shredding yield [%wt]</t>
  </si>
  <si>
    <t>Dewatering yield [%wt]</t>
  </si>
  <si>
    <t>Waste reduction [%wt]</t>
  </si>
  <si>
    <t>Egg</t>
  </si>
  <si>
    <t>Unit R: Rearing - Production of Eggs (from 17DOL)</t>
  </si>
  <si>
    <t>Unit R: Rearing - Production of 5DOL (from Eggs)</t>
  </si>
  <si>
    <t>Total input materials cost: [IDR/kg Egg]</t>
  </si>
  <si>
    <t>kg/kg of Egg_out</t>
  </si>
  <si>
    <t>Alloc. U-R-5DOL</t>
  </si>
  <si>
    <t>Residue processing</t>
  </si>
  <si>
    <t>Total</t>
  </si>
  <si>
    <t>Total input materials cost: [IDR/kg 15-17DOL]</t>
  </si>
  <si>
    <t>Untilities cost [IDR/yr]:</t>
  </si>
  <si>
    <t>Total input materials cost: [IDR/kg 17DOL]</t>
  </si>
  <si>
    <t>Total input materials cost: [IDR/kg compost]</t>
  </si>
  <si>
    <t>Employment rate [%]</t>
  </si>
  <si>
    <t>Residue processing unit</t>
  </si>
  <si>
    <t>Unit Res: Residue processing</t>
  </si>
  <si>
    <t>Description</t>
  </si>
  <si>
    <t>SG&amp;A Salaries</t>
  </si>
  <si>
    <t>Expenditures</t>
  </si>
  <si>
    <t>[IDR/yr]</t>
  </si>
  <si>
    <t>Total salary cost:</t>
  </si>
  <si>
    <t>Total cost: [IDR/yr]</t>
  </si>
  <si>
    <t>Unit SG&amp;A: Selling, General &amp; Administration</t>
  </si>
  <si>
    <t>Mixer (compost)</t>
  </si>
  <si>
    <t>Larvae survival rate in WT and H units (5DOL-&gt;harvested 17DOL) [%]</t>
  </si>
  <si>
    <t>5DOL input in WT [#/kg of waste enterring WT unit]</t>
  </si>
  <si>
    <t>harvested 17DOL weight [g/larva]</t>
  </si>
  <si>
    <t>5DOL weight [g/larva]</t>
  </si>
  <si>
    <t>BCR [%wt]</t>
  </si>
  <si>
    <t>Waste pre-processing unit (U-W)</t>
  </si>
  <si>
    <t>Waste treatment &amp; Harvesting unites (U-T &amp; U-H)</t>
  </si>
  <si>
    <t>Larvae survival rate in Nursery unit (5DOL-&gt; 17DOL) [%]</t>
  </si>
  <si>
    <t>Egg weight [g/egg]</t>
  </si>
  <si>
    <t>nursery 17DOL weight [g/larva]</t>
  </si>
  <si>
    <t>Position ID</t>
  </si>
  <si>
    <t>pos001</t>
  </si>
  <si>
    <t>pos002</t>
  </si>
  <si>
    <t>pos003</t>
  </si>
  <si>
    <t>pos004</t>
  </si>
  <si>
    <t>pos005</t>
  </si>
  <si>
    <t>pos006</t>
  </si>
  <si>
    <t>pos007</t>
  </si>
  <si>
    <t>pos008</t>
  </si>
  <si>
    <t>pos009</t>
  </si>
  <si>
    <t>pos010</t>
  </si>
  <si>
    <t>pos011</t>
  </si>
  <si>
    <t>pos012</t>
  </si>
  <si>
    <t>pos013</t>
  </si>
  <si>
    <t>pos014</t>
  </si>
  <si>
    <t>pos015</t>
  </si>
  <si>
    <t>pos016</t>
  </si>
  <si>
    <t>pos017</t>
  </si>
  <si>
    <t>pos018</t>
  </si>
  <si>
    <t>pos019</t>
  </si>
  <si>
    <t>pos020</t>
  </si>
  <si>
    <t>pos021</t>
  </si>
  <si>
    <t>Number of employees</t>
  </si>
  <si>
    <t>Position Category</t>
  </si>
  <si>
    <t>Allocation between operating units</t>
  </si>
  <si>
    <t>Designation code</t>
  </si>
  <si>
    <t>Name</t>
  </si>
  <si>
    <t>Amount</t>
  </si>
  <si>
    <t>kg waste/crate/MRT</t>
  </si>
  <si>
    <t>crates/pallet/MRT</t>
  </si>
  <si>
    <t>Frames per pallet</t>
  </si>
  <si>
    <t>kg waste/trolley</t>
  </si>
  <si>
    <t>kg waste/shredder/day</t>
  </si>
  <si>
    <t>Prepupae/crate</t>
  </si>
  <si>
    <t>Crates/cage</t>
  </si>
  <si>
    <t>Cage/frame</t>
  </si>
  <si>
    <t>Flies/cage</t>
  </si>
  <si>
    <t>Containers/cage</t>
  </si>
  <si>
    <t>PPC's/harvester</t>
  </si>
  <si>
    <t>Cages/frame</t>
  </si>
  <si>
    <t>5-DOL/crate</t>
  </si>
  <si>
    <t>Crates/frame</t>
  </si>
  <si>
    <t>Holders/frame</t>
  </si>
  <si>
    <t>hatching frame/table</t>
  </si>
  <si>
    <t>Larvae/Larvero</t>
  </si>
  <si>
    <t>Larvero+cont./frame</t>
  </si>
  <si>
    <t>Equipment allocation table</t>
  </si>
  <si>
    <t>Pre-processed waste going to WT [t/yr]</t>
  </si>
  <si>
    <t>Pre-processed Waste_out</t>
  </si>
  <si>
    <t>Total input materials cost: [IDR/kg pre-processed Waste_out]</t>
  </si>
  <si>
    <t>Annual working hours</t>
  </si>
  <si>
    <t>Egg production [h/kg of egg]</t>
  </si>
  <si>
    <t>5DOL production [h/kg of 5DOL]</t>
  </si>
  <si>
    <t>Nursery units</t>
  </si>
  <si>
    <t>Time-study allowance</t>
  </si>
  <si>
    <t>Residue [t/yr]</t>
  </si>
  <si>
    <t>Raw waste</t>
  </si>
  <si>
    <t>General worker [hr/t waste_in]</t>
  </si>
  <si>
    <t>W [hr/kg of pre-processed waste]</t>
  </si>
  <si>
    <t>T [hr/kg of 17DOL + residue]</t>
  </si>
  <si>
    <t>H [hr/kg of 17DOL]</t>
  </si>
  <si>
    <t>Res [hr/kg of residue]</t>
  </si>
  <si>
    <t>Market waste</t>
  </si>
  <si>
    <t>Characteristics of the waste received</t>
  </si>
  <si>
    <t>Corresponding allocation [%]</t>
  </si>
  <si>
    <t>Larvae Post-processing</t>
  </si>
  <si>
    <t>Unit R: Rearing - Production of 17DOL from 5DOL in a nursery (non-integrated system)</t>
  </si>
  <si>
    <t>17 DOL</t>
  </si>
  <si>
    <t>t/yr</t>
  </si>
  <si>
    <t>Shredding</t>
  </si>
  <si>
    <t>Yield</t>
  </si>
  <si>
    <t>Dewatering</t>
  </si>
  <si>
    <t>Waste sorting</t>
  </si>
  <si>
    <t>Delivered</t>
  </si>
  <si>
    <t>Larvae survival rate</t>
  </si>
  <si>
    <t>Bio conversion rate</t>
  </si>
  <si>
    <t>Waste reduction rate</t>
  </si>
  <si>
    <t>17DOL harvest</t>
  </si>
  <si>
    <t>Residue</t>
  </si>
  <si>
    <t>Unit W: Waste Pre-Processing</t>
  </si>
  <si>
    <t>Utilities demand</t>
  </si>
  <si>
    <t>Labor</t>
  </si>
  <si>
    <t>Number</t>
  </si>
  <si>
    <t>Output from Unit W</t>
  </si>
  <si>
    <t>Utility</t>
  </si>
  <si>
    <t>Unit T: Waste Treatment</t>
  </si>
  <si>
    <t>Pre-Processed waste</t>
  </si>
  <si>
    <t>17DOL + Residue</t>
  </si>
  <si>
    <t>Output from Unit T</t>
  </si>
  <si>
    <t>17DOL</t>
  </si>
  <si>
    <t>Output from Unit H</t>
  </si>
  <si>
    <t xml:space="preserve">Output from Unit R </t>
  </si>
  <si>
    <t>Labor : 17DOL - Egg</t>
  </si>
  <si>
    <t>Labor : Egg - 5DOL</t>
  </si>
  <si>
    <t>Equipement inventory : 17DOL - Egg</t>
  </si>
  <si>
    <t>Equipement inventory : Egg - 5DOL</t>
  </si>
  <si>
    <t>Material</t>
  </si>
  <si>
    <t>Unit P: Post-Processing</t>
  </si>
  <si>
    <t>Output from Unit P</t>
  </si>
  <si>
    <t>Fresh Larvae</t>
  </si>
  <si>
    <t>Unit Res: Residue Processing</t>
  </si>
  <si>
    <t>Output from Unit Res</t>
  </si>
  <si>
    <t>Unit: U-R</t>
  </si>
  <si>
    <t>ma0001</t>
  </si>
  <si>
    <t>ma0002</t>
  </si>
  <si>
    <t>ma0003</t>
  </si>
  <si>
    <t>ma0004</t>
  </si>
  <si>
    <t>ma0005</t>
  </si>
  <si>
    <t>ma0006</t>
  </si>
  <si>
    <t>ma0007</t>
  </si>
  <si>
    <t>ma0008</t>
  </si>
  <si>
    <t>ma0009</t>
  </si>
  <si>
    <t>ma0010</t>
  </si>
  <si>
    <t>ma0011</t>
  </si>
  <si>
    <t>ma0012</t>
  </si>
  <si>
    <t>ma0013</t>
  </si>
  <si>
    <t>ma0014</t>
  </si>
  <si>
    <t>ma0015</t>
  </si>
  <si>
    <t>ma0016</t>
  </si>
  <si>
    <t>ma0017</t>
  </si>
  <si>
    <t>ma0018</t>
  </si>
  <si>
    <t>ma0019</t>
  </si>
  <si>
    <t>ma0020</t>
  </si>
  <si>
    <t>ma0021</t>
  </si>
  <si>
    <t>ma0022</t>
  </si>
  <si>
    <t>ma0023</t>
  </si>
  <si>
    <t>ma0024</t>
  </si>
  <si>
    <t>ma0025</t>
  </si>
  <si>
    <t>ma0026</t>
  </si>
  <si>
    <t>ma0027</t>
  </si>
  <si>
    <t>ma0028</t>
  </si>
  <si>
    <t>ma0029</t>
  </si>
  <si>
    <t>ma0030</t>
  </si>
  <si>
    <t>ma0031</t>
  </si>
  <si>
    <t>ma0032</t>
  </si>
  <si>
    <t>ma0033</t>
  </si>
  <si>
    <t>ma0034</t>
  </si>
  <si>
    <t>ma0035</t>
  </si>
  <si>
    <t>ma0036</t>
  </si>
  <si>
    <t>ma0037</t>
  </si>
  <si>
    <t>ma0038</t>
  </si>
  <si>
    <t>ma0039</t>
  </si>
  <si>
    <t>ma0040</t>
  </si>
  <si>
    <t>ma0041</t>
  </si>
  <si>
    <t>ma0042</t>
  </si>
  <si>
    <t>ma0043</t>
  </si>
  <si>
    <t>ma0044</t>
  </si>
  <si>
    <t>ma0045</t>
  </si>
  <si>
    <t>ma0046</t>
  </si>
  <si>
    <t>ma0047</t>
  </si>
  <si>
    <t>ma0048</t>
  </si>
  <si>
    <t>ma0049</t>
  </si>
  <si>
    <t>ma0050</t>
  </si>
  <si>
    <t>ma0051</t>
  </si>
  <si>
    <t>ma0052</t>
  </si>
  <si>
    <t>ma0053</t>
  </si>
  <si>
    <t>ma0054</t>
  </si>
  <si>
    <t>ma0055</t>
  </si>
  <si>
    <t>ma0056</t>
  </si>
  <si>
    <t>ma0057</t>
  </si>
  <si>
    <t>ma0058</t>
  </si>
  <si>
    <t>ma0059</t>
  </si>
  <si>
    <t>ma0060</t>
  </si>
  <si>
    <t>ma0061</t>
  </si>
  <si>
    <t>ma0062</t>
  </si>
  <si>
    <t>ma0063</t>
  </si>
  <si>
    <t>ma0064</t>
  </si>
  <si>
    <t>ma0065</t>
  </si>
  <si>
    <t>ma0066</t>
  </si>
  <si>
    <t>ma0067</t>
  </si>
  <si>
    <t>ma0068</t>
  </si>
  <si>
    <t>ma0069</t>
  </si>
  <si>
    <t>ma0070</t>
  </si>
  <si>
    <t>ma0071</t>
  </si>
  <si>
    <t>ma0072</t>
  </si>
  <si>
    <t>ma0073</t>
  </si>
  <si>
    <t>ma0074</t>
  </si>
  <si>
    <t>ma0075</t>
  </si>
  <si>
    <t>ma0076</t>
  </si>
  <si>
    <t>ma0077</t>
  </si>
  <si>
    <t>ma0078</t>
  </si>
  <si>
    <t>ma0079</t>
  </si>
  <si>
    <t>ma0080</t>
  </si>
  <si>
    <t>ma0081</t>
  </si>
  <si>
    <t>ma0082</t>
  </si>
  <si>
    <t>ma0083</t>
  </si>
  <si>
    <t>ma0084</t>
  </si>
  <si>
    <t>ma0085</t>
  </si>
  <si>
    <t>ma0086</t>
  </si>
  <si>
    <t>ma0087</t>
  </si>
  <si>
    <t>ma0088</t>
  </si>
  <si>
    <t>ma0089</t>
  </si>
  <si>
    <t>ma0090</t>
  </si>
  <si>
    <t>ma0091</t>
  </si>
  <si>
    <t>ma0092</t>
  </si>
  <si>
    <t>ma0093</t>
  </si>
  <si>
    <t>ma0094</t>
  </si>
  <si>
    <t>ma0095</t>
  </si>
  <si>
    <t>ma0096</t>
  </si>
  <si>
    <t>ma0097</t>
  </si>
  <si>
    <t>ma0098</t>
  </si>
  <si>
    <t>ma0099</t>
  </si>
  <si>
    <t>ma0100</t>
  </si>
  <si>
    <t>Comment</t>
  </si>
  <si>
    <t>Material input per processing unit</t>
  </si>
  <si>
    <t>Material Code</t>
  </si>
  <si>
    <t>Material Name</t>
  </si>
  <si>
    <t>Row of equipment ID values which is currently 5</t>
  </si>
  <si>
    <t>If true</t>
  </si>
  <si>
    <t>checking number of cells not empty in column Unit &gt; 0</t>
  </si>
  <si>
    <t>IF</t>
  </si>
  <si>
    <t>Array</t>
  </si>
  <si>
    <t>look for the nth smallest number</t>
  </si>
  <si>
    <t>SMALL</t>
  </si>
  <si>
    <t>determine with small function</t>
  </si>
  <si>
    <t>Row number</t>
  </si>
  <si>
    <t>whole A:A column</t>
  </si>
  <si>
    <t>find the right equipment id row</t>
  </si>
  <si>
    <t>INDEX</t>
  </si>
  <si>
    <t>index the right row and fill in the value, how it is done:</t>
  </si>
  <si>
    <t>what it means: there is at least one entry</t>
  </si>
  <si>
    <t>if false:</t>
  </si>
  <si>
    <t>what it means: there is nothing filled in for the equipment in the unit</t>
  </si>
  <si>
    <t>write N/A</t>
  </si>
  <si>
    <t>If true:</t>
  </si>
  <si>
    <t>number of row that is in the table</t>
  </si>
  <si>
    <t>&lt;</t>
  </si>
  <si>
    <t>checking number of cells not empty in column Unit</t>
  </si>
  <si>
    <t>Logical test:</t>
  </si>
  <si>
    <t>function in words</t>
  </si>
  <si>
    <t>pulling data from "Material input table"</t>
  </si>
  <si>
    <t>Harvesting unit</t>
  </si>
  <si>
    <t>Equipment requires utilities?</t>
  </si>
  <si>
    <t>Yes</t>
  </si>
  <si>
    <t>No</t>
  </si>
  <si>
    <t>Utility usage</t>
  </si>
  <si>
    <t>m3/h</t>
  </si>
  <si>
    <t>kW</t>
  </si>
  <si>
    <t>Run Time</t>
  </si>
  <si>
    <t>h</t>
  </si>
  <si>
    <t>Water use in m3/h</t>
  </si>
  <si>
    <t>Total utility cost per day: [IDR/d]</t>
  </si>
  <si>
    <t>eq0040</t>
  </si>
  <si>
    <t>eq0041</t>
  </si>
  <si>
    <t>eq0042</t>
  </si>
  <si>
    <t>eq0043</t>
  </si>
  <si>
    <t>eq0044</t>
  </si>
  <si>
    <t>eq0045</t>
  </si>
  <si>
    <t>eq0046</t>
  </si>
  <si>
    <t>eq0047</t>
  </si>
  <si>
    <t>eq0048</t>
  </si>
  <si>
    <t>eq0049</t>
  </si>
  <si>
    <t>eq0050</t>
  </si>
  <si>
    <t>eq0051</t>
  </si>
  <si>
    <t>eq0052</t>
  </si>
  <si>
    <t>eq0053</t>
  </si>
  <si>
    <t>eq0054</t>
  </si>
  <si>
    <t>eq0055</t>
  </si>
  <si>
    <t>eq0056</t>
  </si>
  <si>
    <t>eq0057</t>
  </si>
  <si>
    <t>eq0058</t>
  </si>
  <si>
    <t>eq0059</t>
  </si>
  <si>
    <t>eq0060</t>
  </si>
  <si>
    <t>eq0061</t>
  </si>
  <si>
    <t>eq0062</t>
  </si>
  <si>
    <t>eq0063</t>
  </si>
  <si>
    <t>eq0064</t>
  </si>
  <si>
    <t>eq0065</t>
  </si>
  <si>
    <t>eq0066</t>
  </si>
  <si>
    <t>eq0067</t>
  </si>
  <si>
    <t>eq0068</t>
  </si>
  <si>
    <t>eq0069</t>
  </si>
  <si>
    <t>eq0070</t>
  </si>
  <si>
    <t>eq0071</t>
  </si>
  <si>
    <t>eq0072</t>
  </si>
  <si>
    <t>eq0073</t>
  </si>
  <si>
    <t>eq0074</t>
  </si>
  <si>
    <t>eq0075</t>
  </si>
  <si>
    <t>eq0076</t>
  </si>
  <si>
    <t>eq0077</t>
  </si>
  <si>
    <t>eq0078</t>
  </si>
  <si>
    <t>eq0079</t>
  </si>
  <si>
    <t>eq0080</t>
  </si>
  <si>
    <t>eq0081</t>
  </si>
  <si>
    <t>eq0082</t>
  </si>
  <si>
    <t>eq0083</t>
  </si>
  <si>
    <t>eq0084</t>
  </si>
  <si>
    <t>eq0085</t>
  </si>
  <si>
    <t>eq0086</t>
  </si>
  <si>
    <t>eq0087</t>
  </si>
  <si>
    <t>eq0088</t>
  </si>
  <si>
    <t>eq0089</t>
  </si>
  <si>
    <t>eq0090</t>
  </si>
  <si>
    <t>eq0091</t>
  </si>
  <si>
    <t>eq0092</t>
  </si>
  <si>
    <t>eq0093</t>
  </si>
  <si>
    <t>eq0094</t>
  </si>
  <si>
    <t>eq0095</t>
  </si>
  <si>
    <t>eq0096</t>
  </si>
  <si>
    <t>eq0097</t>
  </si>
  <si>
    <t>eq0098</t>
  </si>
  <si>
    <t>eq0099</t>
  </si>
  <si>
    <t>eq0100</t>
  </si>
  <si>
    <t>Run Time in h/d</t>
  </si>
  <si>
    <t>Water costs per day</t>
  </si>
  <si>
    <t>Electricity costs per day</t>
  </si>
  <si>
    <t>Fuel costs per day</t>
  </si>
  <si>
    <t>Fuel use in L/h</t>
  </si>
  <si>
    <t>Electricity use in kW</t>
  </si>
  <si>
    <t>Fuel Type</t>
  </si>
  <si>
    <t>Fuel type</t>
  </si>
  <si>
    <t>LPG</t>
  </si>
  <si>
    <t>Gasoline</t>
  </si>
  <si>
    <t>Specification</t>
  </si>
  <si>
    <t>Units</t>
  </si>
  <si>
    <t>Product</t>
  </si>
  <si>
    <t>Total use per day</t>
  </si>
  <si>
    <t>m3/d</t>
  </si>
  <si>
    <t>L/d</t>
  </si>
  <si>
    <t>kWh/d</t>
  </si>
  <si>
    <t>From 2019 model</t>
  </si>
  <si>
    <t>U-N-Egg</t>
  </si>
  <si>
    <t>U-N-5DOL</t>
  </si>
  <si>
    <t>U-N-17DOL</t>
  </si>
  <si>
    <t>U-R</t>
  </si>
  <si>
    <t>Post-processing unit (any product)</t>
  </si>
  <si>
    <t>U-P</t>
  </si>
  <si>
    <t>Nursery / Rearing unit - Egg production section</t>
  </si>
  <si>
    <t>Nursery / Rearing unit - 5DOL production section (from Eggs)</t>
  </si>
  <si>
    <t>Nursery / Rearing unit - 17DOL production from 5DOL (non-integrated model)</t>
  </si>
  <si>
    <t>pulling data from "Equipment Inventory table" (below) &amp; "Sales,Utility&amp;Rental tab"</t>
  </si>
  <si>
    <t>pulling data from "Equipment input table" &amp; "Sales,Utility&amp;Rental tab"</t>
  </si>
  <si>
    <t>Alloc. U-N-5DOL</t>
  </si>
  <si>
    <t>Alloc. U-N-Egg</t>
  </si>
  <si>
    <t>weeks</t>
  </si>
  <si>
    <t>h/FTE</t>
  </si>
  <si>
    <t>d</t>
  </si>
  <si>
    <t>Custom data</t>
  </si>
  <si>
    <t>Feedstock</t>
  </si>
  <si>
    <t>Nursery / Rearing</t>
  </si>
  <si>
    <t>Waste received with tipping fee</t>
  </si>
  <si>
    <t>Select Database:</t>
  </si>
  <si>
    <r>
      <t xml:space="preserve">Calculated Key operating data </t>
    </r>
    <r>
      <rPr>
        <sz val="10"/>
        <color theme="1"/>
        <rFont val="Calibri"/>
        <family val="2"/>
        <scheme val="minor"/>
      </rPr>
      <t>(output of Database selection)</t>
    </r>
  </si>
  <si>
    <t>Unit N: Nursery / Rearing (17DOL - Egg)</t>
  </si>
  <si>
    <t>Unit N: Nursery / Rearing (Egg - 5DOL)</t>
  </si>
  <si>
    <t>kg/h</t>
  </si>
  <si>
    <t>Sanitazing set</t>
  </si>
  <si>
    <t>Sealer</t>
  </si>
  <si>
    <t xml:space="preserve">Scale </t>
  </si>
  <si>
    <t xml:space="preserve">Refrigerator </t>
  </si>
  <si>
    <t>Freezer</t>
  </si>
  <si>
    <t>Fuel use in kg/h</t>
  </si>
  <si>
    <t>kg/d</t>
  </si>
  <si>
    <t>USD</t>
  </si>
  <si>
    <t>EUR</t>
  </si>
  <si>
    <t>IDR</t>
  </si>
  <si>
    <t>Weeks per year</t>
  </si>
  <si>
    <t>Days of operation  per week</t>
  </si>
  <si>
    <t>Days of operation per year</t>
  </si>
  <si>
    <t>days</t>
  </si>
  <si>
    <t>Dried Larvae</t>
  </si>
  <si>
    <t>BSFL defatted cake</t>
  </si>
  <si>
    <t>BSFL press liquid</t>
  </si>
  <si>
    <t>BSF meal defatted</t>
  </si>
  <si>
    <t>Pop Larvae yield</t>
  </si>
  <si>
    <t>Post-Processing unit (U-P)
[%wt of Fresh Larvae]</t>
  </si>
  <si>
    <t>Pre-processed waste going to BSF treatment</t>
  </si>
  <si>
    <t>Fresh larvae harvested (wet)</t>
  </si>
  <si>
    <t>Dried larvae production</t>
  </si>
  <si>
    <t>Waste residue produced (wet)</t>
  </si>
  <si>
    <t>Harvesting 
(U-H)</t>
  </si>
  <si>
    <t>Waste treatment 
(U-T )</t>
  </si>
  <si>
    <t>Nursery 
(U-N)</t>
  </si>
  <si>
    <t>Post-Processing 
(U-P)</t>
  </si>
  <si>
    <t>kg/h production per day</t>
  </si>
  <si>
    <t>Oil Press (for dried larvae)</t>
  </si>
  <si>
    <t>Grinder</t>
  </si>
  <si>
    <t>Rotary dryer</t>
  </si>
  <si>
    <t>Post Processing</t>
  </si>
  <si>
    <t>Time for Production [h/kg product]</t>
  </si>
  <si>
    <t>Appendix</t>
  </si>
  <si>
    <t>Process Units</t>
  </si>
  <si>
    <t>Internal Settings</t>
  </si>
  <si>
    <t>Plant operation per day</t>
  </si>
  <si>
    <t>Year 01</t>
  </si>
  <si>
    <t>Year 02</t>
  </si>
  <si>
    <t>Year 03</t>
  </si>
  <si>
    <t>Year 04</t>
  </si>
  <si>
    <t>Year 05</t>
  </si>
  <si>
    <t>Year 06</t>
  </si>
  <si>
    <t>Year 07</t>
  </si>
  <si>
    <t>Year 08</t>
  </si>
  <si>
    <t>Year 09</t>
  </si>
  <si>
    <t>Year 10</t>
  </si>
  <si>
    <t>Year 11</t>
  </si>
  <si>
    <t>Year 12</t>
  </si>
  <si>
    <t>Year 13</t>
  </si>
  <si>
    <t>Year 14</t>
  </si>
  <si>
    <t>Year 15</t>
  </si>
  <si>
    <t>Fresh larvae to post processing</t>
  </si>
  <si>
    <t>Microwave drying</t>
  </si>
  <si>
    <t>Pressing (dry)</t>
  </si>
  <si>
    <t>Milling</t>
  </si>
  <si>
    <t>Sanitized larvae</t>
  </si>
  <si>
    <t>Sanitazing</t>
  </si>
  <si>
    <t>Process Step</t>
  </si>
  <si>
    <t>Year 00</t>
  </si>
  <si>
    <t>Capex</t>
  </si>
  <si>
    <t>Opex</t>
  </si>
  <si>
    <t>Total capex per year</t>
  </si>
  <si>
    <t>recycled in process; cost are low and neglectable</t>
  </si>
  <si>
    <t xml:space="preserve"> e.g. dry leaves, straw; for free</t>
  </si>
  <si>
    <t>no costs; by-product from waste processing</t>
  </si>
  <si>
    <t>min. 60% MC needed</t>
  </si>
  <si>
    <t>Blower</t>
  </si>
  <si>
    <t>in # or kg 
per kg of Egg_out</t>
  </si>
  <si>
    <t>in # or kg 
per kg of 5DOL_out</t>
  </si>
  <si>
    <t>in # or kg 
per kg of 17DOL_out</t>
  </si>
  <si>
    <t>in # or kg 
per kg of pre-proc. waste_out</t>
  </si>
  <si>
    <t>in # or kg 
per kg of 17DOL+R_out</t>
  </si>
  <si>
    <t>in # or kg 
per kg of Product</t>
  </si>
  <si>
    <t>in # or kg 
per kg of Residue</t>
  </si>
  <si>
    <t>Total Capex per year</t>
  </si>
  <si>
    <t>Total Capex</t>
  </si>
  <si>
    <t>Operating/investments cashflow</t>
  </si>
  <si>
    <t>Operating/investments cashflow cumul.</t>
  </si>
  <si>
    <t>Total revenue per year</t>
  </si>
  <si>
    <t>Larvae Meal</t>
  </si>
  <si>
    <t>Larvae meal production</t>
  </si>
  <si>
    <t>Larvae oil production</t>
  </si>
  <si>
    <t>per ton</t>
  </si>
  <si>
    <t>Cumulative Cash Flow</t>
  </si>
  <si>
    <t>Retention time in waste treatment process (MRT)</t>
  </si>
  <si>
    <t>Project Internal Rate of Return (IRR)</t>
  </si>
  <si>
    <t>Project Net Present Value (NPV)</t>
  </si>
  <si>
    <t>Payback Period in years</t>
  </si>
  <si>
    <t>Total cost per year</t>
  </si>
  <si>
    <t>Total cost per day</t>
  </si>
  <si>
    <t>Total cost per kg output</t>
  </si>
  <si>
    <t>Factory rent</t>
  </si>
  <si>
    <t>Factory building depreciation</t>
  </si>
  <si>
    <t>Larvae Meal &amp; Oil</t>
  </si>
  <si>
    <t>Dried Larve</t>
  </si>
  <si>
    <t>Capital cost</t>
  </si>
  <si>
    <t xml:space="preserve">Residue sold </t>
  </si>
  <si>
    <t>Function / Description</t>
  </si>
  <si>
    <t>Material used for Product</t>
  </si>
  <si>
    <t>Amount in t/yr</t>
  </si>
  <si>
    <t>kg/kg of Prod out</t>
  </si>
  <si>
    <t>Total input materials cost: [IDR/yr]</t>
  </si>
  <si>
    <t>Materials for Unit-P: Specific for Product</t>
  </si>
  <si>
    <t>Cost Breakdown Analysis</t>
  </si>
  <si>
    <t>kg residue/sieve/d</t>
  </si>
  <si>
    <t>kg waste/unit/d</t>
  </si>
  <si>
    <t>crates/d/mixer</t>
  </si>
  <si>
    <t>Footprint in m2 (projected if stackable)</t>
  </si>
  <si>
    <t>Occupies floor space?</t>
  </si>
  <si>
    <t>-</t>
  </si>
  <si>
    <t>Total footprint of plant</t>
  </si>
  <si>
    <t>Size in m2</t>
  </si>
  <si>
    <t>Vibrating sieve</t>
  </si>
  <si>
    <t>crates/unit</t>
  </si>
  <si>
    <t>Markup</t>
  </si>
  <si>
    <t>Discounted cash flow</t>
  </si>
  <si>
    <t>Discounted cash flow cumulative</t>
  </si>
  <si>
    <t>(Excel NPV calc)</t>
  </si>
  <si>
    <t>(Manual NPV calc)</t>
  </si>
  <si>
    <t>Check:</t>
  </si>
  <si>
    <t>Loan Amount</t>
  </si>
  <si>
    <t>Annual interest rate</t>
  </si>
  <si>
    <t>Total amount payable</t>
  </si>
  <si>
    <t>Total months</t>
  </si>
  <si>
    <t>Term of loan in years</t>
  </si>
  <si>
    <t>Monthly Payment</t>
  </si>
  <si>
    <t>Monthly Rate</t>
  </si>
  <si>
    <t>Factory space occupation factor</t>
  </si>
  <si>
    <t>Factory supplies</t>
  </si>
  <si>
    <t>Internal Rate of Return (IRR)</t>
  </si>
  <si>
    <t>container/harvesting unit</t>
  </si>
  <si>
    <t>scoop/harvesting unit</t>
  </si>
  <si>
    <t>Attractant container</t>
  </si>
  <si>
    <t>Shade box</t>
  </si>
  <si>
    <t>Box/cage</t>
  </si>
  <si>
    <t>Mobile fly harvester with attracting light</t>
  </si>
  <si>
    <t>Oviball holder</t>
  </si>
  <si>
    <t>Egg media</t>
  </si>
  <si>
    <t>Egg media/Oviposition cage</t>
  </si>
  <si>
    <t>Outer box</t>
  </si>
  <si>
    <t>Outer box/Larvero</t>
  </si>
  <si>
    <t>Measuring balance (nursery)</t>
  </si>
  <si>
    <t>Precision balance (lab)</t>
  </si>
  <si>
    <t>Oviposition cages/machine</t>
  </si>
  <si>
    <t>per m2</t>
  </si>
  <si>
    <t>Larvae Oil (crude)</t>
  </si>
  <si>
    <t>Unit-W</t>
  </si>
  <si>
    <t>Unit-T</t>
  </si>
  <si>
    <t>Unit-H</t>
  </si>
  <si>
    <t>Unit-N</t>
  </si>
  <si>
    <t>Unit-P</t>
  </si>
  <si>
    <t>Unit-R</t>
  </si>
  <si>
    <t>m2 nursery/blower</t>
  </si>
  <si>
    <t>Factory land aquisition</t>
  </si>
  <si>
    <t>Factory buidling</t>
  </si>
  <si>
    <t>Equipment footprint in m2</t>
  </si>
  <si>
    <t>Land aqusition</t>
  </si>
  <si>
    <t>Factory construction</t>
  </si>
  <si>
    <t>Equipment footprint</t>
  </si>
  <si>
    <t>Land aquisition</t>
  </si>
  <si>
    <t>Factory Renting or Buying</t>
  </si>
  <si>
    <t>Renting land and factory</t>
  </si>
  <si>
    <t>Buying land and factory</t>
  </si>
  <si>
    <t>CHF</t>
  </si>
  <si>
    <t>Currency</t>
  </si>
  <si>
    <t>m2/yr</t>
  </si>
  <si>
    <t>per yr</t>
  </si>
  <si>
    <t>per kWh</t>
  </si>
  <si>
    <t>per m^3</t>
  </si>
  <si>
    <t>per kg</t>
  </si>
  <si>
    <t>Price per unit conversion</t>
  </si>
  <si>
    <t>Unit capital cost conversion</t>
  </si>
  <si>
    <t>net salary conversion [yr]</t>
  </si>
  <si>
    <t>net salary [yr]</t>
  </si>
  <si>
    <t>Flies/day</t>
  </si>
  <si>
    <t>Prepupae/day</t>
  </si>
  <si>
    <t>5-DOL to treatment/day</t>
  </si>
  <si>
    <t>17-DOL to nursery/day</t>
  </si>
  <si>
    <t>Microwave (MAX-30B)</t>
  </si>
  <si>
    <t>kg larvae/microwave/day</t>
  </si>
  <si>
    <t>kg larvae/dryer/day</t>
  </si>
  <si>
    <t>kg press cake/day</t>
  </si>
  <si>
    <t>Total interest payable</t>
  </si>
  <si>
    <t>remaining ("salvage") value</t>
  </si>
  <si>
    <t>Depreciation per yr</t>
  </si>
  <si>
    <t>equipemnt</t>
  </si>
  <si>
    <t>equipemnt/worker</t>
  </si>
  <si>
    <t>max input / equipment /day</t>
  </si>
  <si>
    <t>output yield</t>
  </si>
  <si>
    <t>max output/equipment</t>
  </si>
  <si>
    <t>max output/day/worker</t>
  </si>
  <si>
    <t>Microwave MAX-30B</t>
  </si>
  <si>
    <t>Rotary drying</t>
  </si>
  <si>
    <t>Rotary dryer - custom</t>
  </si>
  <si>
    <t>Oilpress - ZX80</t>
  </si>
  <si>
    <t>Grinder - AGR-GRP-180</t>
  </si>
  <si>
    <t>self decanting</t>
  </si>
  <si>
    <t>Discounted Payback</t>
  </si>
  <si>
    <t>Total nr of employees</t>
  </si>
  <si>
    <t>of all employees excl site manager</t>
  </si>
  <si>
    <t>Oviposition cage (Love cage)</t>
  </si>
  <si>
    <t xml:space="preserve">Pupation crates </t>
  </si>
  <si>
    <t>Pupation cage (Dark cage)</t>
  </si>
  <si>
    <t>Eggs per Fly [Nr]</t>
  </si>
  <si>
    <t>Larvae Retention time (days)</t>
  </si>
  <si>
    <t>Prepupae Retention time (days)</t>
  </si>
  <si>
    <t>Fly Retention time (days)</t>
  </si>
  <si>
    <t>Hatchling Retention time (days)</t>
  </si>
  <si>
    <t>Days of treatment</t>
  </si>
  <si>
    <t>Eggs/day</t>
  </si>
  <si>
    <t>TBD: Factory rent (BSFL plant section)</t>
  </si>
  <si>
    <t>Factory rent (Office section); currently all space</t>
  </si>
  <si>
    <t>floor space in m2</t>
  </si>
  <si>
    <t>Start to fill in equipment here:</t>
  </si>
  <si>
    <t>ton fresh larvae/year/sales manager</t>
  </si>
  <si>
    <t>Waste Pre-Processing</t>
  </si>
  <si>
    <t>Taxes (on operating profit)</t>
  </si>
  <si>
    <t>Interest (Loan for initial capex)</t>
  </si>
  <si>
    <t>per m2 building construction</t>
  </si>
  <si>
    <t>Run time/d</t>
  </si>
  <si>
    <t>kg larvae/press/day</t>
  </si>
  <si>
    <t>Overproduction Egg</t>
  </si>
  <si>
    <t>Egg production (nursery)</t>
  </si>
  <si>
    <t>Total Egg Production</t>
  </si>
  <si>
    <t>Overproduction Eggs</t>
  </si>
  <si>
    <t>Overproduction 5DOL</t>
  </si>
  <si>
    <t>5DOL production (Nursery)</t>
  </si>
  <si>
    <t>Total 5DOL production</t>
  </si>
  <si>
    <t>Taxes (on profit)</t>
  </si>
  <si>
    <t>Interests (initial capex)</t>
  </si>
  <si>
    <t>Estimated Eggs sales</t>
  </si>
  <si>
    <t>Estimated 5DOL sales</t>
  </si>
  <si>
    <t>Water user per employee</t>
  </si>
  <si>
    <t>L/day</t>
  </si>
  <si>
    <t>Utilities: Water</t>
  </si>
  <si>
    <t>Utilities: energy</t>
  </si>
  <si>
    <t>Supplies</t>
  </si>
  <si>
    <t>BSFL Lifecycle figures [in # per day]</t>
  </si>
  <si>
    <t>BSF Process throughput</t>
  </si>
  <si>
    <t>Value</t>
  </si>
  <si>
    <t>Plant operation</t>
  </si>
  <si>
    <t>years</t>
  </si>
  <si>
    <t>Lignocellulosic material (bulk material)</t>
  </si>
  <si>
    <t>Category</t>
  </si>
  <si>
    <t>Input value</t>
  </si>
  <si>
    <t>of fresh larvae produced</t>
  </si>
  <si>
    <t>Specify egg overproducton for sales</t>
  </si>
  <si>
    <t>Specify estimated sales of overproduced eggs</t>
  </si>
  <si>
    <t>of overproduction of eggs</t>
  </si>
  <si>
    <t>Factory costs</t>
  </si>
  <si>
    <t>of overproduction of 5DOL</t>
  </si>
  <si>
    <t>Specify amount of residue sold per year</t>
  </si>
  <si>
    <t>Specify how much of waste received is charged with gate fees per year</t>
  </si>
  <si>
    <t>Input</t>
  </si>
  <si>
    <t>Utility costs</t>
  </si>
  <si>
    <t>kWh/m2/year</t>
  </si>
  <si>
    <t>Converted into selected currency</t>
  </si>
  <si>
    <t>Choose currency to be used for the results</t>
  </si>
  <si>
    <t>Specify the water, electricity and fuel costs for the BSFL process</t>
  </si>
  <si>
    <t>ton waste treated/d</t>
  </si>
  <si>
    <t>t/year</t>
  </si>
  <si>
    <t>Currency conversion</t>
  </si>
  <si>
    <t>Staff ratios</t>
  </si>
  <si>
    <t>Unit managers/site manager (min. 1)</t>
  </si>
  <si>
    <t>Unit managers</t>
  </si>
  <si>
    <t>Specification of overall factory costs</t>
  </si>
  <si>
    <t>Specify 5DOL overproducton for sales</t>
  </si>
  <si>
    <t>Specify estimated sales of overproduced 5DOL</t>
  </si>
  <si>
    <t>per month</t>
  </si>
  <si>
    <t>Equity</t>
  </si>
  <si>
    <t>Equity weight</t>
  </si>
  <si>
    <t>Debt</t>
  </si>
  <si>
    <t>Debt weight</t>
  </si>
  <si>
    <t>Profit tax</t>
  </si>
  <si>
    <t>additional egg production for sale</t>
  </si>
  <si>
    <t>additional 5DOL production for sale</t>
  </si>
  <si>
    <t>Waste received</t>
  </si>
  <si>
    <t>Waste received at site</t>
  </si>
  <si>
    <t>BSFL Process Unit</t>
  </si>
  <si>
    <t>% of total sales volume (t/t)</t>
  </si>
  <si>
    <t>Revenue stream</t>
  </si>
  <si>
    <t>Plant capacity</t>
  </si>
  <si>
    <t>Product selection</t>
  </si>
  <si>
    <t>Gate fee &amp; by-products</t>
  </si>
  <si>
    <t>Nursery products sale</t>
  </si>
  <si>
    <t>Energy use per m2 office</t>
  </si>
  <si>
    <t>Specify if initial costs (capex) for BSFL plant shall be financed with loan</t>
  </si>
  <si>
    <t>Capital costs financing</t>
  </si>
  <si>
    <t>Office space and utility usage</t>
  </si>
  <si>
    <t>Office space per employee (non factory workers)</t>
  </si>
  <si>
    <t>Office space</t>
  </si>
  <si>
    <t>Total products produced</t>
  </si>
  <si>
    <t>m2/employee (managers, admin, sales)</t>
  </si>
  <si>
    <t>of capital cost</t>
  </si>
  <si>
    <t>Salvage value (= end of life sales value)</t>
  </si>
  <si>
    <t>workers/manager</t>
  </si>
  <si>
    <t>Admin staff</t>
  </si>
  <si>
    <t>Factory &amp; office</t>
  </si>
  <si>
    <t>Gate fee, BSFL products &amp; residue prices</t>
  </si>
  <si>
    <t>(total capex costs in year 00)</t>
  </si>
  <si>
    <t>months</t>
  </si>
  <si>
    <t>Financial parameters</t>
  </si>
  <si>
    <t>Financial analysis</t>
  </si>
  <si>
    <t>Introduction</t>
  </si>
  <si>
    <t xml:space="preserve">Advanced users: BSFL process parameters can be adjusted in the database </t>
  </si>
  <si>
    <t>(efficiencies, conversion rates, survival rates, BCR, WCR, time-motion values…)</t>
  </si>
  <si>
    <t>ton/year</t>
  </si>
  <si>
    <t>Payback Period</t>
  </si>
  <si>
    <t>Discounted Payback Period</t>
  </si>
  <si>
    <t>ton/day</t>
  </si>
  <si>
    <t>Specify the ratio of workers to unit managers, admin staff, sales and site managers</t>
  </si>
  <si>
    <t>Funding / Financing of initial capital costs</t>
  </si>
  <si>
    <t>Specify the BSFL products to be produced (total sum of all categories must be 100%)</t>
  </si>
  <si>
    <t>of total waste received</t>
  </si>
  <si>
    <t>Initial capital loan</t>
  </si>
  <si>
    <t>Define the operating parameters of the plant</t>
  </si>
  <si>
    <t>Specify the annual working hours per employee</t>
  </si>
  <si>
    <t>Define the paramters for the interest calculation for the initial capital loan</t>
  </si>
  <si>
    <t>Specify rates for the financial calculations of net present value, IRR and anual salary increase</t>
  </si>
  <si>
    <t>Nursery unit (U-N)</t>
  </si>
  <si>
    <t>Residue conversion efficiency</t>
  </si>
  <si>
    <t>Residue unit 
(U-R)</t>
  </si>
  <si>
    <t>Process equipment and costs</t>
  </si>
  <si>
    <t>Specify contingencies for unexpected process costs</t>
  </si>
  <si>
    <t>Contngencies / Unforseen</t>
  </si>
  <si>
    <t>of direct material and labour costs for production</t>
  </si>
  <si>
    <t>Retention time in waste treatment process (MRT) in days</t>
  </si>
  <si>
    <t>Equipment Maintenance and contingencies</t>
  </si>
  <si>
    <t>Equipment Depreciation</t>
  </si>
  <si>
    <t>Labor (indirect)</t>
  </si>
  <si>
    <t>Rental</t>
  </si>
  <si>
    <t>Labor (direct)</t>
  </si>
  <si>
    <t>Materials (direct)</t>
  </si>
  <si>
    <t>Maintenance and contingencies</t>
  </si>
  <si>
    <t>Contingencies for COGS</t>
  </si>
  <si>
    <t>Retention time</t>
  </si>
  <si>
    <t>space per tons</t>
  </si>
  <si>
    <t>m2 per ton</t>
  </si>
  <si>
    <t>kg/day</t>
  </si>
  <si>
    <t>Processing parameters for residue to compost conversion</t>
  </si>
  <si>
    <t>*</t>
  </si>
  <si>
    <t>Total space in m2</t>
  </si>
  <si>
    <t>2.0 Advanced Input</t>
  </si>
  <si>
    <t>2.1 Advanced Input - Materials section</t>
  </si>
  <si>
    <t>2.2 Advanced input - Equipment Inventory</t>
  </si>
  <si>
    <t>2.3 Advanced input - Staff input table</t>
  </si>
  <si>
    <t>1.1 Basic Input</t>
  </si>
  <si>
    <t>1.0 General Input</t>
  </si>
  <si>
    <t>Indirect costs = Manufacturing overhead</t>
  </si>
  <si>
    <t>Direct Costs = Direct material &amp; labor</t>
  </si>
  <si>
    <t>COGS (Direct &amp; indirect costs)</t>
  </si>
  <si>
    <t>BCR</t>
  </si>
  <si>
    <t>Waste reduction</t>
  </si>
  <si>
    <t>Organic waste source</t>
  </si>
  <si>
    <t>Specify organic waste to be processed in tons per day</t>
  </si>
  <si>
    <t>Total solids content [%TS]</t>
  </si>
  <si>
    <t>kg/kg of pproc waste_out</t>
  </si>
  <si>
    <t>kg/kg of 17DOL+res_out</t>
  </si>
  <si>
    <t>kg/kg of 17DOL_out</t>
  </si>
  <si>
    <t>kg/kg of Residue_out</t>
  </si>
  <si>
    <t>Product loss factor</t>
  </si>
  <si>
    <t>Determine amount of product potentially lost during manufacturing and handling</t>
  </si>
  <si>
    <t>of product production</t>
  </si>
  <si>
    <t>Process equipment insallation / Integration costs</t>
  </si>
  <si>
    <t>Costs to install equipment</t>
  </si>
  <si>
    <t>Process installation &amp; integration</t>
  </si>
  <si>
    <t>Costs</t>
  </si>
  <si>
    <t>TOTAL</t>
  </si>
  <si>
    <t>TOTAL / COGS</t>
  </si>
  <si>
    <t>Percentage per COGS category</t>
  </si>
  <si>
    <t>Process unit</t>
  </si>
  <si>
    <t>COGS overview per process unit</t>
  </si>
  <si>
    <t>% of total COGS</t>
  </si>
  <si>
    <t>Unit COGS of total COGS</t>
  </si>
  <si>
    <t>COGS category of total COGS</t>
  </si>
  <si>
    <t>SGA and COGS of total opex</t>
  </si>
  <si>
    <t>% of total opex</t>
  </si>
  <si>
    <t>Equipment O&amp;M</t>
  </si>
  <si>
    <t>COGS item</t>
  </si>
  <si>
    <t>Factory and land</t>
  </si>
  <si>
    <t>Specify if land and factory are rented, shall be aquired or not be taken into account</t>
  </si>
  <si>
    <t>Exclude factory and land costs</t>
  </si>
  <si>
    <t>Specify maintenance costs</t>
  </si>
  <si>
    <t>Salvage value of equipment after end of useful life</t>
  </si>
  <si>
    <t>Dicsounted revenues</t>
  </si>
  <si>
    <t>Discounted total costs (capex&amp;opex)</t>
  </si>
  <si>
    <t>Total Opex (excl. ITDA)</t>
  </si>
  <si>
    <t>m2</t>
  </si>
  <si>
    <t>Total Nr staff</t>
  </si>
  <si>
    <t>BSFL factory</t>
  </si>
  <si>
    <t>Total plant size</t>
  </si>
  <si>
    <t>BSFL Business Model Results</t>
  </si>
  <si>
    <t>Business Parameters</t>
  </si>
  <si>
    <t>Business KPIs</t>
  </si>
  <si>
    <t>Post-P. worker (Sanitizing)</t>
  </si>
  <si>
    <t>Post-P. worker (Drying &amp; pressing)</t>
  </si>
  <si>
    <t>Operating margin</t>
  </si>
  <si>
    <t>Net margin</t>
  </si>
  <si>
    <t>Capital costs</t>
  </si>
  <si>
    <t>Operating costs</t>
  </si>
  <si>
    <t>Cost Break Down Analysis</t>
  </si>
  <si>
    <t>Project Life Cycle Indicators (Period: 5 years)</t>
  </si>
  <si>
    <t>Net Present Value (NPV)</t>
  </si>
  <si>
    <t>Treatment capacity</t>
  </si>
  <si>
    <t>Chosen equipment quantity (model or manual)</t>
  </si>
  <si>
    <t>Equipment quantities</t>
  </si>
  <si>
    <t>Automatically calculate equipment quantities or define manually</t>
  </si>
  <si>
    <t>Staff numbers</t>
  </si>
  <si>
    <t>Automatically calculate nr of staff needed or define manually</t>
  </si>
  <si>
    <t>Yes = Automatic
No = Manual</t>
  </si>
  <si>
    <t>For information only</t>
  </si>
  <si>
    <t>Used for NPV calculation</t>
  </si>
  <si>
    <t>Model calculation</t>
  </si>
  <si>
    <t>Manual input</t>
  </si>
  <si>
    <t>Manual input: Number of employees</t>
  </si>
  <si>
    <t>Model Output: Number of employees</t>
  </si>
  <si>
    <t>Chosen Nr: Model or Manual</t>
  </si>
  <si>
    <t>per kg (sold in blocks of 5kg)</t>
  </si>
  <si>
    <t>per kg (sold in 50kg bag)</t>
  </si>
  <si>
    <t>per kg (for composting residue)</t>
  </si>
  <si>
    <t>Nr of weeks in a year</t>
  </si>
  <si>
    <t>Nr of working hours per week</t>
  </si>
  <si>
    <t>Nr of working hours per day</t>
  </si>
  <si>
    <t>Nr of weeks of holidays</t>
  </si>
  <si>
    <t>Effective annual working hours 
(Full Time Equivalent)</t>
  </si>
  <si>
    <t>Annaul salary increase 
(inflation corrected)</t>
  </si>
  <si>
    <t>Sensitivity Analysis</t>
  </si>
  <si>
    <t>NPV versus scale</t>
  </si>
  <si>
    <t>NPV</t>
  </si>
  <si>
    <t>Scale in ton/d</t>
  </si>
  <si>
    <t>Waste to waste treatment</t>
  </si>
  <si>
    <t>Material demand</t>
  </si>
  <si>
    <t>kg/kg of 5 DOL_out</t>
  </si>
  <si>
    <t>Larvae Oil</t>
  </si>
  <si>
    <t>5DOL for internal demand</t>
  </si>
  <si>
    <t>5 DOL for sale</t>
  </si>
  <si>
    <t>Eggs for internal demand</t>
  </si>
  <si>
    <t>Eggs for sale</t>
  </si>
  <si>
    <t>Process overview</t>
  </si>
  <si>
    <t>Financial Analysis</t>
  </si>
  <si>
    <t>Sanitised Larvae</t>
  </si>
  <si>
    <t>Nursery</t>
  </si>
  <si>
    <t>17-DOL needed for nursery cycle</t>
  </si>
  <si>
    <t>5-DOL produced for Unit W</t>
  </si>
  <si>
    <t>Sensitivity Analysis 
(works only with automated calculation of equipment and staff input)</t>
  </si>
  <si>
    <t>The BSFL cost revenue business model is made:</t>
  </si>
  <si>
    <t>- to help decide whether a BSFL business oportunity is likely viable or not by having a cash flow projection over several years</t>
  </si>
  <si>
    <r>
      <t xml:space="preserve">The present business model is for the scenario of an </t>
    </r>
    <r>
      <rPr>
        <b/>
        <sz val="11"/>
        <color theme="1"/>
        <rFont val="Calibri"/>
        <family val="2"/>
        <scheme val="minor"/>
      </rPr>
      <t>integrated plant</t>
    </r>
    <r>
      <rPr>
        <sz val="11"/>
        <color theme="1"/>
        <rFont val="Calibri"/>
        <family val="2"/>
        <scheme val="minor"/>
      </rPr>
      <t>:</t>
    </r>
  </si>
  <si>
    <t>- to provide a cost analysis of a BSF sites by breaking-down the costs between the key operating units (rearing, waste pre-processing, waste treatment, harvesting and post-processing)</t>
  </si>
  <si>
    <t>1.2 BSFL Process figures</t>
  </si>
  <si>
    <t>1.3 BSFL Product streams</t>
  </si>
  <si>
    <t>How to use the model</t>
  </si>
  <si>
    <t>- to plan a project by giving key parameters such as requrired footprint, capital costs and operational costs</t>
  </si>
  <si>
    <t>The following graphic gives an overview of the BSFL plant setup of this scenario.</t>
  </si>
  <si>
    <t>The model is intended for users who are fimiliar with the BSFL process and want to:</t>
  </si>
  <si>
    <t>- or have an existing site and want to anaylse the costs of each process step and want to optimse the site.</t>
  </si>
  <si>
    <t>- or have a clear understanding of the feedstock available and already conducted first BSFL growing trials and use their own data,</t>
  </si>
  <si>
    <t>- Fresh larvaes are either sold as is or post-processed on site to following products: 
Dried larvae, larvae meal and larvae oil</t>
  </si>
  <si>
    <t>- Organic waste is brought to the BSFL plant</t>
  </si>
  <si>
    <t>- Waste is pre-processed and converted into fresh BSF larvae</t>
  </si>
  <si>
    <t>- Residue is processed to compost</t>
  </si>
  <si>
    <t>- Young larvae are reared on-site in the integrated nursery</t>
  </si>
  <si>
    <t>Needed for waste treatment unit</t>
  </si>
  <si>
    <t>* Including space factor in m2</t>
  </si>
  <si>
    <t>Shows the detailed financial calculations of COGS, SG&amp;A, cashflow and various parameters</t>
  </si>
  <si>
    <t>Shows the calculation for the cost break down of the operational costs per COGS and processing unit, SG&amp;A contribution etc.</t>
  </si>
  <si>
    <t>One tab for each process unit; calculates overview of operational costs per unit for financial analysis and capital costs for cashflow</t>
  </si>
  <si>
    <t>Transparent / grey icons represent process steps that are not taken into account in this scenario.</t>
  </si>
  <si>
    <t>Yes / No Choice</t>
  </si>
  <si>
    <t>Black Soldier Fly Larvae - Business Model</t>
  </si>
  <si>
    <t>Scenario Description</t>
  </si>
  <si>
    <t>Process Overview</t>
  </si>
  <si>
    <t>of total residue produced</t>
  </si>
  <si>
    <t>Weighted Average Cost of Capital (WACC) calculated</t>
  </si>
  <si>
    <t>WACC chosen</t>
  </si>
  <si>
    <t>Pot and sieve</t>
  </si>
  <si>
    <t>kg larvae/set/day</t>
  </si>
  <si>
    <t>BSF press cake yield (from dried larvae)</t>
  </si>
  <si>
    <t>Please use the dropdown menue next to "Select Database" to chose the Database to be used for the calculations.</t>
  </si>
  <si>
    <t>The values below are used for the automatic calculation of nr staff required for the BSFL plant. If you have conducted a time motion study, you can enter your ownd data below in the tabs with orange background.</t>
  </si>
  <si>
    <t>Dried larvae</t>
  </si>
  <si>
    <t>Press cake from dried larvae</t>
  </si>
  <si>
    <t>Larvae meal</t>
  </si>
  <si>
    <t>Larvae oil</t>
  </si>
  <si>
    <t>Time-motion studies</t>
  </si>
  <si>
    <t>Simple use:</t>
  </si>
  <si>
    <r>
      <rPr>
        <u/>
        <sz val="11"/>
        <color theme="1"/>
        <rFont val="Calibri"/>
        <family val="2"/>
        <scheme val="minor"/>
      </rPr>
      <t>Advanced use:</t>
    </r>
  </si>
  <si>
    <t>2) adjust values in 2.1 Material input</t>
  </si>
  <si>
    <t>3) adjust values in 2.2 Equipment input</t>
  </si>
  <si>
    <t>4) adjust values in 2.3 Staff input</t>
  </si>
  <si>
    <t>5) Modify settings in "4.1 Settings Database" and "4.2 Settings internal" as needed</t>
  </si>
  <si>
    <t>The model will calculate following results:</t>
  </si>
  <si>
    <t>- important business metrics (e.g. IRR, NPV, capital costs, opertional costs etc.) and visualised with graphs, which are shown in the results dashboard (3.2)</t>
  </si>
  <si>
    <t>- a Process Overview tab (3.1), which illustrates the BSFL process of this scenarios with key figures for each processing unit</t>
  </si>
  <si>
    <t>Scenario 1: Integrated plant</t>
  </si>
  <si>
    <t>For further details please check the user manual.</t>
  </si>
  <si>
    <t>For further details regarding each processing setp, please check the step-by-step guide.</t>
  </si>
  <si>
    <t>(Figures: Sandec/ Eawag; BSFL step-by-step guide)</t>
  </si>
  <si>
    <t>Simple use: cells in orange need to be filled in or selected to obtain results</t>
  </si>
  <si>
    <t>(for advanced users: further adjustments can be done in advanced input below, in the following tabs (material, equipment &amp; staff input) and in the settings tabs)</t>
  </si>
  <si>
    <t>Bioconversionrate (BCR) of process (see Database)</t>
  </si>
  <si>
    <t>Exchange rates</t>
  </si>
  <si>
    <t>Specify the gate fee and sales price of the BSFL &amp; nursery products and resdiue</t>
  </si>
  <si>
    <t>Gate fee</t>
  </si>
  <si>
    <t>per m2/yr</t>
  </si>
  <si>
    <t>Price per unit</t>
  </si>
  <si>
    <t>Equipment processing capacity</t>
  </si>
  <si>
    <t>Advanced use: Prices, factory &amp; office settings, staff settings, financial parameters etc. can be adjusted in this section</t>
  </si>
  <si>
    <t>Basic salary 
[per month]</t>
  </si>
  <si>
    <r>
      <t>Benefits 
[per month]</t>
    </r>
    <r>
      <rPr>
        <sz val="10"/>
        <color rgb="FF000000"/>
        <rFont val="Calibri"/>
        <family val="2"/>
        <scheme val="minor"/>
      </rPr>
      <t xml:space="preserve"> </t>
    </r>
  </si>
  <si>
    <r>
      <t xml:space="preserve">Version: 1.0 | Release year: 2021 | </t>
    </r>
    <r>
      <rPr>
        <sz val="11"/>
        <color theme="1"/>
        <rFont val="Calibri"/>
        <family val="2"/>
      </rPr>
      <t>©</t>
    </r>
    <r>
      <rPr>
        <sz val="11"/>
        <color theme="1"/>
        <rFont val="Calibri"/>
        <family val="2"/>
        <scheme val="minor"/>
      </rPr>
      <t xml:space="preserve"> SWM/Sandec/Eawag</t>
    </r>
  </si>
  <si>
    <t>3) View the results in the 3.1 and 3.2 tabs</t>
  </si>
  <si>
    <t>6) View the results in the 3.1 and 3.2 tabs</t>
  </si>
  <si>
    <t>If you wish to modify some or all of the inputs of the model:</t>
  </si>
  <si>
    <t>1) adjust the "2.0 Advanced input" values in "1.0 General input"</t>
  </si>
  <si>
    <t>1) Modify parameters in the "1.1 Basic input" in "1.0 General input"</t>
  </si>
  <si>
    <t>2) Select "Yes" for categories "Equipment quantities" and "Staff numbers" in "1.1 Basic Input"</t>
  </si>
  <si>
    <t>(Select "No" for categories "Equipment quantities" and "Staff numbers" in "1.0 Basic input", if you enter values manually)</t>
  </si>
  <si>
    <r>
      <t xml:space="preserve">It is not recommended to change the followint tables:
</t>
    </r>
    <r>
      <rPr>
        <sz val="11"/>
        <color theme="1"/>
        <rFont val="Calibri"/>
        <family val="2"/>
        <scheme val="minor"/>
      </rPr>
      <t>(cells are however unlocked if it is desired to modify them)</t>
    </r>
  </si>
  <si>
    <t>Step-by-step guide</t>
  </si>
  <si>
    <t>Input currency</t>
  </si>
  <si>
    <t>Chose currency used for input</t>
  </si>
  <si>
    <t>- develop a new site and want to use the data provided in the Step-by-Step Guide for BSF biowaste processing,</t>
  </si>
  <si>
    <r>
      <rPr>
        <b/>
        <sz val="11"/>
        <color theme="1"/>
        <rFont val="Calibri"/>
        <family val="2"/>
        <scheme val="minor"/>
      </rPr>
      <t xml:space="preserve">Please note: </t>
    </r>
    <r>
      <rPr>
        <sz val="11"/>
        <color theme="1"/>
        <rFont val="Calibri"/>
        <family val="2"/>
        <scheme val="minor"/>
      </rPr>
      <t>The current base currency is US Dollars (USD). Any conversion value for CHF, IDR, EUR is based on an exchange rate of USD to the other currency, e.g. CHF : USD -&gt; 1.11604 : 1; If you want to use any other base currency, e.g. EUR, please change the exchange rates for the other currencies to the current rate (from EUR to CHF, USD, IDR)  and put 1 next to EUR.</t>
    </r>
  </si>
  <si>
    <t>Fruits and vegetables</t>
  </si>
  <si>
    <t>The following table contains important process parameters. The values under the section "Step-by-step guide" are values that relate to the Step-by-Step Guide</t>
  </si>
  <si>
    <t>on BSF Biowaste Processing and uses data from a pilot plant in Surabaya, Indonesia. You can also enter your own data under the "Custom data" 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</si>
</sst>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8" formatCode="&quot;CHF&quot;\ #,##0.00;[Red]&quot;CHF&quot;\ \-#,##0.00"/>
    <numFmt numFmtId="44" formatCode="_ &quot;CHF&quot;\ * #,##0.00_ ;_ &quot;CHF&quot;\ * \-#,##0.00_ ;_ &quot;CHF&quot;\ * &quot;-&quot;??_ ;_ @_ "/>
    <numFmt numFmtId="43" formatCode="_ * #,##0.00_ ;_ * \-#,##0.00_ ;_ * &quot;-&quot;??_ ;_ @_ "/>
    <numFmt numFmtId="164" formatCode="_-* #,##0.00_-;\-* #,##0.00_-;_-* &quot;-&quot;??_-;_-@_-"/>
    <numFmt numFmtId="165" formatCode="_(* #,##0.00_);_(* \(#,##0.00\);_(* &quot;-&quot;??_);_(@_)"/>
    <numFmt numFmtId="166" formatCode="_ [$INR]\ * #,##0.00_ ;_ [$INR]\ * \-#,##0.00_ ;_ [$INR]\ * &quot;-&quot;??_ ;_ @_ "/>
    <numFmt numFmtId="167" formatCode="_ &quot;fr.&quot;\ * #,##0.00_ ;_ &quot;fr.&quot;\ * \-#,##0.00_ ;_ &quot;fr.&quot;\ * &quot;-&quot;??_ ;_ @_ "/>
    <numFmt numFmtId="168" formatCode="0.0000"/>
    <numFmt numFmtId="169" formatCode="_ [$IDR]\ * #,##0.00_ ;_ [$IDR]\ * \-#,##0.00_ ;_ [$IDR]\ * &quot;-&quot;??_ ;_ @_ "/>
    <numFmt numFmtId="170" formatCode="#,##0.0"/>
    <numFmt numFmtId="171" formatCode="0.000"/>
    <numFmt numFmtId="172" formatCode="0.0"/>
    <numFmt numFmtId="173" formatCode="#,##0.000"/>
    <numFmt numFmtId="174" formatCode="0.0%"/>
    <numFmt numFmtId="175" formatCode="0.0000000"/>
    <numFmt numFmtId="176" formatCode="0.00000"/>
    <numFmt numFmtId="177" formatCode="0.000000"/>
    <numFmt numFmtId="178" formatCode="0.00000000"/>
    <numFmt numFmtId="179" formatCode="_([$IDR]\ * #,##0.00_);_([$IDR]\ * \(#,##0.00\);_([$IDR]\ * &quot;-&quot;??_);_(@_)"/>
    <numFmt numFmtId="180" formatCode="_(* #,##0.0_);_(* \(#,##0.0\);_(* &quot;-&quot;??_);_(@_)"/>
    <numFmt numFmtId="181" formatCode="_(* #,##0_);_(* \(#,##0\);_(* &quot;-&quot;??_);_(@_)"/>
    <numFmt numFmtId="182" formatCode="_(* #,##0.000_);_(* \(#,##0.000\);_(* &quot;-&quot;??_);_(@_)"/>
  </numFmts>
  <fonts count="76">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i/>
      <sz val="12"/>
      <color rgb="FF7F7F7F"/>
      <name val="Calibri"/>
      <family val="2"/>
      <scheme val="minor"/>
    </font>
    <font>
      <sz val="14"/>
      <color theme="1"/>
      <name val="Calibri"/>
      <family val="2"/>
      <scheme val="minor"/>
    </font>
    <font>
      <sz val="16"/>
      <color theme="1"/>
      <name val="Calibri"/>
      <family val="2"/>
      <scheme val="minor"/>
    </font>
    <font>
      <u/>
      <sz val="12"/>
      <color theme="10"/>
      <name val="Calibri"/>
      <family val="2"/>
      <scheme val="minor"/>
    </font>
    <font>
      <u/>
      <sz val="12"/>
      <color theme="11"/>
      <name val="Calibri"/>
      <family val="2"/>
      <scheme val="minor"/>
    </font>
    <font>
      <sz val="14"/>
      <color rgb="FF000000"/>
      <name val="Calibri"/>
      <family val="2"/>
      <scheme val="minor"/>
    </font>
    <font>
      <sz val="12"/>
      <color rgb="FF000000"/>
      <name val="Calibri"/>
      <family val="2"/>
      <scheme val="minor"/>
    </font>
    <font>
      <sz val="10"/>
      <color rgb="FF000000"/>
      <name val="Calibri"/>
      <family val="2"/>
      <scheme val="minor"/>
    </font>
    <font>
      <sz val="11"/>
      <color rgb="FF3F3F76"/>
      <name val="Calibri"/>
      <family val="2"/>
      <scheme val="minor"/>
    </font>
    <font>
      <b/>
      <sz val="11"/>
      <color rgb="FF3F3F3F"/>
      <name val="Calibri"/>
      <family val="2"/>
      <scheme val="minor"/>
    </font>
    <font>
      <b/>
      <sz val="12"/>
      <color theme="1"/>
      <name val="Calibri"/>
      <family val="2"/>
      <scheme val="minor"/>
    </font>
    <font>
      <sz val="11"/>
      <color theme="4" tint="-0.499984740745262"/>
      <name val="Calibri"/>
      <family val="2"/>
      <scheme val="minor"/>
    </font>
    <font>
      <sz val="10"/>
      <color theme="1"/>
      <name val="Arial Unicode MS"/>
      <family val="2"/>
    </font>
    <font>
      <b/>
      <sz val="11"/>
      <color theme="1"/>
      <name val="Calibri"/>
      <family val="2"/>
      <scheme val="minor"/>
    </font>
    <font>
      <sz val="11"/>
      <color rgb="FFFF0000"/>
      <name val="Calibri"/>
      <family val="2"/>
      <scheme val="minor"/>
    </font>
    <font>
      <sz val="10"/>
      <name val="Verdana"/>
      <family val="2"/>
    </font>
    <font>
      <sz val="11"/>
      <name val="Calibri"/>
      <family val="2"/>
      <scheme val="minor"/>
    </font>
    <font>
      <sz val="10"/>
      <name val="Arial"/>
      <family val="2"/>
    </font>
    <font>
      <sz val="11"/>
      <color indexed="20"/>
      <name val="Calibri"/>
      <family val="2"/>
    </font>
    <font>
      <b/>
      <sz val="11"/>
      <color indexed="52"/>
      <name val="Calibri"/>
      <family val="2"/>
    </font>
    <font>
      <b/>
      <sz val="11"/>
      <color indexed="9"/>
      <name val="Calibri"/>
      <family val="2"/>
    </font>
    <font>
      <sz val="10"/>
      <color theme="1"/>
      <name val="Frutiger LT Com 45 Light"/>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52"/>
      <name val="Calibri"/>
      <family val="2"/>
    </font>
    <font>
      <sz val="11"/>
      <color indexed="60"/>
      <name val="Calibri"/>
      <family val="2"/>
    </font>
    <font>
      <sz val="11"/>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7F7F7F"/>
      <name val="Calibri"/>
      <family val="2"/>
      <scheme val="minor"/>
    </font>
    <font>
      <i/>
      <sz val="11"/>
      <color theme="1"/>
      <name val="Calibri"/>
      <family val="2"/>
      <scheme val="minor"/>
    </font>
    <font>
      <sz val="11"/>
      <color rgb="FFFA7D00"/>
      <name val="Calibri"/>
      <family val="2"/>
      <scheme val="minor"/>
    </font>
    <font>
      <sz val="10"/>
      <color theme="1"/>
      <name val="Calibri"/>
      <family val="2"/>
      <scheme val="minor"/>
    </font>
    <font>
      <sz val="11"/>
      <color rgb="FFC00000"/>
      <name val="Calibri"/>
      <family val="2"/>
      <scheme val="minor"/>
    </font>
    <font>
      <b/>
      <sz val="11"/>
      <name val="Calibri"/>
      <family val="2"/>
      <scheme val="minor"/>
    </font>
    <font>
      <b/>
      <sz val="12"/>
      <color rgb="FF000000"/>
      <name val="Calibri"/>
      <family val="2"/>
      <scheme val="minor"/>
    </font>
    <font>
      <sz val="11"/>
      <color rgb="FF3F3F3F"/>
      <name val="Calibri"/>
      <family val="2"/>
      <scheme val="minor"/>
    </font>
    <font>
      <sz val="11"/>
      <color theme="4" tint="-0.499984740745262"/>
      <name val="Calibri"/>
      <family val="2"/>
    </font>
    <font>
      <i/>
      <sz val="11"/>
      <color theme="2" tint="-0.749961851863155"/>
      <name val="Calibri"/>
      <family val="2"/>
      <scheme val="minor"/>
    </font>
    <font>
      <b/>
      <i/>
      <sz val="11"/>
      <color theme="2" tint="-0.749961851863155"/>
      <name val="Calibri"/>
      <family val="2"/>
      <scheme val="minor"/>
    </font>
    <font>
      <sz val="11"/>
      <color theme="4" tint="-0.24994659260841701"/>
      <name val="Calibri"/>
      <family val="2"/>
      <scheme val="minor"/>
    </font>
    <font>
      <sz val="11"/>
      <color theme="8"/>
      <name val="Calibri"/>
      <family val="2"/>
      <scheme val="minor"/>
    </font>
    <font>
      <u/>
      <sz val="11"/>
      <color theme="1"/>
      <name val="Calibri"/>
      <family val="2"/>
      <scheme val="minor"/>
    </font>
    <font>
      <b/>
      <sz val="16"/>
      <color theme="1"/>
      <name val="Calibri"/>
      <family val="2"/>
      <scheme val="minor"/>
    </font>
    <font>
      <b/>
      <i/>
      <sz val="12"/>
      <color rgb="FF7F7F7F"/>
      <name val="Calibri"/>
      <family val="2"/>
      <scheme val="minor"/>
    </font>
    <font>
      <b/>
      <sz val="11"/>
      <color theme="4" tint="-0.24994659260841701"/>
      <name val="Calibri"/>
      <family val="2"/>
      <scheme val="minor"/>
    </font>
    <font>
      <sz val="11"/>
      <color theme="1"/>
      <name val="Calibri"/>
      <family val="2"/>
    </font>
    <font>
      <sz val="11"/>
      <color theme="2" tint="-0.749961851863155"/>
      <name val="Calibri"/>
      <family val="2"/>
      <scheme val="minor"/>
    </font>
    <font>
      <b/>
      <sz val="11"/>
      <color theme="0"/>
      <name val="Calibri"/>
      <family val="2"/>
      <scheme val="minor"/>
    </font>
    <font>
      <b/>
      <sz val="11"/>
      <color rgb="FFFF0000"/>
      <name val="Calibri"/>
      <family val="2"/>
      <scheme val="minor"/>
    </font>
    <font>
      <sz val="11"/>
      <name val="Calibri"/>
      <family val="2"/>
    </font>
    <font>
      <sz val="9"/>
      <color indexed="81"/>
      <name val="Tahoma"/>
      <family val="2"/>
    </font>
    <font>
      <b/>
      <sz val="14"/>
      <color theme="1"/>
      <name val="Calibri"/>
      <family val="2"/>
      <scheme val="minor"/>
    </font>
    <font>
      <b/>
      <sz val="9"/>
      <color indexed="81"/>
      <name val="Tahoma"/>
      <family val="2"/>
    </font>
    <font>
      <i/>
      <sz val="12"/>
      <color theme="1"/>
      <name val="Calibri"/>
      <family val="2"/>
      <scheme val="minor"/>
    </font>
    <font>
      <u/>
      <sz val="12"/>
      <color theme="1"/>
      <name val="Calibri"/>
      <family val="2"/>
      <scheme val="minor"/>
    </font>
    <font>
      <sz val="12"/>
      <color rgb="FFFF0000"/>
      <name val="Calibri"/>
      <family val="2"/>
      <scheme val="minor"/>
    </font>
    <font>
      <b/>
      <sz val="11"/>
      <color indexed="8"/>
      <name val="Calibri"/>
      <family val="2"/>
      <scheme val="minor"/>
    </font>
    <font>
      <b/>
      <sz val="10"/>
      <color theme="1"/>
      <name val="Arial"/>
      <family val="2"/>
    </font>
    <font>
      <sz val="10"/>
      <color theme="1"/>
      <name val="Arial"/>
      <family val="2"/>
    </font>
    <font>
      <sz val="10"/>
      <color rgb="FFFF0000"/>
      <name val="Arial"/>
      <family val="2"/>
    </font>
    <font>
      <b/>
      <sz val="12"/>
      <color theme="0"/>
      <name val="Calibri"/>
      <family val="2"/>
      <scheme val="minor"/>
    </font>
    <font>
      <i/>
      <sz val="11"/>
      <name val="Calibri"/>
      <family val="2"/>
      <scheme val="minor"/>
    </font>
    <font>
      <b/>
      <sz val="12"/>
      <name val="Calibri"/>
      <family val="2"/>
      <scheme val="minor"/>
    </font>
    <font>
      <sz val="8"/>
      <color theme="1"/>
      <name val="Calibri"/>
      <family val="2"/>
      <scheme val="minor"/>
    </font>
    <font>
      <b/>
      <i/>
      <sz val="11"/>
      <color theme="1"/>
      <name val="Calibri"/>
      <family val="2"/>
      <scheme val="minor"/>
    </font>
  </fonts>
  <fills count="3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rgb="FFF2F2F2"/>
        <bgColor rgb="FF000000"/>
      </patternFill>
    </fill>
    <fill>
      <patternFill patternType="solid">
        <fgColor rgb="FFFFCC99"/>
        <bgColor rgb="FF000000"/>
      </patternFill>
    </fill>
    <fill>
      <patternFill patternType="solid">
        <fgColor rgb="FFFFCC99"/>
      </patternFill>
    </fill>
    <fill>
      <patternFill patternType="solid">
        <fgColor theme="6" tint="0.79998168889431442"/>
        <bgColor indexed="65"/>
      </patternFill>
    </fill>
    <fill>
      <patternFill patternType="solid">
        <fgColor theme="4" tint="0.79998168889431442"/>
        <bgColor indexed="64"/>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3"/>
      </patternFill>
    </fill>
    <fill>
      <patternFill patternType="solid">
        <fgColor indexed="26"/>
      </patternFill>
    </fill>
    <fill>
      <patternFill patternType="solid">
        <fgColor theme="8" tint="0.59999389629810485"/>
        <bgColor indexed="65"/>
      </patternFill>
    </fill>
    <fill>
      <patternFill patternType="solid">
        <fgColor them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14996795556505021"/>
        <bgColor indexed="64"/>
      </patternFill>
    </fill>
    <fill>
      <patternFill patternType="solid">
        <fgColor theme="6" tint="0.59999389629810485"/>
        <bgColor indexed="64"/>
      </patternFill>
    </fill>
    <fill>
      <patternFill patternType="solid">
        <fgColor rgb="FFF6CDA4"/>
        <bgColor indexed="64"/>
      </patternFill>
    </fill>
    <fill>
      <patternFill patternType="solid">
        <fgColor theme="0"/>
        <bgColor indexed="64"/>
      </patternFill>
    </fill>
    <fill>
      <patternFill patternType="solid">
        <fgColor theme="0"/>
      </patternFill>
    </fill>
    <fill>
      <patternFill patternType="solid">
        <fgColor theme="0" tint="-4.9989318521683403E-2"/>
        <bgColor rgb="FF000000"/>
      </patternFill>
    </fill>
    <fill>
      <patternFill patternType="solid">
        <fgColor theme="5"/>
        <bgColor theme="5"/>
      </patternFill>
    </fill>
    <fill>
      <patternFill patternType="solid">
        <fgColor rgb="FFFFCC99"/>
        <bgColor indexed="64"/>
      </patternFill>
    </fill>
    <fill>
      <patternFill patternType="solid">
        <fgColor theme="0" tint="-0.14999847407452621"/>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rgb="FF92D050"/>
      </patternFill>
    </fill>
    <fill>
      <patternFill patternType="solid">
        <fgColor theme="0"/>
        <bgColor rgb="FFFFFF00"/>
      </patternFill>
    </fill>
    <fill>
      <patternFill patternType="solid">
        <fgColor rgb="FF33CCFF"/>
        <bgColor indexed="64"/>
      </patternFill>
    </fill>
  </fills>
  <borders count="188">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top style="medium">
        <color auto="1"/>
      </top>
      <bottom/>
      <diagonal/>
    </border>
    <border>
      <left/>
      <right/>
      <top/>
      <bottom style="thin">
        <color auto="1"/>
      </bottom>
      <diagonal/>
    </border>
    <border>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right style="thin">
        <color rgb="FF7F7F7F"/>
      </right>
      <top/>
      <bottom style="thin">
        <color rgb="FF7F7F7F"/>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bottom style="thin">
        <color auto="1"/>
      </bottom>
      <diagonal/>
    </border>
    <border>
      <left/>
      <right style="thin">
        <color rgb="FF7F7F7F"/>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2" tint="-0.499984740745262"/>
      </left>
      <right style="thin">
        <color theme="2" tint="-0.499984740745262"/>
      </right>
      <top style="medium">
        <color auto="1"/>
      </top>
      <bottom style="thin">
        <color theme="2" tint="-0.499984740745262"/>
      </bottom>
      <diagonal/>
    </border>
    <border>
      <left style="thin">
        <color auto="1"/>
      </left>
      <right/>
      <top/>
      <bottom/>
      <diagonal/>
    </border>
    <border>
      <left style="thin">
        <color auto="1"/>
      </left>
      <right style="thin">
        <color auto="1"/>
      </right>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right style="thin">
        <color rgb="FFB2B2B2"/>
      </right>
      <top style="thin">
        <color rgb="FFB2B2B2"/>
      </top>
      <bottom style="thin">
        <color rgb="FFB2B2B2"/>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right/>
      <top/>
      <bottom style="double">
        <color rgb="FFFF80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diagonal/>
    </border>
    <border>
      <left style="thin">
        <color rgb="FF3F3F3F"/>
      </left>
      <right style="medium">
        <color indexed="64"/>
      </right>
      <top style="medium">
        <color indexed="64"/>
      </top>
      <bottom style="thin">
        <color rgb="FF3F3F3F"/>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rgb="FF3F3F3F"/>
      </top>
      <bottom style="medium">
        <color indexed="64"/>
      </bottom>
      <diagonal/>
    </border>
    <border>
      <left style="medium">
        <color indexed="64"/>
      </left>
      <right style="thin">
        <color rgb="FF7F7F7F"/>
      </right>
      <top style="thin">
        <color rgb="FF7F7F7F"/>
      </top>
      <bottom style="thin">
        <color rgb="FF7F7F7F"/>
      </bottom>
      <diagonal/>
    </border>
    <border>
      <left style="thin">
        <color rgb="FF3F3F3F"/>
      </left>
      <right style="medium">
        <color indexed="64"/>
      </right>
      <top/>
      <bottom style="thin">
        <color rgb="FF3F3F3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3F3F3F"/>
      </left>
      <right style="medium">
        <color indexed="64"/>
      </right>
      <top/>
      <bottom style="medium">
        <color indexed="64"/>
      </bottom>
      <diagonal/>
    </border>
    <border>
      <left/>
      <right style="thin">
        <color rgb="FF7F7F7F"/>
      </right>
      <top style="thin">
        <color rgb="FF7F7F7F"/>
      </top>
      <bottom/>
      <diagonal/>
    </border>
    <border>
      <left style="thin">
        <color rgb="FF7F7F7F"/>
      </left>
      <right style="thin">
        <color rgb="FF7F7F7F"/>
      </right>
      <top style="thin">
        <color rgb="FF7F7F7F"/>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rgb="FF7F7F7F"/>
      </left>
      <right style="medium">
        <color indexed="64"/>
      </right>
      <top style="thin">
        <color rgb="FF7F7F7F"/>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thin">
        <color rgb="FF7F7F7F"/>
      </bottom>
      <diagonal/>
    </border>
    <border>
      <left style="medium">
        <color indexed="64"/>
      </left>
      <right style="thin">
        <color indexed="23"/>
      </right>
      <top style="medium">
        <color indexed="64"/>
      </top>
      <bottom style="thin">
        <color indexed="23"/>
      </bottom>
      <diagonal/>
    </border>
    <border>
      <left style="thin">
        <color indexed="23"/>
      </left>
      <right style="thin">
        <color indexed="23"/>
      </right>
      <top style="medium">
        <color indexed="64"/>
      </top>
      <bottom style="thin">
        <color indexed="23"/>
      </bottom>
      <diagonal/>
    </border>
    <border>
      <left style="medium">
        <color indexed="64"/>
      </left>
      <right style="thin">
        <color indexed="23"/>
      </right>
      <top style="thin">
        <color indexed="23"/>
      </top>
      <bottom style="thin">
        <color indexed="23"/>
      </bottom>
      <diagonal/>
    </border>
    <border>
      <left style="thin">
        <color indexed="64"/>
      </left>
      <right style="medium">
        <color indexed="64"/>
      </right>
      <top style="medium">
        <color indexed="64"/>
      </top>
      <bottom style="thin">
        <color indexed="64"/>
      </bottom>
      <diagonal/>
    </border>
    <border>
      <left/>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rgb="FF7F7F7F"/>
      </left>
      <right style="medium">
        <color indexed="64"/>
      </right>
      <top style="thin">
        <color rgb="FF7F7F7F"/>
      </top>
      <bottom style="thin">
        <color rgb="FF7F7F7F"/>
      </bottom>
      <diagonal/>
    </border>
    <border>
      <left/>
      <right style="thin">
        <color indexed="64"/>
      </right>
      <top style="thin">
        <color indexed="64"/>
      </top>
      <bottom style="thin">
        <color indexed="64"/>
      </bottom>
      <diagonal/>
    </border>
    <border>
      <left style="medium">
        <color indexed="64"/>
      </left>
      <right style="medium">
        <color indexed="64"/>
      </right>
      <top style="thin">
        <color rgb="FF7F7F7F"/>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medium">
        <color indexed="64"/>
      </top>
      <bottom/>
      <diagonal/>
    </border>
    <border>
      <left style="thin">
        <color rgb="FF7F7F7F"/>
      </left>
      <right style="thin">
        <color rgb="FF7F7F7F"/>
      </right>
      <top style="medium">
        <color indexed="64"/>
      </top>
      <bottom style="thin">
        <color rgb="FF7F7F7F"/>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style="medium">
        <color indexed="64"/>
      </bottom>
      <diagonal/>
    </border>
    <border>
      <left/>
      <right style="thin">
        <color rgb="FF7F7F7F"/>
      </right>
      <top style="medium">
        <color indexed="64"/>
      </top>
      <bottom style="thin">
        <color rgb="FF7F7F7F"/>
      </bottom>
      <diagonal/>
    </border>
    <border>
      <left style="thin">
        <color theme="1" tint="0.499984740745262"/>
      </left>
      <right style="medium">
        <color indexed="64"/>
      </right>
      <top style="medium">
        <color indexed="64"/>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rgb="FF7F7F7F"/>
      </left>
      <right style="medium">
        <color indexed="64"/>
      </right>
      <top style="thin">
        <color theme="1" tint="0.499984740745262"/>
      </top>
      <bottom style="thin">
        <color rgb="FF7F7F7F"/>
      </bottom>
      <diagonal/>
    </border>
    <border>
      <left style="thin">
        <color rgb="FF7F7F7F"/>
      </left>
      <right style="thin">
        <color rgb="FF7F7F7F"/>
      </right>
      <top/>
      <bottom style="medium">
        <color indexed="64"/>
      </bottom>
      <diagonal/>
    </border>
    <border>
      <left/>
      <right style="thin">
        <color rgb="FF7F7F7F"/>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F7F7F"/>
      </right>
      <top/>
      <bottom style="thin">
        <color rgb="FF7F7F7F"/>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rgb="FF7F7F7F"/>
      </left>
      <right/>
      <top style="thin">
        <color rgb="FF7F7F7F"/>
      </top>
      <bottom style="thin">
        <color rgb="FF7F7F7F"/>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style="medium">
        <color indexed="64"/>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theme="0"/>
      </top>
      <bottom/>
      <diagonal/>
    </border>
    <border>
      <left style="medium">
        <color indexed="64"/>
      </left>
      <right/>
      <top style="thin">
        <color theme="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medium">
        <color indexed="64"/>
      </top>
      <bottom/>
      <diagonal/>
    </border>
    <border>
      <left style="thin">
        <color rgb="FF3F3F3F"/>
      </left>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style="thin">
        <color rgb="FF3F3F3F"/>
      </top>
      <bottom/>
      <diagonal/>
    </border>
    <border>
      <left style="thin">
        <color rgb="FF3F3F3F"/>
      </left>
      <right/>
      <top style="thin">
        <color rgb="FF3F3F3F"/>
      </top>
      <bottom/>
      <diagonal/>
    </border>
    <border>
      <left style="thin">
        <color rgb="FF3F3F3F"/>
      </left>
      <right/>
      <top style="thin">
        <color rgb="FF3F3F3F"/>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auto="1"/>
      </bottom>
      <diagonal/>
    </border>
    <border>
      <left style="medium">
        <color indexed="64"/>
      </left>
      <right style="thin">
        <color rgb="FF7F7F7F"/>
      </right>
      <top style="medium">
        <color indexed="64"/>
      </top>
      <bottom style="thin">
        <color rgb="FF7F7F7F"/>
      </bottom>
      <diagonal/>
    </border>
    <border>
      <left style="thin">
        <color indexed="23"/>
      </left>
      <right style="thin">
        <color indexed="23"/>
      </right>
      <top style="medium">
        <color indexed="64"/>
      </top>
      <bottom style="thin">
        <color indexed="23"/>
      </bottom>
      <diagonal/>
    </border>
    <border>
      <left/>
      <right style="medium">
        <color indexed="64"/>
      </right>
      <top style="medium">
        <color indexed="64"/>
      </top>
      <bottom style="thin">
        <color rgb="FF7F7F7F"/>
      </bottom>
      <diagonal/>
    </border>
    <border>
      <left style="thin">
        <color indexed="23"/>
      </left>
      <right style="thin">
        <color indexed="23"/>
      </right>
      <top style="thin">
        <color indexed="23"/>
      </top>
      <bottom style="thin">
        <color indexed="23"/>
      </bottom>
      <diagonal/>
    </border>
    <border>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style="medium">
        <color indexed="64"/>
      </left>
      <right/>
      <top style="thin">
        <color auto="1"/>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diagonal/>
    </border>
    <border>
      <left/>
      <right style="medium">
        <color indexed="64"/>
      </right>
      <top style="thin">
        <color indexed="64"/>
      </top>
      <bottom style="medium">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18"/>
      </top>
      <bottom style="thin">
        <color indexed="17"/>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indexed="64"/>
      </top>
      <bottom/>
      <diagonal/>
    </border>
    <border>
      <left/>
      <right style="thin">
        <color auto="1"/>
      </right>
      <top/>
      <bottom style="thin">
        <color auto="1"/>
      </bottom>
      <diagonal/>
    </border>
    <border>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auto="1"/>
      </top>
      <bottom/>
      <diagonal/>
    </border>
    <border>
      <left/>
      <right style="thin">
        <color indexed="64"/>
      </right>
      <top style="thin">
        <color rgb="FF3F3F3F"/>
      </top>
      <bottom style="thin">
        <color rgb="FF3F3F3F"/>
      </bottom>
      <diagonal/>
    </border>
    <border>
      <left/>
      <right style="thin">
        <color indexed="64"/>
      </right>
      <top style="thin">
        <color rgb="FF3F3F3F"/>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auto="1"/>
      </bottom>
      <diagonal/>
    </border>
    <border>
      <left style="medium">
        <color indexed="64"/>
      </left>
      <right style="thin">
        <color indexed="64"/>
      </right>
      <top style="thin">
        <color auto="1"/>
      </top>
      <bottom style="thin">
        <color indexed="64"/>
      </bottom>
      <diagonal/>
    </border>
    <border>
      <left/>
      <right/>
      <top style="thin">
        <color indexed="64"/>
      </top>
      <bottom style="thin">
        <color indexed="64"/>
      </bottom>
      <diagonal/>
    </border>
    <border>
      <left/>
      <right/>
      <top style="thin">
        <color indexed="64"/>
      </top>
      <bottom style="thin">
        <color rgb="FF3F3F3F"/>
      </bottom>
      <diagonal/>
    </border>
    <border>
      <left style="thin">
        <color rgb="FF3F3F3F"/>
      </left>
      <right style="thin">
        <color indexed="64"/>
      </right>
      <top style="thin">
        <color rgb="FF3F3F3F"/>
      </top>
      <bottom style="thin">
        <color rgb="FF3F3F3F"/>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s>
  <cellStyleXfs count="65">
    <xf numFmtId="0" fontId="0" fillId="0" borderId="0"/>
    <xf numFmtId="0" fontId="3" fillId="2" borderId="2" applyNumberFormat="0" applyFont="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2" fillId="6" borderId="1"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3" fillId="23" borderId="10" applyNumberFormat="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67" fontId="2" fillId="0" borderId="0" applyFont="0" applyFill="0" applyBorder="0" applyAlignment="0" applyProtection="0"/>
    <xf numFmtId="43" fontId="2" fillId="0" borderId="0" applyFont="0" applyFill="0" applyBorder="0" applyAlignment="0" applyProtection="0"/>
    <xf numFmtId="0" fontId="2" fillId="7" borderId="0" applyNumberFormat="0" applyBorder="0" applyAlignment="0" applyProtection="0"/>
    <xf numFmtId="0" fontId="22" fillId="9" borderId="0" applyNumberFormat="0" applyBorder="0" applyAlignment="0" applyProtection="0"/>
    <xf numFmtId="0" fontId="23" fillId="10" borderId="13" applyNumberFormat="0" applyAlignment="0" applyProtection="0"/>
    <xf numFmtId="0" fontId="24" fillId="11" borderId="14" applyNumberFormat="0" applyAlignment="0" applyProtection="0"/>
    <xf numFmtId="43" fontId="25" fillId="0" borderId="0" applyFont="0" applyFill="0" applyBorder="0" applyAlignment="0" applyProtection="0"/>
    <xf numFmtId="164" fontId="21" fillId="0" borderId="0" applyFont="0" applyFill="0" applyBorder="0" applyAlignment="0" applyProtection="0"/>
    <xf numFmtId="168" fontId="2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47" fillId="8" borderId="13" applyNumberFormat="0" applyAlignment="0" applyProtection="0"/>
    <xf numFmtId="0" fontId="32" fillId="0" borderId="18" applyNumberFormat="0" applyFill="0" applyAlignment="0" applyProtection="0"/>
    <xf numFmtId="0" fontId="33" fillId="13" borderId="0" applyNumberFormat="0" applyBorder="0" applyAlignment="0" applyProtection="0"/>
    <xf numFmtId="0" fontId="25" fillId="0" borderId="0"/>
    <xf numFmtId="0" fontId="25" fillId="0" borderId="0"/>
    <xf numFmtId="0" fontId="2" fillId="0" borderId="0"/>
    <xf numFmtId="0" fontId="21" fillId="0" borderId="0"/>
    <xf numFmtId="0" fontId="21" fillId="0" borderId="0"/>
    <xf numFmtId="0" fontId="3" fillId="0" borderId="0"/>
    <xf numFmtId="0" fontId="34" fillId="14" borderId="19" applyNumberFormat="0" applyFont="0" applyAlignment="0" applyProtection="0"/>
    <xf numFmtId="0" fontId="35" fillId="10" borderId="20" applyNumberFormat="0" applyAlignment="0" applyProtection="0"/>
    <xf numFmtId="9" fontId="25" fillId="0" borderId="0" applyFont="0" applyFill="0" applyBorder="0" applyAlignment="0" applyProtection="0"/>
    <xf numFmtId="0" fontId="21" fillId="0" borderId="0"/>
    <xf numFmtId="0" fontId="36" fillId="0" borderId="0" applyNumberFormat="0" applyFill="0" applyBorder="0" applyAlignment="0" applyProtection="0"/>
    <xf numFmtId="0" fontId="37" fillId="0" borderId="21"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8" fillId="0" borderId="0" applyNumberFormat="0" applyFill="0" applyBorder="0" applyAlignment="0" applyProtection="0"/>
    <xf numFmtId="0" fontId="7" fillId="0" borderId="0" applyNumberFormat="0" applyFill="0" applyBorder="0" applyAlignment="0" applyProtection="0"/>
    <xf numFmtId="44" fontId="3" fillId="0" borderId="0" applyFont="0" applyFill="0" applyBorder="0" applyAlignment="0" applyProtection="0"/>
    <xf numFmtId="0" fontId="1" fillId="15" borderId="0" applyNumberFormat="0" applyBorder="0" applyAlignment="0" applyProtection="0"/>
    <xf numFmtId="0" fontId="41" fillId="0" borderId="31" applyNumberFormat="0" applyFill="0" applyAlignment="0" applyProtection="0"/>
    <xf numFmtId="2" fontId="48" fillId="23" borderId="1"/>
    <xf numFmtId="0" fontId="50" fillId="25" borderId="54"/>
    <xf numFmtId="0" fontId="51" fillId="18" borderId="54"/>
    <xf numFmtId="43" fontId="1" fillId="0" borderId="0" applyFont="0" applyFill="0" applyBorder="0" applyAlignment="0" applyProtection="0"/>
  </cellStyleXfs>
  <cellXfs count="919">
    <xf numFmtId="0" fontId="0" fillId="0" borderId="0" xfId="0"/>
    <xf numFmtId="0" fontId="6" fillId="3" borderId="0" xfId="0" applyFont="1" applyFill="1"/>
    <xf numFmtId="0" fontId="5" fillId="3" borderId="4" xfId="0" applyFont="1" applyFill="1" applyBorder="1"/>
    <xf numFmtId="0" fontId="12" fillId="5" borderId="6" xfId="0" applyFont="1" applyFill="1" applyBorder="1"/>
    <xf numFmtId="0" fontId="12" fillId="5" borderId="8" xfId="0" applyFont="1" applyFill="1" applyBorder="1" applyAlignment="1">
      <alignment wrapText="1"/>
    </xf>
    <xf numFmtId="0" fontId="0" fillId="0" borderId="0" xfId="0"/>
    <xf numFmtId="0" fontId="0" fillId="3" borderId="0" xfId="0" applyFill="1"/>
    <xf numFmtId="0" fontId="12" fillId="5" borderId="12" xfId="0" applyFont="1" applyFill="1" applyBorder="1" applyAlignment="1">
      <alignment wrapText="1"/>
    </xf>
    <xf numFmtId="0" fontId="0" fillId="0" borderId="0" xfId="0" applyBorder="1"/>
    <xf numFmtId="9" fontId="13" fillId="23" borderId="41" xfId="16" applyNumberFormat="1" applyBorder="1"/>
    <xf numFmtId="9" fontId="13" fillId="23" borderId="47" xfId="16" applyNumberFormat="1" applyBorder="1"/>
    <xf numFmtId="9" fontId="13" fillId="23" borderId="50" xfId="16" applyNumberFormat="1" applyBorder="1"/>
    <xf numFmtId="0" fontId="0" fillId="26" borderId="0" xfId="0" applyFill="1"/>
    <xf numFmtId="0" fontId="0" fillId="26" borderId="5" xfId="0" applyFill="1" applyBorder="1"/>
    <xf numFmtId="0" fontId="17" fillId="26" borderId="0" xfId="0" applyFont="1" applyFill="1"/>
    <xf numFmtId="0" fontId="0" fillId="26" borderId="72" xfId="0" applyFill="1" applyBorder="1"/>
    <xf numFmtId="0" fontId="0" fillId="26" borderId="66" xfId="0" applyFill="1" applyBorder="1"/>
    <xf numFmtId="0" fontId="0" fillId="26" borderId="69" xfId="0" applyFill="1" applyBorder="1"/>
    <xf numFmtId="0" fontId="0" fillId="26" borderId="53" xfId="0" applyFill="1" applyBorder="1"/>
    <xf numFmtId="9" fontId="0" fillId="26" borderId="3" xfId="0" applyNumberFormat="1" applyFill="1" applyBorder="1"/>
    <xf numFmtId="0" fontId="0" fillId="26" borderId="73" xfId="0" applyFill="1" applyBorder="1"/>
    <xf numFmtId="0" fontId="0" fillId="26" borderId="29" xfId="0" applyFill="1" applyBorder="1"/>
    <xf numFmtId="0" fontId="0" fillId="26" borderId="74" xfId="0" applyFill="1" applyBorder="1"/>
    <xf numFmtId="0" fontId="0" fillId="26" borderId="23" xfId="0" applyFill="1" applyBorder="1"/>
    <xf numFmtId="0" fontId="0" fillId="26" borderId="0" xfId="0" applyFill="1" applyBorder="1"/>
    <xf numFmtId="9" fontId="0" fillId="26" borderId="0" xfId="0" applyNumberFormat="1" applyFill="1" applyBorder="1"/>
    <xf numFmtId="0" fontId="0" fillId="26" borderId="75" xfId="0" applyFill="1" applyBorder="1"/>
    <xf numFmtId="9" fontId="0" fillId="26" borderId="0" xfId="17" applyFont="1" applyFill="1" applyBorder="1"/>
    <xf numFmtId="1" fontId="0" fillId="26" borderId="0" xfId="0" applyNumberFormat="1" applyFill="1" applyBorder="1"/>
    <xf numFmtId="2" fontId="0" fillId="26" borderId="0" xfId="0" applyNumberFormat="1" applyFill="1" applyBorder="1"/>
    <xf numFmtId="0" fontId="17" fillId="26" borderId="23" xfId="0" applyFont="1" applyFill="1" applyBorder="1"/>
    <xf numFmtId="0" fontId="0" fillId="26" borderId="0" xfId="0" applyFont="1" applyFill="1" applyBorder="1"/>
    <xf numFmtId="0" fontId="17" fillId="26" borderId="0" xfId="0" applyFont="1" applyFill="1" applyBorder="1"/>
    <xf numFmtId="0" fontId="0" fillId="26" borderId="76" xfId="0" applyFill="1" applyBorder="1"/>
    <xf numFmtId="0" fontId="0" fillId="26" borderId="77" xfId="0" applyFill="1" applyBorder="1"/>
    <xf numFmtId="0" fontId="0" fillId="26" borderId="78" xfId="0" applyFill="1" applyBorder="1"/>
    <xf numFmtId="0" fontId="0" fillId="26" borderId="79" xfId="0" applyFill="1" applyBorder="1"/>
    <xf numFmtId="9" fontId="0" fillId="26" borderId="79" xfId="17" applyFont="1" applyFill="1" applyBorder="1"/>
    <xf numFmtId="2" fontId="0" fillId="26" borderId="0" xfId="0" applyNumberFormat="1" applyFill="1"/>
    <xf numFmtId="0" fontId="0" fillId="16" borderId="66" xfId="0" applyFill="1" applyBorder="1"/>
    <xf numFmtId="0" fontId="0" fillId="16" borderId="69" xfId="0" applyFill="1" applyBorder="1"/>
    <xf numFmtId="0" fontId="17" fillId="16" borderId="72" xfId="0" applyFont="1" applyFill="1" applyBorder="1"/>
    <xf numFmtId="1" fontId="0" fillId="26" borderId="79" xfId="0" applyNumberFormat="1" applyFill="1" applyBorder="1"/>
    <xf numFmtId="0" fontId="17" fillId="26" borderId="72" xfId="0" applyFont="1" applyFill="1" applyBorder="1"/>
    <xf numFmtId="0" fontId="17" fillId="26" borderId="76" xfId="0" applyFont="1" applyFill="1" applyBorder="1"/>
    <xf numFmtId="0" fontId="52" fillId="26" borderId="23" xfId="0" applyFont="1" applyFill="1" applyBorder="1"/>
    <xf numFmtId="0" fontId="52" fillId="26" borderId="0" xfId="0" applyFont="1" applyFill="1" applyBorder="1"/>
    <xf numFmtId="0" fontId="52" fillId="26" borderId="75" xfId="0" applyFont="1" applyFill="1" applyBorder="1"/>
    <xf numFmtId="0" fontId="52" fillId="26" borderId="76" xfId="0" applyFont="1" applyFill="1" applyBorder="1"/>
    <xf numFmtId="0" fontId="52" fillId="26" borderId="77" xfId="0" applyFont="1" applyFill="1" applyBorder="1"/>
    <xf numFmtId="2" fontId="0" fillId="26" borderId="77" xfId="0" applyNumberFormat="1" applyFill="1" applyBorder="1"/>
    <xf numFmtId="0" fontId="0" fillId="0" borderId="75" xfId="0" applyBorder="1"/>
    <xf numFmtId="0" fontId="52" fillId="26" borderId="73" xfId="0" applyFont="1" applyFill="1" applyBorder="1"/>
    <xf numFmtId="9" fontId="0" fillId="26" borderId="79" xfId="0" applyNumberFormat="1" applyFill="1" applyBorder="1"/>
    <xf numFmtId="0" fontId="7" fillId="16" borderId="69" xfId="57" quotePrefix="1" applyFill="1" applyBorder="1"/>
    <xf numFmtId="0" fontId="45" fillId="4" borderId="84" xfId="0" applyFont="1" applyFill="1" applyBorder="1"/>
    <xf numFmtId="0" fontId="10" fillId="4" borderId="84" xfId="0" applyFont="1" applyFill="1" applyBorder="1" applyAlignment="1">
      <alignment wrapText="1"/>
    </xf>
    <xf numFmtId="0" fontId="10" fillId="4" borderId="95" xfId="0" applyFont="1" applyFill="1" applyBorder="1" applyAlignment="1">
      <alignment wrapText="1"/>
    </xf>
    <xf numFmtId="0" fontId="10" fillId="4" borderId="85" xfId="0" applyFont="1" applyFill="1" applyBorder="1" applyAlignment="1">
      <alignment wrapText="1"/>
    </xf>
    <xf numFmtId="0" fontId="13" fillId="23" borderId="83" xfId="16" applyBorder="1"/>
    <xf numFmtId="0" fontId="13" fillId="23" borderId="84" xfId="16" applyBorder="1"/>
    <xf numFmtId="0" fontId="0" fillId="26" borderId="4" xfId="0" applyFill="1" applyBorder="1"/>
    <xf numFmtId="0" fontId="0" fillId="26" borderId="37" xfId="0" applyFill="1" applyBorder="1"/>
    <xf numFmtId="0" fontId="0" fillId="27" borderId="2" xfId="1" applyFont="1" applyFill="1"/>
    <xf numFmtId="0" fontId="5" fillId="26" borderId="4" xfId="0" applyFont="1" applyFill="1" applyBorder="1"/>
    <xf numFmtId="0" fontId="5" fillId="26" borderId="0" xfId="0" applyFont="1" applyFill="1" applyBorder="1"/>
    <xf numFmtId="0" fontId="0" fillId="26" borderId="71" xfId="0" applyFill="1" applyBorder="1"/>
    <xf numFmtId="0" fontId="4" fillId="26" borderId="0" xfId="2" applyFill="1"/>
    <xf numFmtId="0" fontId="0" fillId="26" borderId="9" xfId="0" applyFill="1" applyBorder="1"/>
    <xf numFmtId="0" fontId="17" fillId="0" borderId="67" xfId="0" applyFont="1" applyBorder="1"/>
    <xf numFmtId="0" fontId="17" fillId="0" borderId="99" xfId="0" applyFont="1" applyBorder="1"/>
    <xf numFmtId="0" fontId="17" fillId="0" borderId="99" xfId="0" applyFont="1" applyBorder="1" applyAlignment="1">
      <alignment wrapText="1"/>
    </xf>
    <xf numFmtId="0" fontId="17" fillId="0" borderId="96" xfId="0" applyFont="1" applyBorder="1" applyAlignment="1">
      <alignment wrapText="1"/>
    </xf>
    <xf numFmtId="0" fontId="17" fillId="22" borderId="42" xfId="0" applyFont="1" applyFill="1" applyBorder="1" applyAlignment="1">
      <alignment wrapText="1"/>
    </xf>
    <xf numFmtId="0" fontId="17" fillId="0" borderId="82" xfId="0" applyFont="1" applyBorder="1" applyAlignment="1">
      <alignment horizontal="center" vertical="center"/>
    </xf>
    <xf numFmtId="169" fontId="0" fillId="26" borderId="4" xfId="0" applyNumberFormat="1" applyFill="1" applyBorder="1"/>
    <xf numFmtId="0" fontId="17" fillId="26" borderId="9" xfId="0" applyFont="1" applyFill="1" applyBorder="1"/>
    <xf numFmtId="0" fontId="13" fillId="26" borderId="10" xfId="16" applyFill="1"/>
    <xf numFmtId="2" fontId="13" fillId="26" borderId="10" xfId="16" applyNumberFormat="1" applyFill="1"/>
    <xf numFmtId="2" fontId="47" fillId="26" borderId="0" xfId="39" applyNumberFormat="1" applyFill="1" applyBorder="1"/>
    <xf numFmtId="169" fontId="1" fillId="26" borderId="0" xfId="0" applyNumberFormat="1" applyFont="1" applyFill="1" applyBorder="1"/>
    <xf numFmtId="0" fontId="1" fillId="26" borderId="0" xfId="0" applyFont="1" applyFill="1"/>
    <xf numFmtId="166" fontId="1" fillId="26" borderId="0" xfId="0" applyNumberFormat="1" applyFont="1" applyFill="1"/>
    <xf numFmtId="0" fontId="13" fillId="26" borderId="0" xfId="16" applyFill="1" applyBorder="1"/>
    <xf numFmtId="166" fontId="0" fillId="26" borderId="0" xfId="0" applyNumberFormat="1" applyFill="1"/>
    <xf numFmtId="0" fontId="10" fillId="26" borderId="4" xfId="0" applyFont="1" applyFill="1" applyBorder="1"/>
    <xf numFmtId="2" fontId="48" fillId="26" borderId="1" xfId="61" applyFill="1"/>
    <xf numFmtId="169" fontId="17" fillId="26" borderId="9" xfId="0" applyNumberFormat="1" applyFont="1" applyFill="1" applyBorder="1"/>
    <xf numFmtId="169" fontId="0" fillId="26" borderId="0" xfId="0" applyNumberFormat="1" applyFill="1"/>
    <xf numFmtId="0" fontId="16" fillId="26" borderId="0" xfId="0" applyFont="1" applyFill="1" applyAlignment="1">
      <alignment vertical="center"/>
    </xf>
    <xf numFmtId="169" fontId="13" fillId="26" borderId="10" xfId="16" applyNumberFormat="1" applyFill="1"/>
    <xf numFmtId="0" fontId="13" fillId="26" borderId="10" xfId="16" applyNumberFormat="1" applyFill="1"/>
    <xf numFmtId="9" fontId="13" fillId="26" borderId="10" xfId="17" applyFont="1" applyFill="1" applyBorder="1"/>
    <xf numFmtId="169" fontId="13" fillId="26" borderId="10" xfId="58" applyNumberFormat="1" applyFont="1" applyFill="1" applyBorder="1"/>
    <xf numFmtId="1" fontId="13" fillId="26" borderId="10" xfId="16" applyNumberFormat="1" applyFill="1"/>
    <xf numFmtId="9" fontId="13" fillId="26" borderId="10" xfId="16" applyNumberFormat="1" applyFill="1"/>
    <xf numFmtId="169" fontId="41" fillId="26" borderId="0" xfId="60" applyNumberFormat="1" applyFill="1" applyBorder="1"/>
    <xf numFmtId="0" fontId="14" fillId="17" borderId="9" xfId="0" applyFont="1" applyFill="1" applyBorder="1"/>
    <xf numFmtId="0" fontId="14" fillId="17" borderId="44" xfId="0" applyFont="1" applyFill="1" applyBorder="1"/>
    <xf numFmtId="0" fontId="14" fillId="17" borderId="9" xfId="0" applyFont="1" applyFill="1" applyBorder="1" applyAlignment="1">
      <alignment wrapText="1"/>
    </xf>
    <xf numFmtId="0" fontId="17" fillId="17" borderId="9" xfId="0" applyFont="1" applyFill="1" applyBorder="1" applyAlignment="1">
      <alignment horizontal="left"/>
    </xf>
    <xf numFmtId="0" fontId="17" fillId="17" borderId="9" xfId="0" applyFont="1" applyFill="1" applyBorder="1" applyAlignment="1">
      <alignment horizontal="left" wrapText="1"/>
    </xf>
    <xf numFmtId="0" fontId="32" fillId="26" borderId="18" xfId="40" applyFill="1"/>
    <xf numFmtId="2" fontId="48" fillId="17" borderId="108" xfId="61" applyFill="1" applyBorder="1"/>
    <xf numFmtId="0" fontId="56" fillId="26" borderId="71" xfId="40" applyFont="1" applyFill="1" applyBorder="1"/>
    <xf numFmtId="0" fontId="17" fillId="17" borderId="9" xfId="0" applyFont="1" applyFill="1" applyBorder="1"/>
    <xf numFmtId="0" fontId="17" fillId="17" borderId="9" xfId="0" applyFont="1" applyFill="1" applyBorder="1" applyAlignment="1">
      <alignment wrapText="1"/>
    </xf>
    <xf numFmtId="0" fontId="0" fillId="17" borderId="22" xfId="0" applyFill="1" applyBorder="1" applyAlignment="1">
      <alignment wrapText="1"/>
    </xf>
    <xf numFmtId="0" fontId="17" fillId="17" borderId="22" xfId="0" applyFont="1" applyFill="1" applyBorder="1" applyAlignment="1">
      <alignment wrapText="1"/>
    </xf>
    <xf numFmtId="171" fontId="13" fillId="26" borderId="10" xfId="16" applyNumberFormat="1" applyFill="1"/>
    <xf numFmtId="0" fontId="0" fillId="3" borderId="4" xfId="0" applyFill="1" applyBorder="1"/>
    <xf numFmtId="0" fontId="9" fillId="28" borderId="4" xfId="0" applyFont="1" applyFill="1" applyBorder="1"/>
    <xf numFmtId="0" fontId="10" fillId="3" borderId="4" xfId="0" applyFont="1" applyFill="1" applyBorder="1"/>
    <xf numFmtId="0" fontId="0" fillId="27" borderId="0" xfId="1" applyFont="1" applyFill="1" applyBorder="1" applyAlignment="1">
      <alignment horizontal="left" vertical="center" wrapText="1"/>
    </xf>
    <xf numFmtId="0" fontId="50" fillId="26" borderId="0" xfId="62" applyFill="1" applyBorder="1"/>
    <xf numFmtId="0" fontId="17" fillId="17" borderId="71" xfId="0" applyFont="1" applyFill="1" applyBorder="1"/>
    <xf numFmtId="2" fontId="48" fillId="26" borderId="1" xfId="61" applyFont="1" applyFill="1"/>
    <xf numFmtId="0" fontId="5" fillId="28" borderId="4" xfId="0" applyFont="1" applyFill="1" applyBorder="1"/>
    <xf numFmtId="0" fontId="3" fillId="3" borderId="4" xfId="0" applyFont="1" applyFill="1" applyBorder="1"/>
    <xf numFmtId="2" fontId="48" fillId="26" borderId="71" xfId="61" applyFill="1" applyBorder="1"/>
    <xf numFmtId="2" fontId="56" fillId="26" borderId="71" xfId="40" applyNumberFormat="1" applyFont="1" applyFill="1" applyBorder="1"/>
    <xf numFmtId="169" fontId="0" fillId="26" borderId="0" xfId="0" applyNumberFormat="1" applyFill="1" applyBorder="1"/>
    <xf numFmtId="0" fontId="51" fillId="26" borderId="0" xfId="63" applyFill="1" applyBorder="1"/>
    <xf numFmtId="0" fontId="14" fillId="17" borderId="9" xfId="0" applyFont="1" applyFill="1" applyBorder="1" applyAlignment="1">
      <alignment horizontal="left"/>
    </xf>
    <xf numFmtId="2" fontId="57" fillId="26" borderId="71" xfId="61" applyFont="1" applyFill="1" applyBorder="1"/>
    <xf numFmtId="172" fontId="56" fillId="26" borderId="71" xfId="40" applyNumberFormat="1" applyFont="1" applyFill="1" applyBorder="1"/>
    <xf numFmtId="2" fontId="1" fillId="26" borderId="71" xfId="61" applyFont="1" applyFill="1" applyBorder="1"/>
    <xf numFmtId="0" fontId="0" fillId="27" borderId="0" xfId="1" applyFont="1" applyFill="1" applyBorder="1"/>
    <xf numFmtId="0" fontId="12" fillId="26" borderId="0" xfId="11" applyFill="1" applyBorder="1"/>
    <xf numFmtId="0" fontId="14" fillId="17" borderId="44" xfId="0" applyFont="1" applyFill="1" applyBorder="1" applyAlignment="1">
      <alignment wrapText="1"/>
    </xf>
    <xf numFmtId="0" fontId="0" fillId="26" borderId="0" xfId="0" applyFill="1" applyBorder="1" applyAlignment="1">
      <alignment horizontal="left"/>
    </xf>
    <xf numFmtId="0" fontId="12" fillId="27" borderId="0" xfId="11" applyFill="1" applyBorder="1"/>
    <xf numFmtId="9" fontId="13" fillId="27" borderId="10" xfId="17" applyFont="1" applyFill="1" applyBorder="1"/>
    <xf numFmtId="0" fontId="17" fillId="17" borderId="58" xfId="0" applyFont="1" applyFill="1" applyBorder="1" applyAlignment="1">
      <alignment wrapText="1"/>
    </xf>
    <xf numFmtId="0" fontId="10" fillId="26" borderId="0" xfId="0" applyFont="1" applyFill="1" applyBorder="1"/>
    <xf numFmtId="0" fontId="0" fillId="26" borderId="44" xfId="0" applyFont="1" applyFill="1" applyBorder="1"/>
    <xf numFmtId="0" fontId="17" fillId="17" borderId="9" xfId="0" applyFont="1" applyFill="1" applyBorder="1" applyAlignment="1">
      <alignment horizontal="center" vertical="center" wrapText="1"/>
    </xf>
    <xf numFmtId="2" fontId="17" fillId="26" borderId="9" xfId="0" applyNumberFormat="1" applyFont="1" applyFill="1" applyBorder="1"/>
    <xf numFmtId="2" fontId="48" fillId="26" borderId="0" xfId="61" applyFill="1" applyBorder="1"/>
    <xf numFmtId="169" fontId="0" fillId="0" borderId="0" xfId="0" applyNumberFormat="1" applyBorder="1"/>
    <xf numFmtId="0" fontId="0" fillId="26" borderId="113" xfId="0" applyFill="1" applyBorder="1"/>
    <xf numFmtId="2" fontId="47" fillId="26" borderId="113" xfId="39" applyNumberFormat="1" applyFill="1" applyBorder="1"/>
    <xf numFmtId="0" fontId="0" fillId="26" borderId="0" xfId="1" applyFont="1" applyFill="1" applyBorder="1"/>
    <xf numFmtId="0" fontId="15" fillId="22" borderId="3" xfId="0" applyFont="1" applyFill="1" applyBorder="1"/>
    <xf numFmtId="0" fontId="15" fillId="26" borderId="0" xfId="0" applyFont="1" applyFill="1" applyBorder="1"/>
    <xf numFmtId="0" fontId="17" fillId="26" borderId="0" xfId="0" applyFont="1" applyFill="1" applyBorder="1" applyAlignment="1">
      <alignment wrapText="1"/>
    </xf>
    <xf numFmtId="169" fontId="13" fillId="26" borderId="0" xfId="16" applyNumberFormat="1" applyFill="1" applyBorder="1" applyAlignment="1">
      <alignment vertical="center" wrapText="1"/>
    </xf>
    <xf numFmtId="0" fontId="14" fillId="17" borderId="71" xfId="0" applyFont="1" applyFill="1" applyBorder="1"/>
    <xf numFmtId="0" fontId="17" fillId="17" borderId="101" xfId="0" applyFont="1" applyFill="1" applyBorder="1" applyAlignment="1">
      <alignment wrapText="1"/>
    </xf>
    <xf numFmtId="0" fontId="17" fillId="17" borderId="78" xfId="0" applyFont="1" applyFill="1" applyBorder="1" applyAlignment="1">
      <alignment vertical="top" wrapText="1"/>
    </xf>
    <xf numFmtId="0" fontId="0" fillId="26" borderId="45" xfId="0" applyFill="1" applyBorder="1"/>
    <xf numFmtId="0" fontId="17" fillId="17" borderId="101" xfId="0" applyFont="1" applyFill="1" applyBorder="1" applyAlignment="1">
      <alignment horizontal="left" wrapText="1"/>
    </xf>
    <xf numFmtId="0" fontId="17" fillId="17" borderId="101" xfId="0" applyFont="1" applyFill="1" applyBorder="1" applyAlignment="1">
      <alignment vertical="top" wrapText="1"/>
    </xf>
    <xf numFmtId="0" fontId="0" fillId="17" borderId="101" xfId="0" applyFill="1" applyBorder="1" applyAlignment="1">
      <alignment wrapText="1"/>
    </xf>
    <xf numFmtId="0" fontId="45" fillId="17" borderId="101" xfId="0" applyFont="1" applyFill="1" applyBorder="1"/>
    <xf numFmtId="0" fontId="47" fillId="26" borderId="0" xfId="39" applyFill="1" applyBorder="1"/>
    <xf numFmtId="2" fontId="15" fillId="26" borderId="0" xfId="11" applyNumberFormat="1" applyFont="1" applyFill="1" applyBorder="1"/>
    <xf numFmtId="0" fontId="0" fillId="26" borderId="0" xfId="0" applyFill="1" applyAlignment="1">
      <alignment vertical="top"/>
    </xf>
    <xf numFmtId="172" fontId="0" fillId="26" borderId="0" xfId="0" applyNumberFormat="1" applyFill="1"/>
    <xf numFmtId="9" fontId="0" fillId="26" borderId="0" xfId="17" applyFont="1" applyFill="1"/>
    <xf numFmtId="0" fontId="44" fillId="3" borderId="32" xfId="0" applyFont="1" applyFill="1" applyBorder="1"/>
    <xf numFmtId="0" fontId="0" fillId="19" borderId="111" xfId="0" applyFont="1" applyFill="1" applyBorder="1"/>
    <xf numFmtId="0" fontId="0" fillId="20" borderId="114" xfId="0" applyFont="1" applyFill="1" applyBorder="1"/>
    <xf numFmtId="0" fontId="0" fillId="19" borderId="114" xfId="0" applyFont="1" applyFill="1" applyBorder="1"/>
    <xf numFmtId="0" fontId="0" fillId="19" borderId="115" xfId="0" applyFont="1" applyFill="1" applyBorder="1"/>
    <xf numFmtId="0" fontId="10" fillId="4" borderId="98" xfId="0" applyFont="1" applyFill="1" applyBorder="1"/>
    <xf numFmtId="0" fontId="58" fillId="29" borderId="58" xfId="0" applyFont="1" applyFill="1" applyBorder="1"/>
    <xf numFmtId="0" fontId="15" fillId="21" borderId="58" xfId="0" applyFont="1" applyFill="1" applyBorder="1"/>
    <xf numFmtId="0" fontId="15" fillId="22" borderId="58" xfId="0" applyFont="1" applyFill="1" applyBorder="1"/>
    <xf numFmtId="0" fontId="15" fillId="21" borderId="3" xfId="0" applyFont="1" applyFill="1" applyBorder="1"/>
    <xf numFmtId="0" fontId="0" fillId="26" borderId="0" xfId="0" applyFill="1" applyBorder="1" applyAlignment="1">
      <alignment wrapText="1"/>
    </xf>
    <xf numFmtId="0" fontId="17" fillId="17" borderId="11" xfId="0" applyFont="1" applyFill="1" applyBorder="1" applyAlignment="1">
      <alignment wrapText="1"/>
    </xf>
    <xf numFmtId="9" fontId="48" fillId="26" borderId="0" xfId="17" applyFont="1" applyFill="1" applyBorder="1"/>
    <xf numFmtId="11" fontId="48" fillId="26" borderId="0" xfId="61" applyNumberFormat="1" applyFill="1" applyBorder="1"/>
    <xf numFmtId="0" fontId="17" fillId="26" borderId="0" xfId="0" applyFont="1" applyFill="1" applyBorder="1" applyAlignment="1">
      <alignment vertical="center" textRotation="90" wrapText="1"/>
    </xf>
    <xf numFmtId="0" fontId="0" fillId="26" borderId="122" xfId="0" applyFill="1" applyBorder="1"/>
    <xf numFmtId="0" fontId="0" fillId="26" borderId="124" xfId="0" applyFill="1" applyBorder="1"/>
    <xf numFmtId="2" fontId="0" fillId="26" borderId="124" xfId="0" applyNumberFormat="1" applyFill="1" applyBorder="1"/>
    <xf numFmtId="0" fontId="0" fillId="26" borderId="125" xfId="0" applyFill="1" applyBorder="1"/>
    <xf numFmtId="0" fontId="17" fillId="26" borderId="0" xfId="0" applyFont="1" applyFill="1" applyBorder="1" applyAlignment="1">
      <alignment horizontal="left" vertical="top"/>
    </xf>
    <xf numFmtId="0" fontId="17" fillId="26" borderId="0" xfId="0" applyFont="1" applyFill="1" applyBorder="1" applyAlignment="1">
      <alignment horizontal="center" vertical="center" wrapText="1"/>
    </xf>
    <xf numFmtId="0" fontId="17" fillId="26" borderId="0" xfId="0" applyFont="1" applyFill="1" applyBorder="1" applyAlignment="1">
      <alignment horizontal="left"/>
    </xf>
    <xf numFmtId="0" fontId="18" fillId="26" borderId="0" xfId="0" applyFont="1" applyFill="1"/>
    <xf numFmtId="1" fontId="0" fillId="26" borderId="0" xfId="0" applyNumberFormat="1" applyFill="1"/>
    <xf numFmtId="0" fontId="14" fillId="17" borderId="9" xfId="0" applyFont="1" applyFill="1" applyBorder="1" applyAlignment="1">
      <alignment horizontal="left" wrapText="1"/>
    </xf>
    <xf numFmtId="0" fontId="0" fillId="26" borderId="0" xfId="18" applyFont="1" applyFill="1"/>
    <xf numFmtId="0" fontId="14" fillId="17" borderId="121" xfId="0" applyFont="1" applyFill="1" applyBorder="1" applyAlignment="1">
      <alignment horizontal="left"/>
    </xf>
    <xf numFmtId="1" fontId="13" fillId="26" borderId="129" xfId="16" applyNumberFormat="1" applyFill="1" applyBorder="1"/>
    <xf numFmtId="0" fontId="17" fillId="17" borderId="123" xfId="0" applyFont="1" applyFill="1" applyBorder="1" applyAlignment="1">
      <alignment vertical="top" wrapText="1"/>
    </xf>
    <xf numFmtId="9" fontId="13" fillId="26" borderId="129" xfId="17" applyFont="1" applyFill="1" applyBorder="1"/>
    <xf numFmtId="0" fontId="0" fillId="26" borderId="0" xfId="18" applyFont="1" applyFill="1" applyBorder="1"/>
    <xf numFmtId="0" fontId="20" fillId="26" borderId="0" xfId="44" applyFont="1" applyFill="1"/>
    <xf numFmtId="171" fontId="47" fillId="26" borderId="0" xfId="39" applyNumberFormat="1" applyFill="1" applyBorder="1"/>
    <xf numFmtId="2" fontId="0" fillId="26" borderId="71" xfId="61" applyFont="1" applyFill="1" applyBorder="1"/>
    <xf numFmtId="0" fontId="14" fillId="26" borderId="112" xfId="18" applyFont="1" applyFill="1" applyBorder="1" applyAlignment="1">
      <alignment horizontal="center"/>
    </xf>
    <xf numFmtId="0" fontId="14" fillId="26" borderId="0" xfId="18" applyFont="1" applyFill="1" applyBorder="1" applyAlignment="1">
      <alignment horizontal="center"/>
    </xf>
    <xf numFmtId="0" fontId="17" fillId="26" borderId="0" xfId="18" applyFont="1" applyFill="1" applyBorder="1"/>
    <xf numFmtId="0" fontId="0" fillId="26" borderId="0" xfId="44" applyFont="1" applyFill="1" applyBorder="1"/>
    <xf numFmtId="0" fontId="2" fillId="26" borderId="0" xfId="0" applyFont="1" applyFill="1" applyBorder="1"/>
    <xf numFmtId="0" fontId="0" fillId="26" borderId="0" xfId="44" applyFont="1" applyFill="1"/>
    <xf numFmtId="0" fontId="18" fillId="26" borderId="0" xfId="44" applyFont="1" applyFill="1" applyBorder="1"/>
    <xf numFmtId="0" fontId="62" fillId="26" borderId="0" xfId="0" applyFont="1" applyFill="1" applyBorder="1"/>
    <xf numFmtId="0" fontId="2" fillId="26" borderId="0" xfId="44" applyFill="1"/>
    <xf numFmtId="174" fontId="0" fillId="26" borderId="24" xfId="17" applyNumberFormat="1" applyFont="1" applyFill="1" applyBorder="1"/>
    <xf numFmtId="8" fontId="0" fillId="26" borderId="0" xfId="0" applyNumberFormat="1" applyFill="1"/>
    <xf numFmtId="0" fontId="2" fillId="26" borderId="0" xfId="44" applyFont="1" applyFill="1" applyBorder="1"/>
    <xf numFmtId="169" fontId="17" fillId="26" borderId="24" xfId="0" applyNumberFormat="1" applyFont="1" applyFill="1" applyBorder="1"/>
    <xf numFmtId="0" fontId="14" fillId="26" borderId="0" xfId="44" applyFont="1" applyFill="1" applyBorder="1"/>
    <xf numFmtId="0" fontId="17" fillId="26" borderId="124" xfId="44" applyFont="1" applyFill="1" applyBorder="1"/>
    <xf numFmtId="169" fontId="17" fillId="26" borderId="130" xfId="0" applyNumberFormat="1" applyFont="1" applyFill="1" applyBorder="1"/>
    <xf numFmtId="169" fontId="14" fillId="26" borderId="0" xfId="44" applyNumberFormat="1" applyFont="1" applyFill="1" applyBorder="1"/>
    <xf numFmtId="0" fontId="2" fillId="26" borderId="0" xfId="44" applyFill="1" applyBorder="1"/>
    <xf numFmtId="174" fontId="0" fillId="26" borderId="117" xfId="17" applyNumberFormat="1" applyFont="1" applyFill="1" applyBorder="1"/>
    <xf numFmtId="0" fontId="62" fillId="3" borderId="0" xfId="18" applyFont="1" applyFill="1" applyBorder="1"/>
    <xf numFmtId="0" fontId="62" fillId="3" borderId="0" xfId="0" applyFont="1" applyFill="1" applyBorder="1"/>
    <xf numFmtId="9" fontId="56" fillId="17" borderId="63" xfId="39" applyNumberFormat="1" applyFont="1" applyFill="1" applyBorder="1"/>
    <xf numFmtId="9" fontId="56" fillId="17" borderId="62" xfId="39" applyNumberFormat="1" applyFont="1" applyFill="1" applyBorder="1"/>
    <xf numFmtId="9" fontId="56" fillId="17" borderId="64" xfId="39" applyNumberFormat="1" applyFont="1" applyFill="1" applyBorder="1"/>
    <xf numFmtId="9" fontId="56" fillId="17" borderId="60" xfId="39" applyNumberFormat="1" applyFont="1" applyFill="1" applyBorder="1"/>
    <xf numFmtId="1" fontId="1" fillId="17" borderId="92" xfId="11" applyNumberFormat="1" applyFont="1" applyFill="1" applyBorder="1"/>
    <xf numFmtId="1" fontId="1" fillId="17" borderId="68" xfId="11" applyNumberFormat="1" applyFont="1" applyFill="1" applyBorder="1"/>
    <xf numFmtId="1" fontId="1" fillId="17" borderId="59" xfId="11" applyNumberFormat="1" applyFont="1" applyFill="1" applyBorder="1"/>
    <xf numFmtId="2" fontId="1" fillId="23" borderId="81" xfId="61" applyFont="1" applyBorder="1"/>
    <xf numFmtId="2" fontId="1" fillId="23" borderId="1" xfId="61" applyFont="1" applyBorder="1"/>
    <xf numFmtId="0" fontId="0" fillId="31" borderId="12" xfId="0" applyFont="1" applyFill="1" applyBorder="1" applyAlignment="1">
      <alignment wrapText="1"/>
    </xf>
    <xf numFmtId="0" fontId="0" fillId="31" borderId="51" xfId="0" applyFont="1" applyFill="1" applyBorder="1"/>
    <xf numFmtId="0" fontId="0" fillId="26" borderId="0" xfId="0" applyFont="1" applyFill="1"/>
    <xf numFmtId="0" fontId="17" fillId="17" borderId="71" xfId="0" applyFont="1" applyFill="1" applyBorder="1" applyAlignment="1">
      <alignment wrapText="1"/>
    </xf>
    <xf numFmtId="0" fontId="0" fillId="26" borderId="36" xfId="0" applyFont="1" applyFill="1" applyBorder="1"/>
    <xf numFmtId="0" fontId="0" fillId="26" borderId="37" xfId="0" applyFont="1" applyFill="1" applyBorder="1"/>
    <xf numFmtId="0" fontId="0" fillId="26" borderId="38" xfId="0" applyFont="1" applyFill="1" applyBorder="1"/>
    <xf numFmtId="0" fontId="17" fillId="23" borderId="103" xfId="16" applyFont="1" applyBorder="1" applyAlignment="1">
      <alignment vertical="center"/>
    </xf>
    <xf numFmtId="0" fontId="17" fillId="23" borderId="71" xfId="16" applyFont="1" applyBorder="1" applyAlignment="1">
      <alignment vertical="center"/>
    </xf>
    <xf numFmtId="0" fontId="0" fillId="0" borderId="82" xfId="0" applyFont="1" applyBorder="1"/>
    <xf numFmtId="0" fontId="0" fillId="0" borderId="103" xfId="0" applyFont="1" applyBorder="1" applyAlignment="1">
      <alignment wrapText="1"/>
    </xf>
    <xf numFmtId="0" fontId="0" fillId="0" borderId="71" xfId="0" applyFont="1" applyBorder="1" applyAlignment="1">
      <alignment wrapText="1"/>
    </xf>
    <xf numFmtId="0" fontId="0" fillId="21" borderId="86" xfId="0" applyFont="1" applyFill="1" applyBorder="1"/>
    <xf numFmtId="0" fontId="0" fillId="6" borderId="101" xfId="11" applyFont="1" applyBorder="1"/>
    <xf numFmtId="171" fontId="17" fillId="23" borderId="100" xfId="16" applyNumberFormat="1" applyFont="1" applyBorder="1"/>
    <xf numFmtId="0" fontId="0" fillId="22" borderId="86" xfId="0" applyFont="1" applyFill="1" applyBorder="1"/>
    <xf numFmtId="171" fontId="17" fillId="23" borderId="82" xfId="16" applyNumberFormat="1" applyFont="1" applyBorder="1"/>
    <xf numFmtId="0" fontId="0" fillId="26" borderId="0" xfId="0" applyFont="1" applyFill="1" applyBorder="1" applyAlignment="1">
      <alignment wrapText="1"/>
    </xf>
    <xf numFmtId="0" fontId="0" fillId="22" borderId="87" xfId="0" applyFont="1" applyFill="1" applyBorder="1"/>
    <xf numFmtId="171" fontId="17" fillId="23" borderId="57" xfId="16" applyNumberFormat="1" applyFont="1" applyBorder="1"/>
    <xf numFmtId="0" fontId="17" fillId="26" borderId="105" xfId="0" applyFont="1" applyFill="1" applyBorder="1" applyAlignment="1"/>
    <xf numFmtId="0" fontId="17" fillId="26" borderId="97" xfId="0" applyFont="1" applyFill="1" applyBorder="1" applyAlignment="1"/>
    <xf numFmtId="0" fontId="17" fillId="26" borderId="106" xfId="0" applyFont="1" applyFill="1" applyBorder="1" applyAlignment="1"/>
    <xf numFmtId="0" fontId="1" fillId="26" borderId="0" xfId="0" applyFont="1" applyFill="1" applyBorder="1"/>
    <xf numFmtId="2" fontId="13" fillId="26" borderId="0" xfId="16" applyNumberFormat="1" applyFill="1" applyBorder="1"/>
    <xf numFmtId="0" fontId="0" fillId="26" borderId="0" xfId="1" applyFont="1" applyFill="1" applyBorder="1" applyAlignment="1">
      <alignment vertical="center"/>
    </xf>
    <xf numFmtId="166" fontId="0" fillId="26" borderId="0" xfId="0" applyNumberFormat="1" applyFill="1" applyBorder="1"/>
    <xf numFmtId="0" fontId="17" fillId="17" borderId="130" xfId="0" applyFont="1" applyFill="1" applyBorder="1" applyAlignment="1">
      <alignment wrapText="1"/>
    </xf>
    <xf numFmtId="1" fontId="1" fillId="17" borderId="90" xfId="16" applyNumberFormat="1" applyFont="1" applyFill="1" applyBorder="1"/>
    <xf numFmtId="1" fontId="1" fillId="17" borderId="91" xfId="16" applyNumberFormat="1" applyFont="1" applyFill="1" applyBorder="1"/>
    <xf numFmtId="0" fontId="64" fillId="26" borderId="0" xfId="2" applyFont="1" applyFill="1" applyBorder="1"/>
    <xf numFmtId="0" fontId="56" fillId="26" borderId="0" xfId="39" applyFont="1" applyFill="1" applyBorder="1"/>
    <xf numFmtId="169" fontId="0" fillId="26" borderId="0" xfId="62" applyNumberFormat="1" applyFont="1" applyFill="1" applyBorder="1"/>
    <xf numFmtId="0" fontId="65" fillId="26" borderId="0" xfId="57" applyFont="1" applyFill="1" applyBorder="1"/>
    <xf numFmtId="2" fontId="0" fillId="26" borderId="117" xfId="0" applyNumberFormat="1" applyFill="1" applyBorder="1"/>
    <xf numFmtId="0" fontId="17" fillId="26" borderId="0" xfId="0" applyFont="1" applyFill="1" applyBorder="1" applyAlignment="1">
      <alignment horizontal="left" wrapText="1"/>
    </xf>
    <xf numFmtId="0" fontId="17" fillId="26" borderId="0" xfId="0" applyFont="1" applyFill="1" applyBorder="1" applyAlignment="1">
      <alignment horizontal="right"/>
    </xf>
    <xf numFmtId="2" fontId="17" fillId="26" borderId="0" xfId="0" applyNumberFormat="1" applyFont="1" applyFill="1" applyBorder="1" applyAlignment="1">
      <alignment horizontal="left"/>
    </xf>
    <xf numFmtId="2" fontId="0" fillId="26" borderId="0" xfId="0" applyNumberFormat="1" applyFill="1" applyBorder="1" applyAlignment="1">
      <alignment horizontal="right"/>
    </xf>
    <xf numFmtId="0" fontId="17" fillId="26" borderId="0" xfId="0" applyFont="1" applyFill="1" applyBorder="1" applyAlignment="1">
      <alignment horizontal="right" vertical="top"/>
    </xf>
    <xf numFmtId="0" fontId="17" fillId="26" borderId="0" xfId="0" applyFont="1" applyFill="1" applyBorder="1" applyAlignment="1">
      <alignment horizontal="center" vertical="center"/>
    </xf>
    <xf numFmtId="9" fontId="1" fillId="17" borderId="1" xfId="11" applyNumberFormat="1" applyFont="1" applyFill="1" applyBorder="1"/>
    <xf numFmtId="9" fontId="1" fillId="17" borderId="46" xfId="11" applyNumberFormat="1" applyFont="1" applyFill="1" applyBorder="1"/>
    <xf numFmtId="0" fontId="46" fillId="26" borderId="10" xfId="16" applyFont="1" applyFill="1"/>
    <xf numFmtId="174" fontId="0" fillId="26" borderId="0" xfId="17" applyNumberFormat="1" applyFont="1" applyFill="1" applyBorder="1"/>
    <xf numFmtId="10" fontId="0" fillId="26" borderId="117" xfId="0" applyNumberFormat="1" applyFill="1" applyBorder="1"/>
    <xf numFmtId="0" fontId="66" fillId="26" borderId="0" xfId="0" applyFont="1" applyFill="1" applyBorder="1"/>
    <xf numFmtId="172" fontId="46" fillId="26" borderId="10" xfId="16" applyNumberFormat="1" applyFont="1" applyFill="1"/>
    <xf numFmtId="2" fontId="0" fillId="26" borderId="4" xfId="0" applyNumberFormat="1" applyFill="1" applyBorder="1"/>
    <xf numFmtId="0" fontId="20" fillId="26" borderId="0" xfId="44" applyFont="1" applyFill="1" applyBorder="1"/>
    <xf numFmtId="169" fontId="0" fillId="26" borderId="0" xfId="0" applyNumberFormat="1" applyFont="1" applyFill="1" applyBorder="1"/>
    <xf numFmtId="0" fontId="0" fillId="0" borderId="0" xfId="0" applyFont="1" applyFill="1" applyBorder="1"/>
    <xf numFmtId="0" fontId="0" fillId="0" borderId="0" xfId="0" applyFont="1" applyFill="1"/>
    <xf numFmtId="169" fontId="0" fillId="26" borderId="130" xfId="0" applyNumberFormat="1" applyFill="1" applyBorder="1"/>
    <xf numFmtId="169" fontId="17" fillId="17" borderId="130" xfId="0" applyNumberFormat="1" applyFont="1" applyFill="1" applyBorder="1"/>
    <xf numFmtId="0" fontId="45" fillId="4" borderId="80" xfId="0" applyFont="1" applyFill="1" applyBorder="1" applyAlignment="1">
      <alignment wrapText="1"/>
    </xf>
    <xf numFmtId="0" fontId="45" fillId="4" borderId="0" xfId="0" applyFont="1" applyFill="1" applyBorder="1" applyAlignment="1">
      <alignment wrapText="1"/>
    </xf>
    <xf numFmtId="169" fontId="0" fillId="26" borderId="75" xfId="0" applyNumberFormat="1" applyFill="1" applyBorder="1"/>
    <xf numFmtId="169" fontId="0" fillId="26" borderId="121" xfId="0" applyNumberFormat="1" applyFill="1" applyBorder="1"/>
    <xf numFmtId="169" fontId="17" fillId="8" borderId="121" xfId="0" applyNumberFormat="1" applyFont="1" applyFill="1" applyBorder="1"/>
    <xf numFmtId="169" fontId="17" fillId="8" borderId="130" xfId="0" applyNumberFormat="1" applyFont="1" applyFill="1" applyBorder="1"/>
    <xf numFmtId="169" fontId="17" fillId="26" borderId="126" xfId="0" applyNumberFormat="1" applyFont="1" applyFill="1" applyBorder="1"/>
    <xf numFmtId="0" fontId="44" fillId="26" borderId="126" xfId="44" applyFont="1" applyFill="1" applyBorder="1"/>
    <xf numFmtId="0" fontId="44" fillId="8" borderId="126" xfId="44" applyFont="1" applyFill="1" applyBorder="1"/>
    <xf numFmtId="169" fontId="67" fillId="17" borderId="130" xfId="0" applyNumberFormat="1" applyFont="1" applyFill="1" applyBorder="1"/>
    <xf numFmtId="169" fontId="67" fillId="26" borderId="130" xfId="0" applyNumberFormat="1" applyFont="1" applyFill="1" applyBorder="1"/>
    <xf numFmtId="0" fontId="14" fillId="17" borderId="122" xfId="0" applyFont="1" applyFill="1" applyBorder="1" applyAlignment="1">
      <alignment wrapText="1"/>
    </xf>
    <xf numFmtId="2" fontId="17" fillId="26" borderId="122" xfId="0" applyNumberFormat="1" applyFont="1" applyFill="1" applyBorder="1"/>
    <xf numFmtId="0" fontId="14" fillId="26" borderId="119" xfId="0" applyFont="1" applyFill="1" applyBorder="1" applyAlignment="1">
      <alignment wrapText="1"/>
    </xf>
    <xf numFmtId="2" fontId="17" fillId="26" borderId="119" xfId="0" applyNumberFormat="1" applyFont="1" applyFill="1" applyBorder="1"/>
    <xf numFmtId="9" fontId="0" fillId="26" borderId="0" xfId="0" applyNumberFormat="1" applyFill="1"/>
    <xf numFmtId="1" fontId="18" fillId="17" borderId="68" xfId="11" applyNumberFormat="1" applyFont="1" applyFill="1" applyBorder="1"/>
    <xf numFmtId="169" fontId="13" fillId="26" borderId="0" xfId="16" applyNumberFormat="1" applyFill="1" applyBorder="1"/>
    <xf numFmtId="0" fontId="71" fillId="26" borderId="0" xfId="18" applyFont="1" applyFill="1" applyBorder="1" applyAlignment="1">
      <alignment horizontal="center"/>
    </xf>
    <xf numFmtId="1" fontId="20" fillId="17" borderId="68" xfId="11" applyNumberFormat="1" applyFont="1" applyFill="1" applyBorder="1"/>
    <xf numFmtId="169" fontId="0" fillId="0" borderId="0" xfId="0" applyNumberFormat="1" applyFont="1" applyFill="1" applyBorder="1"/>
    <xf numFmtId="1" fontId="12" fillId="26" borderId="0" xfId="11" applyNumberFormat="1" applyFill="1" applyBorder="1"/>
    <xf numFmtId="0" fontId="0" fillId="27" borderId="28" xfId="1" applyFont="1" applyFill="1" applyBorder="1"/>
    <xf numFmtId="170" fontId="13" fillId="26" borderId="0" xfId="16" applyNumberFormat="1" applyFill="1" applyBorder="1"/>
    <xf numFmtId="173" fontId="13" fillId="26" borderId="0" xfId="16" applyNumberFormat="1" applyFill="1" applyBorder="1"/>
    <xf numFmtId="171" fontId="12" fillId="26" borderId="0" xfId="11" applyNumberFormat="1" applyFill="1" applyBorder="1"/>
    <xf numFmtId="0" fontId="17" fillId="17" borderId="43" xfId="0" applyFont="1" applyFill="1" applyBorder="1" applyAlignment="1">
      <alignment wrapText="1"/>
    </xf>
    <xf numFmtId="0" fontId="17" fillId="17" borderId="85" xfId="0" applyFont="1" applyFill="1" applyBorder="1"/>
    <xf numFmtId="2" fontId="1" fillId="23" borderId="138" xfId="61" applyFont="1" applyBorder="1"/>
    <xf numFmtId="9" fontId="56" fillId="17" borderId="139" xfId="39" applyNumberFormat="1" applyFont="1" applyFill="1" applyBorder="1"/>
    <xf numFmtId="2" fontId="1" fillId="23" borderId="46" xfId="61" applyFont="1" applyBorder="1"/>
    <xf numFmtId="9" fontId="56" fillId="17" borderId="141" xfId="39" applyNumberFormat="1" applyFont="1" applyFill="1" applyBorder="1"/>
    <xf numFmtId="0" fontId="0" fillId="31" borderId="104" xfId="0" applyFont="1" applyFill="1" applyBorder="1"/>
    <xf numFmtId="0" fontId="17" fillId="22" borderId="32" xfId="0" applyFont="1" applyFill="1" applyBorder="1" applyAlignment="1">
      <alignment wrapText="1"/>
    </xf>
    <xf numFmtId="0" fontId="17" fillId="26" borderId="34" xfId="0" applyFont="1" applyFill="1" applyBorder="1"/>
    <xf numFmtId="168" fontId="13" fillId="26" borderId="0" xfId="16" applyNumberFormat="1" applyFill="1" applyBorder="1"/>
    <xf numFmtId="0" fontId="0" fillId="26" borderId="0" xfId="0" applyFill="1" applyAlignment="1">
      <alignment wrapText="1"/>
    </xf>
    <xf numFmtId="0" fontId="0" fillId="26" borderId="0" xfId="0" applyFill="1" applyAlignment="1">
      <alignment horizontal="left" vertical="top"/>
    </xf>
    <xf numFmtId="0" fontId="17" fillId="3" borderId="0" xfId="0" applyFont="1" applyFill="1" applyBorder="1"/>
    <xf numFmtId="0" fontId="73" fillId="17" borderId="9" xfId="0" applyFont="1" applyFill="1" applyBorder="1" applyAlignment="1">
      <alignment wrapText="1"/>
    </xf>
    <xf numFmtId="0" fontId="20" fillId="26" borderId="0" xfId="44" applyFont="1" applyFill="1" applyBorder="1" applyAlignment="1">
      <alignment vertical="top"/>
    </xf>
    <xf numFmtId="0" fontId="17" fillId="3" borderId="0" xfId="0" applyFont="1" applyFill="1"/>
    <xf numFmtId="0" fontId="0" fillId="17" borderId="0" xfId="0" applyFill="1"/>
    <xf numFmtId="0" fontId="62" fillId="17" borderId="0" xfId="0" applyFont="1" applyFill="1"/>
    <xf numFmtId="168" fontId="56" fillId="26" borderId="71" xfId="40" applyNumberFormat="1" applyFont="1" applyFill="1" applyBorder="1"/>
    <xf numFmtId="0" fontId="17" fillId="26" borderId="37" xfId="0" applyFont="1" applyFill="1" applyBorder="1"/>
    <xf numFmtId="169" fontId="0" fillId="26" borderId="160" xfId="0" applyNumberFormat="1" applyFill="1" applyBorder="1"/>
    <xf numFmtId="169" fontId="0" fillId="26" borderId="37" xfId="0" applyNumberFormat="1" applyFill="1" applyBorder="1"/>
    <xf numFmtId="0" fontId="17" fillId="26" borderId="161" xfId="0" applyFont="1" applyFill="1" applyBorder="1"/>
    <xf numFmtId="169" fontId="0" fillId="26" borderId="117" xfId="0" applyNumberFormat="1" applyFill="1" applyBorder="1"/>
    <xf numFmtId="169" fontId="0" fillId="26" borderId="88" xfId="0" applyNumberFormat="1" applyFill="1" applyBorder="1"/>
    <xf numFmtId="169" fontId="0" fillId="26" borderId="119" xfId="0" applyNumberFormat="1" applyFill="1" applyBorder="1"/>
    <xf numFmtId="0" fontId="0" fillId="26" borderId="161" xfId="0" applyFill="1" applyBorder="1"/>
    <xf numFmtId="9" fontId="0" fillId="26" borderId="37" xfId="17" applyFont="1" applyFill="1" applyBorder="1"/>
    <xf numFmtId="169" fontId="67" fillId="26" borderId="0" xfId="0" applyNumberFormat="1" applyFont="1" applyFill="1" applyBorder="1"/>
    <xf numFmtId="179" fontId="0" fillId="26" borderId="0" xfId="0" applyNumberFormat="1" applyFill="1" applyBorder="1"/>
    <xf numFmtId="169" fontId="17" fillId="8" borderId="156" xfId="0" applyNumberFormat="1" applyFont="1" applyFill="1" applyBorder="1"/>
    <xf numFmtId="174" fontId="0" fillId="26" borderId="119" xfId="17" applyNumberFormat="1" applyFont="1" applyFill="1" applyBorder="1"/>
    <xf numFmtId="169" fontId="17" fillId="26" borderId="0" xfId="0" applyNumberFormat="1" applyFont="1" applyFill="1" applyBorder="1"/>
    <xf numFmtId="169" fontId="17" fillId="8" borderId="120" xfId="0" applyNumberFormat="1" applyFont="1" applyFill="1" applyBorder="1"/>
    <xf numFmtId="169" fontId="0" fillId="26" borderId="120" xfId="0" applyNumberFormat="1" applyFill="1" applyBorder="1"/>
    <xf numFmtId="169" fontId="17" fillId="26" borderId="162" xfId="0" applyNumberFormat="1" applyFont="1" applyFill="1" applyBorder="1"/>
    <xf numFmtId="169" fontId="59" fillId="26" borderId="0" xfId="0" applyNumberFormat="1" applyFont="1" applyFill="1" applyBorder="1"/>
    <xf numFmtId="0" fontId="20" fillId="26" borderId="0" xfId="0" applyFont="1" applyFill="1" applyAlignment="1">
      <alignment horizontal="left"/>
    </xf>
    <xf numFmtId="0" fontId="0" fillId="3" borderId="0" xfId="0" applyFont="1" applyFill="1"/>
    <xf numFmtId="0" fontId="0" fillId="3" borderId="0" xfId="0" applyFill="1" applyBorder="1" applyAlignment="1">
      <alignment vertical="top"/>
    </xf>
    <xf numFmtId="0" fontId="0" fillId="3" borderId="0" xfId="0" applyFill="1" applyBorder="1"/>
    <xf numFmtId="174" fontId="0" fillId="3" borderId="0" xfId="17" applyNumberFormat="1" applyFont="1" applyFill="1"/>
    <xf numFmtId="169" fontId="0" fillId="3" borderId="0" xfId="0" applyNumberFormat="1" applyFill="1" applyBorder="1"/>
    <xf numFmtId="0" fontId="0" fillId="3" borderId="0" xfId="0" applyFill="1" applyBorder="1" applyAlignment="1"/>
    <xf numFmtId="0" fontId="0" fillId="3" borderId="0" xfId="0" applyFont="1" applyFill="1" applyBorder="1"/>
    <xf numFmtId="9" fontId="0" fillId="3" borderId="0" xfId="0" applyNumberFormat="1" applyFill="1" applyBorder="1"/>
    <xf numFmtId="10" fontId="0" fillId="3" borderId="0" xfId="0" applyNumberFormat="1" applyFill="1" applyBorder="1"/>
    <xf numFmtId="0" fontId="3" fillId="3" borderId="0" xfId="0" applyFont="1" applyFill="1"/>
    <xf numFmtId="0" fontId="62" fillId="33" borderId="0" xfId="0" applyFont="1" applyFill="1"/>
    <xf numFmtId="0" fontId="17" fillId="33" borderId="0" xfId="0" applyFont="1" applyFill="1"/>
    <xf numFmtId="0" fontId="0" fillId="33" borderId="0" xfId="0" applyFill="1"/>
    <xf numFmtId="0" fontId="20" fillId="26" borderId="37" xfId="44" applyFont="1" applyFill="1" applyBorder="1"/>
    <xf numFmtId="0" fontId="10" fillId="4" borderId="55" xfId="0" applyFont="1" applyFill="1" applyBorder="1" applyAlignment="1">
      <alignment wrapText="1"/>
    </xf>
    <xf numFmtId="0" fontId="17" fillId="26" borderId="119" xfId="0" applyFont="1" applyFill="1" applyBorder="1"/>
    <xf numFmtId="1" fontId="1" fillId="17" borderId="70" xfId="11" applyNumberFormat="1" applyFont="1" applyFill="1" applyBorder="1"/>
    <xf numFmtId="165" fontId="0" fillId="6" borderId="23" xfId="11" applyNumberFormat="1" applyFont="1" applyFill="1" applyBorder="1"/>
    <xf numFmtId="0" fontId="0" fillId="26" borderId="159" xfId="0" applyFill="1" applyBorder="1"/>
    <xf numFmtId="11" fontId="0" fillId="26" borderId="0" xfId="0" applyNumberFormat="1" applyFill="1" applyBorder="1"/>
    <xf numFmtId="0" fontId="0" fillId="26" borderId="165" xfId="0" applyFill="1" applyBorder="1"/>
    <xf numFmtId="0" fontId="0" fillId="26" borderId="157" xfId="0" applyFill="1" applyBorder="1"/>
    <xf numFmtId="0" fontId="0" fillId="26" borderId="119" xfId="0" applyFill="1" applyBorder="1"/>
    <xf numFmtId="9" fontId="1" fillId="26" borderId="159" xfId="17" applyFont="1" applyFill="1" applyBorder="1"/>
    <xf numFmtId="0" fontId="0" fillId="26" borderId="158" xfId="0" applyFill="1" applyBorder="1"/>
    <xf numFmtId="1" fontId="0" fillId="26" borderId="159" xfId="0" applyNumberFormat="1" applyFill="1" applyBorder="1"/>
    <xf numFmtId="9" fontId="0" fillId="26" borderId="159" xfId="17" applyFont="1" applyFill="1" applyBorder="1"/>
    <xf numFmtId="9" fontId="0" fillId="26" borderId="159" xfId="0" applyNumberFormat="1" applyFill="1" applyBorder="1"/>
    <xf numFmtId="0" fontId="52" fillId="26" borderId="165" xfId="0" applyFont="1" applyFill="1" applyBorder="1"/>
    <xf numFmtId="0" fontId="52" fillId="26" borderId="157" xfId="0" applyFont="1" applyFill="1" applyBorder="1"/>
    <xf numFmtId="0" fontId="17" fillId="26" borderId="156" xfId="0" applyFont="1" applyFill="1" applyBorder="1"/>
    <xf numFmtId="0" fontId="17" fillId="26" borderId="163" xfId="0" applyFont="1" applyFill="1" applyBorder="1"/>
    <xf numFmtId="0" fontId="17" fillId="26" borderId="152" xfId="0" applyFont="1" applyFill="1" applyBorder="1"/>
    <xf numFmtId="171" fontId="0" fillId="26" borderId="0" xfId="0" applyNumberFormat="1" applyFill="1" applyBorder="1"/>
    <xf numFmtId="2" fontId="0" fillId="26" borderId="159" xfId="0" applyNumberFormat="1" applyFill="1" applyBorder="1"/>
    <xf numFmtId="0" fontId="17" fillId="26" borderId="165" xfId="0" applyFont="1" applyFill="1" applyBorder="1"/>
    <xf numFmtId="0" fontId="0" fillId="26" borderId="163" xfId="0" applyFill="1" applyBorder="1"/>
    <xf numFmtId="0" fontId="0" fillId="26" borderId="152" xfId="0" applyFill="1" applyBorder="1"/>
    <xf numFmtId="0" fontId="17" fillId="26" borderId="0" xfId="0" applyFont="1" applyFill="1" applyBorder="1" applyAlignment="1">
      <alignment vertical="top"/>
    </xf>
    <xf numFmtId="172" fontId="0" fillId="26" borderId="0" xfId="0" applyNumberFormat="1" applyFill="1" applyBorder="1"/>
    <xf numFmtId="172" fontId="0" fillId="26" borderId="159" xfId="0" applyNumberFormat="1" applyFill="1" applyBorder="1"/>
    <xf numFmtId="0" fontId="17" fillId="26" borderId="78" xfId="0" applyFont="1" applyFill="1" applyBorder="1"/>
    <xf numFmtId="171" fontId="0" fillId="26" borderId="159" xfId="0" applyNumberFormat="1" applyFill="1" applyBorder="1"/>
    <xf numFmtId="172" fontId="0" fillId="26" borderId="5" xfId="0" applyNumberFormat="1" applyFill="1" applyBorder="1"/>
    <xf numFmtId="172" fontId="0" fillId="26" borderId="77" xfId="0" applyNumberFormat="1" applyFill="1" applyBorder="1"/>
    <xf numFmtId="172" fontId="0" fillId="26" borderId="79" xfId="0" applyNumberFormat="1" applyFill="1" applyBorder="1"/>
    <xf numFmtId="172" fontId="0" fillId="26" borderId="66" xfId="0" applyNumberFormat="1" applyFill="1" applyBorder="1"/>
    <xf numFmtId="171" fontId="0" fillId="26" borderId="77" xfId="0" applyNumberFormat="1" applyFill="1" applyBorder="1"/>
    <xf numFmtId="0" fontId="0" fillId="26" borderId="77" xfId="0" quotePrefix="1" applyFill="1" applyBorder="1"/>
    <xf numFmtId="9" fontId="0" fillId="26" borderId="0" xfId="17" quotePrefix="1" applyFont="1" applyFill="1" applyBorder="1"/>
    <xf numFmtId="0" fontId="17" fillId="32" borderId="72" xfId="0" applyFont="1" applyFill="1" applyBorder="1"/>
    <xf numFmtId="0" fontId="17" fillId="32" borderId="66" xfId="0" applyFont="1" applyFill="1" applyBorder="1"/>
    <xf numFmtId="0" fontId="17" fillId="32" borderId="69" xfId="0" applyFont="1" applyFill="1" applyBorder="1"/>
    <xf numFmtId="0" fontId="0" fillId="32" borderId="66" xfId="0" applyFill="1" applyBorder="1"/>
    <xf numFmtId="0" fontId="0" fillId="32" borderId="69" xfId="0" applyFill="1" applyBorder="1"/>
    <xf numFmtId="0" fontId="17" fillId="32" borderId="156" xfId="0" applyFont="1" applyFill="1" applyBorder="1"/>
    <xf numFmtId="0" fontId="0" fillId="32" borderId="163" xfId="0" applyFill="1" applyBorder="1"/>
    <xf numFmtId="0" fontId="0" fillId="32" borderId="152" xfId="0" applyFill="1" applyBorder="1"/>
    <xf numFmtId="0" fontId="17" fillId="32" borderId="165" xfId="0" applyFont="1" applyFill="1" applyBorder="1"/>
    <xf numFmtId="0" fontId="0" fillId="32" borderId="77" xfId="0" applyFill="1" applyBorder="1"/>
    <xf numFmtId="0" fontId="0" fillId="32" borderId="157" xfId="0" applyFill="1" applyBorder="1"/>
    <xf numFmtId="0" fontId="13" fillId="23" borderId="95" xfId="16" applyBorder="1"/>
    <xf numFmtId="0" fontId="17" fillId="0" borderId="166" xfId="0" applyFont="1" applyBorder="1"/>
    <xf numFmtId="0" fontId="0" fillId="26" borderId="0" xfId="0" applyFont="1" applyFill="1" applyAlignment="1">
      <alignment vertical="top"/>
    </xf>
    <xf numFmtId="0" fontId="0" fillId="26" borderId="0" xfId="0" quotePrefix="1" applyFont="1" applyFill="1"/>
    <xf numFmtId="0" fontId="17" fillId="17" borderId="0" xfId="0" applyFont="1" applyFill="1"/>
    <xf numFmtId="0" fontId="74" fillId="26" borderId="0" xfId="0" applyFont="1" applyFill="1"/>
    <xf numFmtId="0" fontId="62" fillId="32" borderId="0" xfId="0" applyFont="1" applyFill="1" applyBorder="1"/>
    <xf numFmtId="0" fontId="0" fillId="26" borderId="34" xfId="0" applyFont="1" applyFill="1" applyBorder="1"/>
    <xf numFmtId="1" fontId="0" fillId="26" borderId="0" xfId="0" applyNumberFormat="1" applyFont="1" applyFill="1"/>
    <xf numFmtId="0" fontId="0" fillId="26" borderId="35" xfId="0" applyFont="1" applyFill="1" applyBorder="1"/>
    <xf numFmtId="0" fontId="62" fillId="17" borderId="32" xfId="0" applyFont="1" applyFill="1" applyBorder="1"/>
    <xf numFmtId="0" fontId="0" fillId="17" borderId="4" xfId="0" applyFont="1" applyFill="1" applyBorder="1"/>
    <xf numFmtId="0" fontId="0" fillId="17" borderId="33" xfId="0" applyFont="1" applyFill="1" applyBorder="1"/>
    <xf numFmtId="0" fontId="53" fillId="17" borderId="32" xfId="0" applyFont="1" applyFill="1" applyBorder="1"/>
    <xf numFmtId="9" fontId="0" fillId="17" borderId="4" xfId="17" applyFont="1" applyFill="1" applyBorder="1" applyAlignment="1">
      <alignment vertical="center"/>
    </xf>
    <xf numFmtId="0" fontId="0" fillId="17" borderId="4" xfId="1" applyFont="1" applyFill="1" applyBorder="1" applyAlignment="1">
      <alignment vertical="center"/>
    </xf>
    <xf numFmtId="0" fontId="53" fillId="17" borderId="0" xfId="0" applyFont="1" applyFill="1"/>
    <xf numFmtId="0" fontId="52" fillId="26" borderId="0" xfId="0" applyFont="1" applyFill="1"/>
    <xf numFmtId="169" fontId="17" fillId="17" borderId="101" xfId="0" applyNumberFormat="1" applyFont="1" applyFill="1" applyBorder="1"/>
    <xf numFmtId="0" fontId="0" fillId="17" borderId="0" xfId="0" applyFont="1" applyFill="1"/>
    <xf numFmtId="1" fontId="0" fillId="17" borderId="0" xfId="0" applyNumberFormat="1" applyFont="1" applyFill="1"/>
    <xf numFmtId="0" fontId="0" fillId="17" borderId="0" xfId="0" applyFont="1" applyFill="1" applyBorder="1"/>
    <xf numFmtId="1" fontId="0" fillId="26" borderId="0" xfId="0" applyNumberFormat="1" applyFont="1" applyFill="1" applyBorder="1"/>
    <xf numFmtId="0" fontId="56" fillId="26" borderId="0" xfId="39" applyFont="1" applyFill="1" applyBorder="1" applyAlignment="1">
      <alignment horizontal="left"/>
    </xf>
    <xf numFmtId="0" fontId="0" fillId="26" borderId="127" xfId="0" applyFont="1" applyFill="1" applyBorder="1" applyAlignment="1">
      <alignment horizontal="left" vertical="top" wrapText="1"/>
    </xf>
    <xf numFmtId="0" fontId="0" fillId="26" borderId="0" xfId="0" applyFont="1" applyFill="1" applyBorder="1" applyAlignment="1">
      <alignment horizontal="center"/>
    </xf>
    <xf numFmtId="0" fontId="0" fillId="26" borderId="34" xfId="0" applyFont="1" applyFill="1" applyBorder="1" applyAlignment="1">
      <alignment vertical="top"/>
    </xf>
    <xf numFmtId="0" fontId="0" fillId="26" borderId="53" xfId="0" applyFont="1" applyFill="1" applyBorder="1" applyAlignment="1">
      <alignment horizontal="center" wrapText="1"/>
    </xf>
    <xf numFmtId="1" fontId="0" fillId="26" borderId="146" xfId="0" applyNumberFormat="1" applyFont="1" applyFill="1" applyBorder="1" applyAlignment="1">
      <alignment horizontal="left" vertical="top" wrapText="1"/>
    </xf>
    <xf numFmtId="0" fontId="0" fillId="26" borderId="3" xfId="0" applyFont="1" applyFill="1" applyBorder="1" applyAlignment="1"/>
    <xf numFmtId="0" fontId="0" fillId="26" borderId="146" xfId="0" applyFont="1" applyFill="1" applyBorder="1" applyAlignment="1"/>
    <xf numFmtId="0" fontId="0" fillId="26" borderId="53" xfId="0" applyFont="1" applyFill="1" applyBorder="1" applyAlignment="1"/>
    <xf numFmtId="0" fontId="0" fillId="26" borderId="136" xfId="0" applyFont="1" applyFill="1" applyBorder="1" applyAlignment="1"/>
    <xf numFmtId="0" fontId="0" fillId="26" borderId="37" xfId="0" applyFont="1" applyFill="1" applyBorder="1" applyAlignment="1">
      <alignment wrapText="1"/>
    </xf>
    <xf numFmtId="0" fontId="0" fillId="26" borderId="151" xfId="0" applyFont="1" applyFill="1" applyBorder="1"/>
    <xf numFmtId="0" fontId="0" fillId="0" borderId="43" xfId="0" applyFont="1" applyBorder="1"/>
    <xf numFmtId="0" fontId="0" fillId="0" borderId="84" xfId="0" applyFont="1" applyBorder="1" applyAlignment="1">
      <alignment wrapText="1"/>
    </xf>
    <xf numFmtId="0" fontId="0" fillId="0" borderId="99" xfId="0" applyFont="1" applyBorder="1" applyAlignment="1">
      <alignment wrapText="1"/>
    </xf>
    <xf numFmtId="1" fontId="0" fillId="0" borderId="99" xfId="0" applyNumberFormat="1" applyFont="1" applyBorder="1" applyAlignment="1">
      <alignment wrapText="1"/>
    </xf>
    <xf numFmtId="0" fontId="0" fillId="0" borderId="148" xfId="0" applyFont="1" applyBorder="1" applyAlignment="1">
      <alignment wrapText="1"/>
    </xf>
    <xf numFmtId="0" fontId="0" fillId="0" borderId="148" xfId="0" applyFont="1" applyBorder="1"/>
    <xf numFmtId="0" fontId="0" fillId="0" borderId="88" xfId="0" applyFont="1" applyBorder="1" applyAlignment="1">
      <alignment wrapText="1"/>
    </xf>
    <xf numFmtId="0" fontId="0" fillId="0" borderId="164" xfId="0" applyFont="1" applyBorder="1" applyAlignment="1">
      <alignment wrapText="1"/>
    </xf>
    <xf numFmtId="0" fontId="0" fillId="0" borderId="4" xfId="0" applyFont="1" applyBorder="1" applyAlignment="1">
      <alignment wrapText="1"/>
    </xf>
    <xf numFmtId="0" fontId="0" fillId="23" borderId="40" xfId="16" applyFont="1" applyBorder="1" applyAlignment="1">
      <alignment vertical="center"/>
    </xf>
    <xf numFmtId="0" fontId="0" fillId="23" borderId="128" xfId="16" applyFont="1" applyBorder="1" applyAlignment="1">
      <alignment vertical="center"/>
    </xf>
    <xf numFmtId="0" fontId="0" fillId="0" borderId="39" xfId="0" applyFont="1" applyBorder="1" applyAlignment="1">
      <alignment horizontal="center" vertical="center"/>
    </xf>
    <xf numFmtId="0" fontId="0" fillId="21" borderId="147" xfId="0" applyFont="1" applyFill="1" applyBorder="1"/>
    <xf numFmtId="0" fontId="0" fillId="17" borderId="137" xfId="0" applyFont="1" applyFill="1" applyBorder="1"/>
    <xf numFmtId="0" fontId="0" fillId="17" borderId="145" xfId="11" applyFont="1" applyFill="1" applyBorder="1"/>
    <xf numFmtId="0" fontId="0" fillId="17" borderId="101" xfId="11" applyNumberFormat="1" applyFont="1" applyFill="1" applyBorder="1"/>
    <xf numFmtId="1" fontId="0" fillId="17" borderId="145" xfId="11" applyNumberFormat="1" applyFont="1" applyFill="1" applyBorder="1"/>
    <xf numFmtId="1" fontId="0" fillId="17" borderId="23" xfId="11" applyNumberFormat="1" applyFont="1" applyFill="1" applyBorder="1"/>
    <xf numFmtId="0" fontId="0" fillId="17" borderId="23" xfId="11" applyFont="1" applyFill="1" applyBorder="1"/>
    <xf numFmtId="0" fontId="0" fillId="17" borderId="101" xfId="11" applyFont="1" applyFill="1" applyBorder="1"/>
    <xf numFmtId="2" fontId="0" fillId="17" borderId="145" xfId="11" applyNumberFormat="1" applyFont="1" applyFill="1" applyBorder="1"/>
    <xf numFmtId="165" fontId="0" fillId="17" borderId="145" xfId="11" applyNumberFormat="1" applyFont="1" applyFill="1" applyBorder="1"/>
    <xf numFmtId="169" fontId="0" fillId="17" borderId="145" xfId="0" applyNumberFormat="1" applyFont="1" applyFill="1" applyBorder="1"/>
    <xf numFmtId="0" fontId="0" fillId="17" borderId="65" xfId="11" applyFont="1" applyFill="1" applyBorder="1"/>
    <xf numFmtId="1" fontId="0" fillId="17" borderId="159" xfId="11" applyNumberFormat="1" applyFont="1" applyFill="1" applyBorder="1"/>
    <xf numFmtId="9" fontId="0" fillId="17" borderId="137" xfId="11" applyNumberFormat="1" applyFont="1" applyFill="1" applyBorder="1"/>
    <xf numFmtId="9" fontId="0" fillId="17" borderId="145" xfId="11" applyNumberFormat="1" applyFont="1" applyFill="1" applyBorder="1"/>
    <xf numFmtId="9" fontId="17" fillId="23" borderId="149" xfId="16" applyNumberFormat="1" applyFont="1" applyBorder="1"/>
    <xf numFmtId="0" fontId="0" fillId="22" borderId="147" xfId="0" applyFont="1" applyFill="1" applyBorder="1"/>
    <xf numFmtId="0" fontId="0" fillId="17" borderId="145" xfId="11" applyNumberFormat="1" applyFont="1" applyFill="1" applyBorder="1"/>
    <xf numFmtId="1" fontId="0" fillId="17" borderId="53" xfId="11" applyNumberFormat="1" applyFont="1" applyFill="1" applyBorder="1"/>
    <xf numFmtId="0" fontId="0" fillId="17" borderId="53" xfId="11" applyFont="1" applyFill="1" applyBorder="1"/>
    <xf numFmtId="3" fontId="0" fillId="17" borderId="145" xfId="11" applyNumberFormat="1" applyFont="1" applyFill="1" applyBorder="1"/>
    <xf numFmtId="0" fontId="0" fillId="17" borderId="149" xfId="11" applyFont="1" applyFill="1" applyBorder="1"/>
    <xf numFmtId="0" fontId="0" fillId="17" borderId="163" xfId="11" applyFont="1" applyFill="1" applyBorder="1"/>
    <xf numFmtId="0" fontId="0" fillId="6" borderId="145" xfId="11" applyFont="1" applyBorder="1"/>
    <xf numFmtId="0" fontId="0" fillId="6" borderId="53" xfId="11" applyFont="1" applyBorder="1"/>
    <xf numFmtId="2" fontId="0" fillId="6" borderId="145" xfId="11" applyNumberFormat="1" applyFont="1" applyBorder="1"/>
    <xf numFmtId="165" fontId="0" fillId="6" borderId="53" xfId="11" applyNumberFormat="1" applyFont="1" applyFill="1" applyBorder="1"/>
    <xf numFmtId="2" fontId="0" fillId="6" borderId="53" xfId="11" applyNumberFormat="1" applyFont="1" applyBorder="1"/>
    <xf numFmtId="0" fontId="0" fillId="6" borderId="144" xfId="11" applyFont="1" applyBorder="1"/>
    <xf numFmtId="1" fontId="0" fillId="17" borderId="144" xfId="11" applyNumberFormat="1" applyFont="1" applyFill="1" applyBorder="1"/>
    <xf numFmtId="0" fontId="0" fillId="17" borderId="144" xfId="11" applyFont="1" applyFill="1" applyBorder="1"/>
    <xf numFmtId="0" fontId="0" fillId="6" borderId="88" xfId="11" applyFont="1" applyBorder="1"/>
    <xf numFmtId="169" fontId="0" fillId="17" borderId="144" xfId="0" applyNumberFormat="1" applyFont="1" applyFill="1" applyBorder="1"/>
    <xf numFmtId="9" fontId="17" fillId="23" borderId="57" xfId="16" applyNumberFormat="1" applyFont="1" applyBorder="1"/>
    <xf numFmtId="0" fontId="17" fillId="26" borderId="159" xfId="0" applyFont="1" applyFill="1" applyBorder="1"/>
    <xf numFmtId="0" fontId="62" fillId="26" borderId="0" xfId="0" applyFont="1" applyFill="1" applyAlignment="1"/>
    <xf numFmtId="0" fontId="0" fillId="26" borderId="0" xfId="0" quotePrefix="1" applyFill="1" applyAlignment="1">
      <alignment horizontal="left" vertical="top"/>
    </xf>
    <xf numFmtId="0" fontId="18" fillId="3" borderId="0" xfId="0" applyFont="1" applyFill="1"/>
    <xf numFmtId="169" fontId="44" fillId="8" borderId="156" xfId="0" applyNumberFormat="1" applyFont="1" applyFill="1" applyBorder="1"/>
    <xf numFmtId="0" fontId="0" fillId="0" borderId="55" xfId="0" applyFont="1" applyBorder="1" applyAlignment="1">
      <alignment wrapText="1"/>
    </xf>
    <xf numFmtId="169" fontId="0" fillId="17" borderId="4" xfId="0" applyNumberFormat="1" applyFont="1" applyFill="1" applyBorder="1"/>
    <xf numFmtId="169" fontId="0" fillId="17" borderId="3" xfId="0" applyNumberFormat="1" applyFont="1" applyFill="1" applyBorder="1"/>
    <xf numFmtId="169" fontId="0" fillId="17" borderId="112" xfId="0" applyNumberFormat="1" applyFont="1" applyFill="1" applyBorder="1"/>
    <xf numFmtId="165" fontId="1" fillId="23" borderId="4" xfId="16" applyNumberFormat="1" applyFont="1" applyFill="1" applyBorder="1"/>
    <xf numFmtId="165" fontId="1" fillId="23" borderId="131" xfId="16" applyNumberFormat="1" applyFont="1" applyFill="1" applyBorder="1"/>
    <xf numFmtId="165" fontId="1" fillId="23" borderId="132" xfId="16" applyNumberFormat="1" applyFont="1" applyFill="1" applyBorder="1"/>
    <xf numFmtId="165" fontId="1" fillId="23" borderId="133" xfId="16" applyNumberFormat="1" applyFont="1" applyFill="1" applyBorder="1"/>
    <xf numFmtId="0" fontId="0" fillId="26" borderId="0" xfId="0" quotePrefix="1" applyFill="1" applyAlignment="1">
      <alignment horizontal="left" vertical="top" wrapText="1"/>
    </xf>
    <xf numFmtId="0" fontId="75" fillId="26" borderId="0" xfId="0" applyFont="1" applyFill="1"/>
    <xf numFmtId="164" fontId="0" fillId="26" borderId="0" xfId="0" applyNumberFormat="1" applyFont="1" applyFill="1"/>
    <xf numFmtId="164" fontId="0" fillId="26" borderId="0" xfId="0" applyNumberFormat="1" applyFont="1" applyFill="1" applyBorder="1"/>
    <xf numFmtId="164" fontId="0" fillId="26" borderId="0" xfId="0" applyNumberFormat="1" applyFill="1"/>
    <xf numFmtId="0" fontId="0" fillId="26" borderId="0" xfId="0" quotePrefix="1" applyFill="1" applyAlignment="1"/>
    <xf numFmtId="0" fontId="0" fillId="26" borderId="0" xfId="0" applyFill="1" applyBorder="1" applyProtection="1"/>
    <xf numFmtId="0" fontId="0" fillId="26" borderId="0" xfId="0" applyFill="1" applyProtection="1"/>
    <xf numFmtId="0" fontId="62" fillId="32" borderId="0" xfId="0" applyFont="1" applyFill="1" applyBorder="1" applyProtection="1"/>
    <xf numFmtId="0" fontId="54" fillId="0" borderId="83" xfId="2" applyFont="1" applyBorder="1" applyAlignment="1" applyProtection="1">
      <alignment vertical="center" wrapText="1"/>
    </xf>
    <xf numFmtId="9" fontId="0" fillId="26" borderId="0" xfId="0" applyNumberFormat="1" applyFill="1" applyBorder="1" applyProtection="1"/>
    <xf numFmtId="0" fontId="18" fillId="26" borderId="0" xfId="0" applyFont="1" applyFill="1" applyProtection="1"/>
    <xf numFmtId="0" fontId="0" fillId="0" borderId="65" xfId="0" applyBorder="1" applyProtection="1"/>
    <xf numFmtId="2" fontId="49" fillId="23" borderId="61" xfId="61" applyFont="1" applyBorder="1" applyAlignment="1" applyProtection="1">
      <alignment horizontal="center"/>
    </xf>
    <xf numFmtId="2" fontId="49" fillId="23" borderId="140" xfId="61" applyFont="1" applyBorder="1" applyAlignment="1" applyProtection="1">
      <alignment horizontal="center"/>
    </xf>
    <xf numFmtId="2" fontId="48" fillId="26" borderId="0" xfId="61" applyFill="1" applyBorder="1" applyAlignment="1" applyProtection="1">
      <alignment horizontal="center"/>
    </xf>
    <xf numFmtId="0" fontId="5" fillId="3" borderId="165" xfId="0" applyFont="1" applyFill="1" applyBorder="1" applyAlignment="1" applyProtection="1">
      <alignment vertical="center"/>
    </xf>
    <xf numFmtId="0" fontId="5" fillId="3" borderId="3" xfId="0" applyFont="1" applyFill="1" applyBorder="1" applyAlignment="1" applyProtection="1">
      <alignment vertical="center"/>
    </xf>
    <xf numFmtId="0" fontId="5" fillId="3" borderId="181" xfId="0" applyFont="1" applyFill="1" applyBorder="1" applyAlignment="1" applyProtection="1">
      <alignment vertical="center"/>
    </xf>
    <xf numFmtId="0" fontId="0" fillId="33" borderId="178" xfId="0" applyFill="1" applyBorder="1" applyAlignment="1" applyProtection="1">
      <alignment wrapText="1"/>
    </xf>
    <xf numFmtId="2" fontId="57" fillId="23" borderId="180" xfId="61" applyFont="1" applyBorder="1" applyAlignment="1" applyProtection="1">
      <alignment horizontal="right" vertical="center"/>
    </xf>
    <xf numFmtId="2" fontId="48" fillId="26" borderId="0" xfId="61" applyFill="1" applyBorder="1" applyAlignment="1" applyProtection="1">
      <alignment horizontal="center" vertical="center"/>
    </xf>
    <xf numFmtId="0" fontId="0" fillId="26" borderId="119" xfId="0" applyFill="1" applyBorder="1" applyProtection="1"/>
    <xf numFmtId="0" fontId="0" fillId="26" borderId="75" xfId="0" applyFill="1" applyBorder="1" applyProtection="1"/>
    <xf numFmtId="0" fontId="0" fillId="17" borderId="30" xfId="0" applyFill="1" applyBorder="1" applyAlignment="1" applyProtection="1"/>
    <xf numFmtId="43" fontId="0" fillId="17" borderId="30" xfId="64" applyFont="1" applyFill="1" applyBorder="1" applyAlignment="1" applyProtection="1"/>
    <xf numFmtId="0" fontId="0" fillId="26" borderId="0" xfId="1" applyFont="1" applyFill="1" applyBorder="1" applyProtection="1"/>
    <xf numFmtId="9" fontId="57" fillId="23" borderId="180" xfId="17" applyFont="1" applyFill="1" applyBorder="1" applyAlignment="1" applyProtection="1">
      <alignment horizontal="right" vertical="center"/>
    </xf>
    <xf numFmtId="9" fontId="47" fillId="17" borderId="180" xfId="39" applyNumberFormat="1" applyFont="1" applyFill="1" applyBorder="1" applyAlignment="1" applyProtection="1">
      <alignment vertical="center"/>
    </xf>
    <xf numFmtId="9" fontId="57" fillId="23" borderId="177" xfId="17" applyFont="1" applyFill="1" applyBorder="1" applyProtection="1"/>
    <xf numFmtId="0" fontId="42" fillId="26" borderId="0" xfId="1" applyFont="1" applyFill="1" applyBorder="1" applyProtection="1"/>
    <xf numFmtId="1" fontId="47" fillId="17" borderId="180" xfId="39" applyNumberFormat="1" applyFont="1" applyFill="1" applyBorder="1" applyAlignment="1" applyProtection="1">
      <alignment vertical="center"/>
    </xf>
    <xf numFmtId="2" fontId="57" fillId="23" borderId="177" xfId="17" applyNumberFormat="1" applyFont="1" applyFill="1" applyBorder="1" applyProtection="1"/>
    <xf numFmtId="0" fontId="42" fillId="26" borderId="0" xfId="0" applyFont="1" applyFill="1" applyBorder="1" applyProtection="1"/>
    <xf numFmtId="0" fontId="0" fillId="26" borderId="0" xfId="0" applyFill="1" applyBorder="1" applyAlignment="1" applyProtection="1"/>
    <xf numFmtId="10" fontId="13" fillId="26" borderId="0" xfId="16" applyNumberFormat="1" applyFill="1" applyBorder="1" applyAlignment="1" applyProtection="1">
      <alignment wrapText="1"/>
    </xf>
    <xf numFmtId="1" fontId="56" fillId="17" borderId="180" xfId="39" applyNumberFormat="1" applyFont="1" applyFill="1" applyBorder="1" applyAlignment="1" applyProtection="1">
      <alignment vertical="center"/>
    </xf>
    <xf numFmtId="11" fontId="56" fillId="17" borderId="180" xfId="39" applyNumberFormat="1" applyFont="1" applyFill="1" applyBorder="1" applyAlignment="1" applyProtection="1">
      <alignment vertical="center"/>
    </xf>
    <xf numFmtId="11" fontId="57" fillId="23" borderId="177" xfId="17" applyNumberFormat="1" applyFont="1" applyFill="1" applyBorder="1" applyProtection="1"/>
    <xf numFmtId="0" fontId="0" fillId="0" borderId="176" xfId="0" applyBorder="1" applyAlignment="1" applyProtection="1">
      <alignment wrapText="1"/>
    </xf>
    <xf numFmtId="172" fontId="46" fillId="23" borderId="177" xfId="16" applyNumberFormat="1" applyFont="1" applyBorder="1" applyProtection="1"/>
    <xf numFmtId="9" fontId="0" fillId="26" borderId="165" xfId="0" applyNumberFormat="1" applyFill="1" applyBorder="1" applyProtection="1"/>
    <xf numFmtId="0" fontId="0" fillId="26" borderId="157" xfId="0" applyFill="1" applyBorder="1" applyProtection="1"/>
    <xf numFmtId="0" fontId="0" fillId="33" borderId="182" xfId="0" applyFill="1" applyBorder="1" applyAlignment="1" applyProtection="1">
      <alignment wrapText="1"/>
    </xf>
    <xf numFmtId="11" fontId="56" fillId="17" borderId="183" xfId="39" applyNumberFormat="1" applyFont="1" applyFill="1" applyBorder="1" applyAlignment="1" applyProtection="1">
      <alignment vertical="center"/>
    </xf>
    <xf numFmtId="0" fontId="0" fillId="0" borderId="176" xfId="0" applyFill="1" applyBorder="1" applyAlignment="1" applyProtection="1">
      <alignment wrapText="1"/>
    </xf>
    <xf numFmtId="43" fontId="0" fillId="26" borderId="78" xfId="0" applyNumberFormat="1" applyFill="1" applyBorder="1" applyProtection="1"/>
    <xf numFmtId="0" fontId="0" fillId="26" borderId="158" xfId="0" applyFill="1" applyBorder="1" applyProtection="1"/>
    <xf numFmtId="0" fontId="0" fillId="33" borderId="187" xfId="0" applyFill="1" applyBorder="1" applyAlignment="1" applyProtection="1">
      <alignment wrapText="1"/>
    </xf>
    <xf numFmtId="9" fontId="17" fillId="17" borderId="187" xfId="16" applyNumberFormat="1" applyFont="1" applyFill="1" applyBorder="1" applyAlignment="1" applyProtection="1">
      <alignment vertical="center"/>
    </xf>
    <xf numFmtId="9" fontId="13" fillId="17" borderId="106" xfId="16" applyNumberFormat="1" applyFont="1" applyFill="1" applyBorder="1" applyAlignment="1" applyProtection="1">
      <alignment vertical="center"/>
    </xf>
    <xf numFmtId="0" fontId="0" fillId="0" borderId="176" xfId="0" applyBorder="1" applyProtection="1"/>
    <xf numFmtId="0" fontId="0" fillId="0" borderId="177" xfId="0" applyFont="1" applyBorder="1" applyProtection="1"/>
    <xf numFmtId="0" fontId="0" fillId="0" borderId="155" xfId="0" applyBorder="1" applyProtection="1"/>
    <xf numFmtId="0" fontId="0" fillId="0" borderId="145" xfId="0" applyFill="1" applyBorder="1" applyProtection="1"/>
    <xf numFmtId="0" fontId="0" fillId="33" borderId="87" xfId="0" applyFill="1" applyBorder="1" applyAlignment="1" applyProtection="1">
      <alignment wrapText="1"/>
    </xf>
    <xf numFmtId="9" fontId="56" fillId="17" borderId="87" xfId="39" applyNumberFormat="1" applyFont="1" applyFill="1" applyBorder="1" applyAlignment="1" applyProtection="1">
      <alignment vertical="center"/>
    </xf>
    <xf numFmtId="0" fontId="0" fillId="0" borderId="176" xfId="0" applyFill="1" applyBorder="1" applyProtection="1"/>
    <xf numFmtId="2" fontId="57" fillId="23" borderId="177" xfId="61" applyNumberFormat="1" applyFont="1" applyBorder="1" applyProtection="1"/>
    <xf numFmtId="2" fontId="46" fillId="23" borderId="174" xfId="16" applyNumberFormat="1" applyFont="1" applyBorder="1" applyProtection="1"/>
    <xf numFmtId="2" fontId="57" fillId="23" borderId="170" xfId="61" applyFont="1" applyBorder="1" applyProtection="1"/>
    <xf numFmtId="0" fontId="0" fillId="33" borderId="100" xfId="0" applyFill="1" applyBorder="1" applyAlignment="1" applyProtection="1">
      <alignment wrapText="1"/>
    </xf>
    <xf numFmtId="9" fontId="56" fillId="17" borderId="185" xfId="39" applyNumberFormat="1" applyFont="1" applyFill="1" applyBorder="1" applyAlignment="1" applyProtection="1">
      <alignment vertical="center"/>
    </xf>
    <xf numFmtId="2" fontId="57" fillId="23" borderId="177" xfId="61" applyFont="1" applyBorder="1" applyProtection="1"/>
    <xf numFmtId="2" fontId="46" fillId="23" borderId="168" xfId="16" applyNumberFormat="1" applyFont="1" applyBorder="1" applyProtection="1"/>
    <xf numFmtId="171" fontId="46" fillId="26" borderId="167" xfId="16" applyNumberFormat="1" applyFont="1" applyFill="1" applyBorder="1" applyProtection="1"/>
    <xf numFmtId="0" fontId="56" fillId="17" borderId="180" xfId="39" applyFont="1" applyFill="1" applyBorder="1" applyAlignment="1" applyProtection="1">
      <alignment vertical="center"/>
    </xf>
    <xf numFmtId="2" fontId="46" fillId="23" borderId="169" xfId="16" applyNumberFormat="1" applyFont="1" applyBorder="1" applyProtection="1"/>
    <xf numFmtId="2" fontId="46" fillId="26" borderId="101" xfId="16" applyNumberFormat="1" applyFont="1" applyFill="1" applyBorder="1" applyProtection="1"/>
    <xf numFmtId="1" fontId="68" fillId="34" borderId="0" xfId="0" applyNumberFormat="1" applyFont="1" applyFill="1" applyBorder="1" applyProtection="1"/>
    <xf numFmtId="0" fontId="70" fillId="26" borderId="0" xfId="0" applyFont="1" applyFill="1" applyBorder="1" applyProtection="1"/>
    <xf numFmtId="0" fontId="18" fillId="26" borderId="0" xfId="0" applyFont="1" applyFill="1" applyBorder="1" applyProtection="1"/>
    <xf numFmtId="9" fontId="56" fillId="17" borderId="180" xfId="39" applyNumberFormat="1" applyFont="1" applyFill="1" applyBorder="1" applyAlignment="1" applyProtection="1">
      <alignment vertical="center"/>
    </xf>
    <xf numFmtId="175" fontId="13" fillId="26" borderId="156" xfId="16" applyNumberFormat="1" applyFill="1" applyBorder="1" applyProtection="1"/>
    <xf numFmtId="2" fontId="13" fillId="26" borderId="155" xfId="16" applyNumberFormat="1" applyFill="1" applyBorder="1" applyProtection="1"/>
    <xf numFmtId="9" fontId="68" fillId="35" borderId="0" xfId="0" applyNumberFormat="1" applyFont="1" applyFill="1" applyBorder="1" applyProtection="1"/>
    <xf numFmtId="0" fontId="69" fillId="26" borderId="0" xfId="0" applyFont="1" applyFill="1" applyBorder="1" applyProtection="1"/>
    <xf numFmtId="1" fontId="68" fillId="26" borderId="0" xfId="0" applyNumberFormat="1" applyFont="1" applyFill="1" applyBorder="1" applyProtection="1"/>
    <xf numFmtId="2" fontId="56" fillId="17" borderId="180" xfId="39" applyNumberFormat="1" applyFont="1" applyFill="1" applyBorder="1" applyAlignment="1" applyProtection="1">
      <alignment vertical="center"/>
    </xf>
    <xf numFmtId="171" fontId="68" fillId="26" borderId="0" xfId="0" applyNumberFormat="1" applyFont="1" applyFill="1" applyBorder="1" applyProtection="1"/>
    <xf numFmtId="0" fontId="0" fillId="26" borderId="0" xfId="0" applyFill="1" applyBorder="1" applyAlignment="1" applyProtection="1">
      <alignment wrapText="1"/>
    </xf>
    <xf numFmtId="2" fontId="12" fillId="26" borderId="0" xfId="11" applyNumberFormat="1" applyFill="1" applyBorder="1" applyProtection="1"/>
    <xf numFmtId="0" fontId="12" fillId="26" borderId="0" xfId="11" applyFill="1" applyBorder="1" applyProtection="1"/>
    <xf numFmtId="0" fontId="1" fillId="17" borderId="180" xfId="0" applyFont="1" applyFill="1" applyBorder="1" applyAlignment="1" applyProtection="1">
      <alignment wrapText="1"/>
    </xf>
    <xf numFmtId="0" fontId="51" fillId="26" borderId="0" xfId="63" applyFill="1" applyBorder="1" applyAlignment="1" applyProtection="1">
      <alignment vertical="center"/>
    </xf>
    <xf numFmtId="171" fontId="13" fillId="26" borderId="0" xfId="16" applyNumberFormat="1" applyFill="1" applyBorder="1" applyProtection="1"/>
    <xf numFmtId="175" fontId="0" fillId="26" borderId="0" xfId="0" applyNumberFormat="1" applyFill="1" applyBorder="1" applyProtection="1"/>
    <xf numFmtId="177" fontId="0" fillId="26" borderId="0" xfId="0" applyNumberFormat="1" applyFill="1" applyBorder="1" applyProtection="1"/>
    <xf numFmtId="177" fontId="13" fillId="26" borderId="0" xfId="16" applyNumberFormat="1" applyFill="1" applyBorder="1" applyProtection="1"/>
    <xf numFmtId="0" fontId="0" fillId="33" borderId="178" xfId="0" applyFill="1" applyBorder="1" applyAlignment="1" applyProtection="1"/>
    <xf numFmtId="9" fontId="57" fillId="17" borderId="180" xfId="17" applyFont="1" applyFill="1" applyBorder="1" applyProtection="1"/>
    <xf numFmtId="178" fontId="0" fillId="26" borderId="0" xfId="0" applyNumberFormat="1" applyFill="1" applyBorder="1" applyProtection="1"/>
    <xf numFmtId="176" fontId="0" fillId="26" borderId="0" xfId="0" applyNumberFormat="1" applyFill="1" applyBorder="1" applyProtection="1"/>
    <xf numFmtId="9" fontId="57" fillId="17" borderId="180" xfId="17" applyNumberFormat="1" applyFont="1" applyFill="1" applyBorder="1" applyProtection="1"/>
    <xf numFmtId="2" fontId="13" fillId="26" borderId="0" xfId="16" applyNumberFormat="1" applyFill="1" applyBorder="1" applyProtection="1"/>
    <xf numFmtId="0" fontId="0" fillId="26" borderId="0" xfId="0" applyFont="1" applyFill="1" applyBorder="1" applyProtection="1"/>
    <xf numFmtId="172" fontId="17" fillId="26" borderId="0" xfId="59" applyNumberFormat="1" applyFont="1" applyFill="1" applyBorder="1" applyProtection="1"/>
    <xf numFmtId="0" fontId="20" fillId="33" borderId="178" xfId="0" applyFont="1" applyFill="1" applyBorder="1" applyAlignment="1" applyProtection="1"/>
    <xf numFmtId="172" fontId="13" fillId="26" borderId="0" xfId="16" applyNumberFormat="1" applyFill="1" applyBorder="1" applyProtection="1"/>
    <xf numFmtId="0" fontId="17" fillId="26" borderId="56" xfId="0" applyFont="1" applyFill="1" applyBorder="1" applyAlignment="1" applyProtection="1">
      <alignment horizontal="center" vertical="center" wrapText="1"/>
    </xf>
    <xf numFmtId="0" fontId="0" fillId="33" borderId="57" xfId="0" applyFill="1" applyBorder="1" applyAlignment="1" applyProtection="1"/>
    <xf numFmtId="9" fontId="1" fillId="17" borderId="87" xfId="17" applyFont="1" applyFill="1" applyBorder="1" applyProtection="1"/>
    <xf numFmtId="0" fontId="17" fillId="26" borderId="177" xfId="0" applyFont="1" applyFill="1" applyBorder="1" applyAlignment="1" applyProtection="1">
      <alignment horizontal="center" vertical="center" wrapText="1"/>
    </xf>
    <xf numFmtId="0" fontId="0" fillId="26" borderId="0" xfId="0" applyFont="1" applyFill="1" applyProtection="1"/>
    <xf numFmtId="172" fontId="44" fillId="26" borderId="0" xfId="59" applyNumberFormat="1" applyFont="1" applyFill="1" applyBorder="1" applyProtection="1"/>
    <xf numFmtId="0" fontId="17" fillId="26" borderId="0" xfId="0" applyFont="1" applyFill="1" applyBorder="1" applyAlignment="1" applyProtection="1">
      <alignment vertical="center" textRotation="90" wrapText="1"/>
    </xf>
    <xf numFmtId="9" fontId="48" fillId="26" borderId="0" xfId="17" applyFont="1" applyFill="1" applyBorder="1" applyProtection="1"/>
    <xf numFmtId="2" fontId="48" fillId="26" borderId="0" xfId="61" applyFill="1" applyBorder="1" applyProtection="1"/>
    <xf numFmtId="0" fontId="0" fillId="32" borderId="0" xfId="0" applyFill="1" applyBorder="1" applyProtection="1"/>
    <xf numFmtId="0" fontId="0" fillId="32" borderId="0" xfId="0" applyFill="1" applyProtection="1"/>
    <xf numFmtId="0" fontId="17" fillId="26" borderId="0" xfId="0" applyFont="1" applyFill="1" applyBorder="1" applyAlignment="1" applyProtection="1">
      <alignment horizontal="center" vertical="center" wrapText="1"/>
    </xf>
    <xf numFmtId="0" fontId="0" fillId="26" borderId="0" xfId="0" applyFill="1" applyAlignment="1" applyProtection="1">
      <alignment horizontal="left" vertical="center"/>
    </xf>
    <xf numFmtId="171" fontId="47" fillId="26" borderId="0" xfId="39" applyNumberFormat="1" applyFill="1" applyBorder="1" applyProtection="1"/>
    <xf numFmtId="0" fontId="0" fillId="0" borderId="54" xfId="0" applyBorder="1" applyProtection="1"/>
    <xf numFmtId="0" fontId="0" fillId="0" borderId="170" xfId="0" applyBorder="1" applyProtection="1"/>
    <xf numFmtId="0" fontId="0" fillId="26" borderId="177" xfId="0" applyFill="1" applyBorder="1" applyAlignment="1" applyProtection="1">
      <alignment horizontal="left" vertical="center" wrapText="1"/>
    </xf>
    <xf numFmtId="0" fontId="0" fillId="26" borderId="0" xfId="1" applyFont="1" applyFill="1" applyBorder="1" applyAlignment="1" applyProtection="1"/>
    <xf numFmtId="171" fontId="13" fillId="24" borderId="177" xfId="16" applyNumberFormat="1" applyFill="1" applyBorder="1" applyProtection="1"/>
    <xf numFmtId="174" fontId="13" fillId="23" borderId="177" xfId="16" applyNumberFormat="1" applyBorder="1" applyProtection="1"/>
    <xf numFmtId="172" fontId="0" fillId="26" borderId="0" xfId="0" applyNumberFormat="1" applyFill="1" applyBorder="1" applyProtection="1"/>
    <xf numFmtId="9" fontId="0" fillId="26" borderId="0" xfId="17" applyFont="1" applyFill="1" applyProtection="1"/>
    <xf numFmtId="172" fontId="0" fillId="26" borderId="0" xfId="0" applyNumberFormat="1" applyFill="1" applyProtection="1"/>
    <xf numFmtId="0" fontId="0" fillId="26" borderId="177" xfId="0" applyFill="1" applyBorder="1" applyProtection="1"/>
    <xf numFmtId="0" fontId="0" fillId="26" borderId="54" xfId="0" applyFill="1" applyBorder="1" applyAlignment="1" applyProtection="1">
      <alignment horizontal="left" vertical="center"/>
    </xf>
    <xf numFmtId="0" fontId="0" fillId="0" borderId="0" xfId="0" applyProtection="1"/>
    <xf numFmtId="0" fontId="17" fillId="26" borderId="158" xfId="0" applyFont="1" applyFill="1" applyBorder="1" applyAlignment="1" applyProtection="1"/>
    <xf numFmtId="0" fontId="0" fillId="26" borderId="101" xfId="0" applyFont="1" applyFill="1" applyBorder="1" applyAlignment="1" applyProtection="1">
      <alignment vertical="center"/>
    </xf>
    <xf numFmtId="0" fontId="0" fillId="26" borderId="134" xfId="0" applyFont="1" applyFill="1" applyBorder="1" applyAlignment="1" applyProtection="1">
      <alignment vertical="center"/>
    </xf>
    <xf numFmtId="0" fontId="0" fillId="26" borderId="134" xfId="0" applyFont="1" applyFill="1" applyBorder="1" applyAlignment="1" applyProtection="1">
      <alignment vertical="center" wrapText="1"/>
    </xf>
    <xf numFmtId="0" fontId="0" fillId="26" borderId="134" xfId="0" applyFont="1" applyFill="1" applyBorder="1" applyProtection="1"/>
    <xf numFmtId="0" fontId="0" fillId="26" borderId="177" xfId="0" applyFont="1" applyFill="1" applyBorder="1" applyProtection="1"/>
    <xf numFmtId="0" fontId="20" fillId="26" borderId="177" xfId="0" applyFont="1" applyFill="1" applyBorder="1" applyProtection="1"/>
    <xf numFmtId="9" fontId="13" fillId="23" borderId="177" xfId="16" applyNumberFormat="1" applyBorder="1" applyProtection="1"/>
    <xf numFmtId="172" fontId="13" fillId="24" borderId="175" xfId="16" applyNumberFormat="1" applyFill="1" applyBorder="1" applyProtection="1"/>
    <xf numFmtId="171" fontId="13" fillId="24" borderId="175" xfId="16" applyNumberFormat="1" applyFill="1" applyBorder="1" applyProtection="1"/>
    <xf numFmtId="0" fontId="55" fillId="25" borderId="85" xfId="62" applyFont="1" applyBorder="1" applyAlignment="1" applyProtection="1">
      <alignment horizontal="center" vertical="center"/>
      <protection locked="0"/>
    </xf>
    <xf numFmtId="2" fontId="48" fillId="30" borderId="179" xfId="61" applyFill="1" applyBorder="1" applyAlignment="1" applyProtection="1">
      <alignment horizontal="center" vertical="center"/>
      <protection locked="0"/>
    </xf>
    <xf numFmtId="9" fontId="48" fillId="30" borderId="179" xfId="61" applyNumberFormat="1" applyFill="1" applyBorder="1" applyAlignment="1" applyProtection="1">
      <alignment horizontal="right" vertical="center"/>
      <protection locked="0"/>
    </xf>
    <xf numFmtId="9" fontId="57" fillId="30" borderId="179" xfId="17" applyFont="1" applyFill="1" applyBorder="1" applyProtection="1">
      <protection locked="0"/>
    </xf>
    <xf numFmtId="1" fontId="57" fillId="30" borderId="179" xfId="17" applyNumberFormat="1" applyFont="1" applyFill="1" applyBorder="1" applyAlignment="1" applyProtection="1">
      <alignment vertical="center"/>
      <protection locked="0"/>
    </xf>
    <xf numFmtId="9" fontId="57" fillId="30" borderId="179" xfId="17" applyFont="1" applyFill="1" applyBorder="1" applyAlignment="1" applyProtection="1">
      <alignment vertical="center"/>
      <protection locked="0"/>
    </xf>
    <xf numFmtId="1" fontId="57" fillId="30" borderId="179" xfId="17" applyNumberFormat="1" applyFont="1" applyFill="1" applyBorder="1" applyProtection="1">
      <protection locked="0"/>
    </xf>
    <xf numFmtId="11" fontId="57" fillId="30" borderId="179" xfId="17" applyNumberFormat="1" applyFont="1" applyFill="1" applyBorder="1" applyProtection="1">
      <protection locked="0"/>
    </xf>
    <xf numFmtId="11" fontId="57" fillId="30" borderId="184" xfId="17" applyNumberFormat="1" applyFont="1" applyFill="1" applyBorder="1" applyProtection="1">
      <protection locked="0"/>
    </xf>
    <xf numFmtId="9" fontId="57" fillId="30" borderId="38" xfId="17" applyFont="1" applyFill="1" applyBorder="1" applyProtection="1">
      <protection locked="0"/>
    </xf>
    <xf numFmtId="9" fontId="57" fillId="30" borderId="186" xfId="17" applyFont="1" applyFill="1" applyBorder="1" applyProtection="1">
      <protection locked="0"/>
    </xf>
    <xf numFmtId="2" fontId="57" fillId="30" borderId="179" xfId="17" applyNumberFormat="1" applyFont="1" applyFill="1" applyBorder="1" applyProtection="1">
      <protection locked="0"/>
    </xf>
    <xf numFmtId="175" fontId="57" fillId="30" borderId="179" xfId="17" applyNumberFormat="1" applyFont="1" applyFill="1" applyBorder="1" applyProtection="1">
      <protection locked="0"/>
    </xf>
    <xf numFmtId="9" fontId="57" fillId="30" borderId="151" xfId="17" applyFont="1" applyFill="1" applyBorder="1" applyProtection="1">
      <protection locked="0"/>
    </xf>
    <xf numFmtId="171" fontId="47" fillId="30" borderId="177" xfId="39" applyNumberFormat="1" applyFill="1" applyBorder="1" applyProtection="1">
      <protection locked="0"/>
    </xf>
    <xf numFmtId="1" fontId="47" fillId="30" borderId="177" xfId="39" applyNumberFormat="1" applyFill="1" applyBorder="1" applyProtection="1">
      <protection locked="0"/>
    </xf>
    <xf numFmtId="1" fontId="60" fillId="30" borderId="177" xfId="39" applyNumberFormat="1" applyFont="1" applyFill="1" applyBorder="1" applyProtection="1">
      <protection locked="0"/>
    </xf>
    <xf numFmtId="9" fontId="47" fillId="30" borderId="177" xfId="39" applyNumberFormat="1" applyFill="1" applyBorder="1" applyProtection="1">
      <protection locked="0"/>
    </xf>
    <xf numFmtId="0" fontId="43" fillId="32" borderId="0" xfId="1" applyFont="1" applyFill="1" applyBorder="1" applyAlignment="1" applyProtection="1">
      <alignment vertical="center"/>
    </xf>
    <xf numFmtId="0" fontId="43" fillId="26" borderId="0" xfId="1" applyFont="1" applyFill="1" applyBorder="1" applyAlignment="1" applyProtection="1">
      <alignment horizontal="left" vertical="center"/>
    </xf>
    <xf numFmtId="0" fontId="62" fillId="17" borderId="0" xfId="0" applyFont="1" applyFill="1" applyBorder="1" applyProtection="1"/>
    <xf numFmtId="0" fontId="0" fillId="17" borderId="0" xfId="0" applyFill="1" applyProtection="1"/>
    <xf numFmtId="0" fontId="17" fillId="17" borderId="0" xfId="0" applyFont="1" applyFill="1" applyProtection="1"/>
    <xf numFmtId="0" fontId="17" fillId="26" borderId="0" xfId="0" applyFont="1" applyFill="1" applyProtection="1"/>
    <xf numFmtId="0" fontId="20" fillId="26" borderId="0" xfId="0" applyFont="1" applyFill="1" applyProtection="1"/>
    <xf numFmtId="0" fontId="17" fillId="3" borderId="0" xfId="0" applyFont="1" applyFill="1" applyProtection="1"/>
    <xf numFmtId="0" fontId="0" fillId="3" borderId="0" xfId="0" applyFill="1" applyProtection="1"/>
    <xf numFmtId="0" fontId="17" fillId="3" borderId="0" xfId="0" applyFont="1" applyFill="1" applyBorder="1" applyProtection="1"/>
    <xf numFmtId="0" fontId="17" fillId="26" borderId="0" xfId="0" applyFont="1" applyFill="1" applyBorder="1" applyProtection="1"/>
    <xf numFmtId="169" fontId="0" fillId="26" borderId="0" xfId="0" applyNumberFormat="1" applyFill="1" applyBorder="1" applyProtection="1"/>
    <xf numFmtId="0" fontId="17" fillId="26" borderId="0" xfId="0" applyFont="1" applyFill="1" applyBorder="1" applyAlignment="1" applyProtection="1">
      <alignment horizontal="left" vertical="top" wrapText="1"/>
    </xf>
    <xf numFmtId="0" fontId="44" fillId="26" borderId="0" xfId="0" applyFont="1" applyFill="1" applyBorder="1" applyAlignment="1" applyProtection="1">
      <alignment horizontal="left" vertical="top"/>
    </xf>
    <xf numFmtId="9" fontId="0" fillId="17" borderId="145" xfId="0" applyNumberFormat="1" applyFill="1" applyBorder="1" applyProtection="1"/>
    <xf numFmtId="0" fontId="18" fillId="26" borderId="0" xfId="0" applyFont="1" applyFill="1" applyBorder="1" applyAlignment="1" applyProtection="1">
      <alignment horizontal="left" vertical="top"/>
    </xf>
    <xf numFmtId="0" fontId="17" fillId="26" borderId="0" xfId="0" applyFont="1" applyFill="1" applyBorder="1" applyAlignment="1" applyProtection="1">
      <alignment wrapText="1"/>
    </xf>
    <xf numFmtId="2" fontId="20" fillId="17" borderId="145" xfId="11" applyNumberFormat="1" applyFont="1" applyFill="1" applyBorder="1" applyAlignment="1" applyProtection="1">
      <alignment vertical="top"/>
    </xf>
    <xf numFmtId="0" fontId="20" fillId="26" borderId="0" xfId="0" applyFont="1" applyFill="1" applyBorder="1" applyAlignment="1" applyProtection="1">
      <alignment vertical="top"/>
    </xf>
    <xf numFmtId="0" fontId="17" fillId="26" borderId="0" xfId="0" applyFont="1" applyFill="1" applyAlignment="1" applyProtection="1">
      <alignment horizontal="left" vertical="top"/>
    </xf>
    <xf numFmtId="0" fontId="0" fillId="26" borderId="0" xfId="0" applyFill="1" applyAlignment="1" applyProtection="1">
      <alignment horizontal="left" vertical="top" wrapText="1"/>
    </xf>
    <xf numFmtId="0" fontId="0" fillId="26" borderId="0" xfId="0" applyFill="1" applyBorder="1" applyAlignment="1" applyProtection="1">
      <alignment horizontal="left" vertical="top" wrapText="1"/>
    </xf>
    <xf numFmtId="0" fontId="0" fillId="26" borderId="0" xfId="0" applyFill="1" applyBorder="1" applyAlignment="1" applyProtection="1">
      <alignment horizontal="left" vertical="top"/>
    </xf>
    <xf numFmtId="0" fontId="17" fillId="26" borderId="0" xfId="0" applyFont="1" applyFill="1" applyAlignment="1" applyProtection="1">
      <alignment vertical="top"/>
    </xf>
    <xf numFmtId="0" fontId="20" fillId="26" borderId="0" xfId="11" applyFont="1" applyFill="1" applyBorder="1" applyAlignment="1" applyProtection="1">
      <alignment vertical="top"/>
    </xf>
    <xf numFmtId="0" fontId="0" fillId="26" borderId="0" xfId="0" applyFill="1" applyBorder="1" applyAlignment="1" applyProtection="1">
      <alignment vertical="top"/>
    </xf>
    <xf numFmtId="0" fontId="0" fillId="26" borderId="0" xfId="0" applyFill="1" applyAlignment="1" applyProtection="1">
      <alignment horizontal="right" vertical="top"/>
    </xf>
    <xf numFmtId="0" fontId="18" fillId="26" borderId="0" xfId="0" applyFont="1" applyFill="1" applyBorder="1" applyAlignment="1" applyProtection="1">
      <alignment vertical="top" wrapText="1"/>
    </xf>
    <xf numFmtId="0" fontId="0" fillId="26" borderId="0" xfId="0" applyFill="1" applyAlignment="1" applyProtection="1">
      <alignment wrapText="1"/>
    </xf>
    <xf numFmtId="0" fontId="20" fillId="26" borderId="0" xfId="11" applyFont="1" applyFill="1" applyBorder="1" applyAlignment="1" applyProtection="1">
      <alignment vertical="top" wrapText="1"/>
    </xf>
    <xf numFmtId="0" fontId="20" fillId="26" borderId="0" xfId="11" applyFont="1" applyFill="1" applyBorder="1" applyProtection="1"/>
    <xf numFmtId="0" fontId="0" fillId="26" borderId="0" xfId="0" applyFill="1" applyAlignment="1" applyProtection="1">
      <alignment vertical="top" wrapText="1"/>
    </xf>
    <xf numFmtId="0" fontId="0" fillId="26" borderId="0" xfId="0" applyFill="1" applyAlignment="1" applyProtection="1">
      <alignment vertical="top"/>
    </xf>
    <xf numFmtId="0" fontId="0" fillId="26" borderId="0" xfId="0" applyFill="1" applyAlignment="1" applyProtection="1">
      <alignment horizontal="left" vertical="top"/>
    </xf>
    <xf numFmtId="0" fontId="0" fillId="17" borderId="0" xfId="0" applyFill="1" applyBorder="1" applyProtection="1"/>
    <xf numFmtId="0" fontId="17" fillId="3" borderId="145" xfId="0" applyFont="1" applyFill="1" applyBorder="1" applyAlignment="1" applyProtection="1">
      <alignment horizontal="left" vertical="top" wrapText="1"/>
    </xf>
    <xf numFmtId="0" fontId="17" fillId="3" borderId="145" xfId="0" applyFont="1" applyFill="1" applyBorder="1" applyProtection="1"/>
    <xf numFmtId="0" fontId="17" fillId="26" borderId="145" xfId="0" applyFont="1" applyFill="1" applyBorder="1" applyProtection="1"/>
    <xf numFmtId="0" fontId="0" fillId="26" borderId="101" xfId="0" applyFill="1" applyBorder="1" applyProtection="1"/>
    <xf numFmtId="0" fontId="20" fillId="17" borderId="101" xfId="0" applyFont="1" applyFill="1" applyBorder="1" applyAlignment="1" applyProtection="1">
      <alignment horizontal="right" vertical="top" wrapText="1"/>
    </xf>
    <xf numFmtId="0" fontId="20" fillId="26" borderId="101" xfId="0" applyFont="1" applyFill="1" applyBorder="1" applyAlignment="1" applyProtection="1">
      <alignment vertical="top"/>
    </xf>
    <xf numFmtId="0" fontId="17" fillId="26" borderId="117" xfId="0" applyFont="1" applyFill="1" applyBorder="1" applyAlignment="1" applyProtection="1">
      <alignment horizontal="left" vertical="top"/>
    </xf>
    <xf numFmtId="0" fontId="20" fillId="26" borderId="101" xfId="0" applyFont="1" applyFill="1" applyBorder="1" applyAlignment="1" applyProtection="1">
      <alignment horizontal="left" vertical="top" wrapText="1"/>
    </xf>
    <xf numFmtId="172" fontId="20" fillId="17" borderId="101" xfId="0" applyNumberFormat="1" applyFont="1" applyFill="1" applyBorder="1" applyAlignment="1" applyProtection="1">
      <alignment horizontal="right" vertical="top"/>
    </xf>
    <xf numFmtId="0" fontId="17" fillId="26" borderId="101" xfId="0" applyFont="1" applyFill="1" applyBorder="1" applyAlignment="1" applyProtection="1">
      <alignment horizontal="center" vertical="top"/>
    </xf>
    <xf numFmtId="0" fontId="20" fillId="26" borderId="126" xfId="0" applyFont="1" applyFill="1" applyBorder="1" applyAlignment="1" applyProtection="1">
      <alignment vertical="top" wrapText="1"/>
    </xf>
    <xf numFmtId="2" fontId="20" fillId="17" borderId="101" xfId="0" applyNumberFormat="1" applyFont="1" applyFill="1" applyBorder="1" applyAlignment="1" applyProtection="1">
      <alignment horizontal="right" vertical="top" wrapText="1"/>
    </xf>
    <xf numFmtId="0" fontId="17" fillId="26" borderId="153" xfId="0" applyFont="1" applyFill="1" applyBorder="1" applyAlignment="1" applyProtection="1"/>
    <xf numFmtId="0" fontId="20" fillId="26" borderId="126" xfId="0" applyFont="1" applyFill="1" applyBorder="1" applyAlignment="1" applyProtection="1">
      <alignment horizontal="left" vertical="top" wrapText="1"/>
    </xf>
    <xf numFmtId="0" fontId="17" fillId="26" borderId="101" xfId="0" applyFont="1" applyFill="1" applyBorder="1" applyAlignment="1" applyProtection="1"/>
    <xf numFmtId="0" fontId="17" fillId="26" borderId="153" xfId="0" applyFont="1" applyFill="1" applyBorder="1" applyAlignment="1" applyProtection="1">
      <alignment vertical="top"/>
    </xf>
    <xf numFmtId="0" fontId="20" fillId="26" borderId="116" xfId="0" applyFont="1" applyFill="1" applyBorder="1" applyAlignment="1" applyProtection="1">
      <alignment wrapText="1"/>
    </xf>
    <xf numFmtId="0" fontId="0" fillId="26" borderId="117" xfId="0" applyFill="1" applyBorder="1" applyAlignment="1" applyProtection="1"/>
    <xf numFmtId="0" fontId="17" fillId="26" borderId="117" xfId="0" applyFont="1" applyFill="1" applyBorder="1" applyAlignment="1" applyProtection="1">
      <alignment vertical="top"/>
    </xf>
    <xf numFmtId="171" fontId="20" fillId="17" borderId="101" xfId="0" applyNumberFormat="1" applyFont="1" applyFill="1" applyBorder="1" applyAlignment="1" applyProtection="1">
      <alignment horizontal="right" vertical="top" wrapText="1"/>
    </xf>
    <xf numFmtId="0" fontId="17" fillId="26" borderId="101" xfId="0" applyFont="1" applyFill="1" applyBorder="1" applyAlignment="1" applyProtection="1">
      <alignment vertical="top"/>
    </xf>
    <xf numFmtId="2" fontId="0" fillId="26" borderId="0" xfId="0" applyNumberFormat="1" applyFill="1" applyProtection="1"/>
    <xf numFmtId="0" fontId="20" fillId="26" borderId="126" xfId="0" applyFont="1" applyFill="1" applyBorder="1" applyAlignment="1" applyProtection="1">
      <alignment wrapText="1"/>
    </xf>
    <xf numFmtId="0" fontId="17" fillId="26" borderId="117" xfId="0" applyFont="1" applyFill="1" applyBorder="1" applyAlignment="1" applyProtection="1">
      <alignment horizontal="center" vertical="top"/>
    </xf>
    <xf numFmtId="0" fontId="17" fillId="26" borderId="101" xfId="0" applyFont="1" applyFill="1" applyBorder="1" applyProtection="1"/>
    <xf numFmtId="0" fontId="20" fillId="26" borderId="0" xfId="0" applyFont="1" applyFill="1" applyBorder="1" applyAlignment="1" applyProtection="1">
      <alignment wrapText="1"/>
    </xf>
    <xf numFmtId="2" fontId="20" fillId="26" borderId="0" xfId="0" applyNumberFormat="1" applyFont="1" applyFill="1" applyBorder="1" applyAlignment="1" applyProtection="1">
      <alignment horizontal="right" vertical="top" wrapText="1"/>
    </xf>
    <xf numFmtId="0" fontId="20" fillId="17" borderId="0" xfId="0" applyFont="1" applyFill="1" applyBorder="1" applyAlignment="1" applyProtection="1">
      <alignment wrapText="1"/>
    </xf>
    <xf numFmtId="2" fontId="20" fillId="17" borderId="0" xfId="0" applyNumberFormat="1" applyFont="1" applyFill="1" applyBorder="1" applyAlignment="1" applyProtection="1">
      <alignment horizontal="right" vertical="top" wrapText="1"/>
    </xf>
    <xf numFmtId="0" fontId="20" fillId="17" borderId="0" xfId="0" applyFont="1" applyFill="1" applyBorder="1" applyAlignment="1" applyProtection="1">
      <alignment vertical="top"/>
    </xf>
    <xf numFmtId="0" fontId="20" fillId="26" borderId="145" xfId="11" applyFont="1" applyFill="1" applyBorder="1" applyProtection="1"/>
    <xf numFmtId="2" fontId="20" fillId="26" borderId="123" xfId="11" applyNumberFormat="1" applyFont="1" applyFill="1" applyBorder="1" applyProtection="1"/>
    <xf numFmtId="0" fontId="0" fillId="26" borderId="101" xfId="0" applyFill="1" applyBorder="1" applyAlignment="1" applyProtection="1">
      <alignment vertical="top"/>
    </xf>
    <xf numFmtId="2" fontId="0" fillId="26" borderId="145" xfId="0" applyNumberFormat="1" applyFill="1" applyBorder="1" applyProtection="1"/>
    <xf numFmtId="174" fontId="20" fillId="26" borderId="123" xfId="17" applyNumberFormat="1" applyFont="1" applyFill="1" applyBorder="1" applyProtection="1"/>
    <xf numFmtId="0" fontId="0" fillId="26" borderId="145" xfId="0" applyFill="1" applyBorder="1" applyProtection="1"/>
    <xf numFmtId="2" fontId="1" fillId="26" borderId="123" xfId="11" applyNumberFormat="1" applyFont="1" applyFill="1" applyBorder="1" applyProtection="1"/>
    <xf numFmtId="0" fontId="20" fillId="26" borderId="145" xfId="0" applyFont="1" applyFill="1" applyBorder="1" applyProtection="1"/>
    <xf numFmtId="168" fontId="1" fillId="26" borderId="123" xfId="11" applyNumberFormat="1" applyFont="1" applyFill="1" applyBorder="1" applyProtection="1"/>
    <xf numFmtId="168" fontId="20" fillId="26" borderId="123" xfId="11" applyNumberFormat="1" applyFont="1" applyFill="1" applyBorder="1" applyProtection="1"/>
    <xf numFmtId="0" fontId="20" fillId="26" borderId="144" xfId="11" applyFont="1" applyFill="1" applyBorder="1" applyProtection="1"/>
    <xf numFmtId="2" fontId="20" fillId="26" borderId="144" xfId="11" applyNumberFormat="1" applyFont="1" applyFill="1" applyBorder="1" applyProtection="1"/>
    <xf numFmtId="0" fontId="0" fillId="26" borderId="144" xfId="0" applyFill="1" applyBorder="1" applyAlignment="1" applyProtection="1">
      <alignment vertical="top"/>
    </xf>
    <xf numFmtId="2" fontId="0" fillId="26" borderId="144" xfId="0" applyNumberFormat="1" applyFill="1" applyBorder="1" applyAlignment="1" applyProtection="1">
      <alignment vertical="top"/>
    </xf>
    <xf numFmtId="174" fontId="20" fillId="26" borderId="144" xfId="17" applyNumberFormat="1" applyFont="1" applyFill="1" applyBorder="1" applyProtection="1"/>
    <xf numFmtId="2" fontId="17" fillId="26" borderId="101" xfId="0" applyNumberFormat="1" applyFont="1" applyFill="1" applyBorder="1" applyProtection="1"/>
    <xf numFmtId="174" fontId="17" fillId="26" borderId="101" xfId="0" applyNumberFormat="1" applyFont="1" applyFill="1" applyBorder="1" applyProtection="1"/>
    <xf numFmtId="169" fontId="0" fillId="17" borderId="145" xfId="0" applyNumberFormat="1" applyFill="1" applyBorder="1" applyProtection="1"/>
    <xf numFmtId="171" fontId="0" fillId="26" borderId="0" xfId="0" applyNumberFormat="1" applyFill="1" applyBorder="1" applyProtection="1"/>
    <xf numFmtId="0" fontId="20" fillId="26" borderId="0" xfId="0" applyFont="1" applyFill="1" applyBorder="1" applyProtection="1"/>
    <xf numFmtId="182" fontId="0" fillId="26" borderId="0" xfId="0" applyNumberFormat="1" applyFill="1" applyProtection="1"/>
    <xf numFmtId="0" fontId="60" fillId="26" borderId="0" xfId="39" applyFont="1" applyFill="1" applyBorder="1" applyProtection="1"/>
    <xf numFmtId="169" fontId="20" fillId="17" borderId="145" xfId="0" applyNumberFormat="1" applyFont="1" applyFill="1" applyBorder="1" applyProtection="1"/>
    <xf numFmtId="0" fontId="62" fillId="26" borderId="0" xfId="0" applyFont="1" applyFill="1" applyBorder="1" applyProtection="1"/>
    <xf numFmtId="0" fontId="60" fillId="26" borderId="75" xfId="39" applyFont="1" applyFill="1" applyBorder="1" applyProtection="1"/>
    <xf numFmtId="0" fontId="20" fillId="17" borderId="145" xfId="0" applyFont="1" applyFill="1" applyBorder="1" applyProtection="1"/>
    <xf numFmtId="0" fontId="17" fillId="26" borderId="0" xfId="0" applyFont="1" applyFill="1" applyBorder="1" applyAlignment="1" applyProtection="1">
      <alignment horizontal="center" vertical="center" textRotation="90" wrapText="1"/>
    </xf>
    <xf numFmtId="0" fontId="60" fillId="26" borderId="0" xfId="39" applyFont="1" applyFill="1" applyBorder="1" applyAlignment="1" applyProtection="1">
      <alignment vertical="top" wrapText="1"/>
    </xf>
    <xf numFmtId="169" fontId="20" fillId="26" borderId="0" xfId="0" applyNumberFormat="1" applyFont="1" applyFill="1" applyBorder="1" applyProtection="1"/>
    <xf numFmtId="0" fontId="60" fillId="26" borderId="0" xfId="39" applyFont="1" applyFill="1" applyBorder="1" applyAlignment="1" applyProtection="1">
      <alignment vertical="top"/>
    </xf>
    <xf numFmtId="0" fontId="60" fillId="26" borderId="75" xfId="39" applyFont="1" applyFill="1" applyBorder="1" applyAlignment="1" applyProtection="1">
      <alignment vertical="top" wrapText="1"/>
    </xf>
    <xf numFmtId="43" fontId="0" fillId="26" borderId="0" xfId="64" applyFont="1" applyFill="1" applyProtection="1"/>
    <xf numFmtId="0" fontId="0" fillId="0" borderId="0" xfId="0" applyBorder="1" applyAlignment="1" applyProtection="1">
      <alignment horizontal="left" vertical="center" wrapText="1"/>
    </xf>
    <xf numFmtId="0" fontId="60" fillId="17" borderId="145" xfId="39" applyFont="1" applyFill="1" applyBorder="1" applyProtection="1"/>
    <xf numFmtId="0" fontId="1" fillId="23" borderId="145" xfId="16" applyFont="1" applyBorder="1" applyAlignment="1" applyProtection="1">
      <alignment vertical="top"/>
    </xf>
    <xf numFmtId="0" fontId="44" fillId="26" borderId="0" xfId="0" applyFont="1" applyFill="1" applyBorder="1" applyAlignment="1" applyProtection="1">
      <alignment horizontal="center" vertical="center" wrapText="1"/>
    </xf>
    <xf numFmtId="0" fontId="44" fillId="26" borderId="0" xfId="0" applyFont="1" applyFill="1" applyBorder="1" applyProtection="1"/>
    <xf numFmtId="2" fontId="20" fillId="17" borderId="145" xfId="11" applyNumberFormat="1" applyFont="1" applyFill="1" applyBorder="1" applyProtection="1"/>
    <xf numFmtId="10" fontId="60" fillId="17" borderId="145" xfId="17" applyNumberFormat="1" applyFont="1" applyFill="1" applyBorder="1" applyProtection="1"/>
    <xf numFmtId="169" fontId="20" fillId="17" borderId="145" xfId="0" applyNumberFormat="1" applyFont="1" applyFill="1" applyBorder="1" applyAlignment="1" applyProtection="1">
      <alignment vertical="top"/>
    </xf>
    <xf numFmtId="174" fontId="20" fillId="17" borderId="154" xfId="0" applyNumberFormat="1" applyFont="1" applyFill="1" applyBorder="1" applyAlignment="1" applyProtection="1">
      <alignment horizontal="right" vertical="center"/>
    </xf>
    <xf numFmtId="174" fontId="20" fillId="0" borderId="0" xfId="0" applyNumberFormat="1" applyFont="1" applyBorder="1" applyAlignment="1" applyProtection="1">
      <alignment horizontal="left" vertical="top"/>
    </xf>
    <xf numFmtId="174" fontId="20" fillId="17" borderId="154" xfId="0" applyNumberFormat="1" applyFont="1" applyFill="1" applyBorder="1" applyAlignment="1" applyProtection="1">
      <alignment horizontal="right"/>
    </xf>
    <xf numFmtId="0" fontId="60" fillId="26" borderId="0" xfId="39" applyFont="1" applyFill="1" applyBorder="1" applyAlignment="1" applyProtection="1">
      <alignment wrapText="1"/>
    </xf>
    <xf numFmtId="9" fontId="20" fillId="26" borderId="0" xfId="17" applyFont="1" applyFill="1" applyBorder="1" applyProtection="1"/>
    <xf numFmtId="2" fontId="72" fillId="26" borderId="0" xfId="61" applyFont="1" applyFill="1" applyBorder="1" applyProtection="1"/>
    <xf numFmtId="2" fontId="20" fillId="26" borderId="0" xfId="0" applyNumberFormat="1" applyFont="1" applyFill="1" applyBorder="1" applyProtection="1"/>
    <xf numFmtId="169" fontId="15" fillId="6" borderId="145" xfId="11" applyNumberFormat="1" applyFont="1" applyFill="1" applyBorder="1" applyAlignment="1" applyProtection="1">
      <alignment horizontal="center"/>
      <protection locked="0"/>
    </xf>
    <xf numFmtId="2" fontId="20" fillId="6" borderId="145" xfId="11" applyNumberFormat="1" applyFont="1" applyBorder="1" applyAlignment="1" applyProtection="1">
      <alignment vertical="top"/>
      <protection locked="0"/>
    </xf>
    <xf numFmtId="2" fontId="20" fillId="6" borderId="71" xfId="11" applyNumberFormat="1" applyFont="1" applyFill="1" applyBorder="1" applyAlignment="1" applyProtection="1">
      <alignment horizontal="center" vertical="top"/>
      <protection locked="0"/>
    </xf>
    <xf numFmtId="9" fontId="20" fillId="6" borderId="145" xfId="17" applyFont="1" applyFill="1" applyBorder="1" applyProtection="1">
      <protection locked="0"/>
    </xf>
    <xf numFmtId="9" fontId="20" fillId="6" borderId="145" xfId="17" applyFont="1" applyFill="1" applyBorder="1" applyAlignment="1" applyProtection="1">
      <alignment vertical="top"/>
      <protection locked="0"/>
    </xf>
    <xf numFmtId="169" fontId="20" fillId="6" borderId="71" xfId="11" applyNumberFormat="1" applyFont="1" applyFill="1" applyBorder="1" applyAlignment="1" applyProtection="1">
      <alignment vertical="top" wrapText="1"/>
      <protection locked="0"/>
    </xf>
    <xf numFmtId="0" fontId="0" fillId="30" borderId="177" xfId="0" applyFill="1" applyBorder="1" applyAlignment="1" applyProtection="1">
      <alignment horizontal="right"/>
      <protection locked="0"/>
    </xf>
    <xf numFmtId="165" fontId="20" fillId="30" borderId="145" xfId="62" applyNumberFormat="1" applyFont="1" applyFill="1" applyBorder="1" applyProtection="1">
      <protection locked="0"/>
    </xf>
    <xf numFmtId="180" fontId="20" fillId="30" borderId="145" xfId="62" applyNumberFormat="1" applyFont="1" applyFill="1" applyBorder="1" applyProtection="1">
      <protection locked="0"/>
    </xf>
    <xf numFmtId="182" fontId="20" fillId="30" borderId="145" xfId="62" applyNumberFormat="1" applyFont="1" applyFill="1" applyBorder="1" applyProtection="1">
      <protection locked="0"/>
    </xf>
    <xf numFmtId="181" fontId="20" fillId="30" borderId="145" xfId="62" applyNumberFormat="1" applyFont="1" applyFill="1" applyBorder="1" applyProtection="1">
      <protection locked="0"/>
    </xf>
    <xf numFmtId="9" fontId="20" fillId="6" borderId="152" xfId="17" applyFont="1" applyFill="1" applyBorder="1" applyProtection="1">
      <protection locked="0"/>
    </xf>
    <xf numFmtId="174" fontId="20" fillId="6" borderId="145" xfId="17" applyNumberFormat="1" applyFont="1" applyFill="1" applyBorder="1" applyProtection="1">
      <protection locked="0"/>
    </xf>
    <xf numFmtId="0" fontId="0" fillId="26" borderId="0" xfId="0" applyFill="1" applyProtection="1">
      <protection locked="0"/>
    </xf>
    <xf numFmtId="2" fontId="20" fillId="6" borderId="145" xfId="11" applyNumberFormat="1" applyFont="1" applyFill="1" applyBorder="1" applyProtection="1">
      <protection locked="0"/>
    </xf>
    <xf numFmtId="2" fontId="20" fillId="6" borderId="145" xfId="11" applyNumberFormat="1" applyFont="1" applyFill="1" applyBorder="1" applyAlignment="1" applyProtection="1">
      <alignment vertical="top"/>
      <protection locked="0"/>
    </xf>
    <xf numFmtId="174" fontId="20" fillId="30" borderId="145" xfId="17" applyNumberFormat="1" applyFont="1" applyFill="1" applyBorder="1" applyAlignment="1" applyProtection="1">
      <protection locked="0"/>
    </xf>
    <xf numFmtId="174" fontId="20" fillId="30" borderId="154" xfId="0" applyNumberFormat="1" applyFont="1" applyFill="1" applyBorder="1" applyAlignment="1" applyProtection="1">
      <alignment horizontal="right" vertical="top"/>
      <protection locked="0"/>
    </xf>
    <xf numFmtId="174" fontId="20" fillId="30" borderId="145" xfId="17" applyNumberFormat="1" applyFont="1" applyFill="1" applyBorder="1" applyAlignment="1" applyProtection="1">
      <alignment vertical="top"/>
      <protection locked="0"/>
    </xf>
    <xf numFmtId="0" fontId="0" fillId="6" borderId="102" xfId="11" applyFont="1" applyBorder="1" applyProtection="1">
      <protection locked="0"/>
    </xf>
    <xf numFmtId="0" fontId="0" fillId="6" borderId="101" xfId="11" applyFont="1" applyBorder="1" applyProtection="1">
      <protection locked="0"/>
    </xf>
    <xf numFmtId="165" fontId="0" fillId="6" borderId="23" xfId="11" applyNumberFormat="1" applyFont="1" applyFill="1" applyBorder="1" applyProtection="1">
      <protection locked="0"/>
    </xf>
    <xf numFmtId="169" fontId="0" fillId="17" borderId="130" xfId="0" applyNumberFormat="1" applyFill="1" applyBorder="1" applyProtection="1">
      <protection locked="0"/>
    </xf>
    <xf numFmtId="0" fontId="0" fillId="6" borderId="78" xfId="11" applyFont="1" applyBorder="1" applyProtection="1">
      <protection locked="0"/>
    </xf>
    <xf numFmtId="171" fontId="0" fillId="6" borderId="104" xfId="11" applyNumberFormat="1" applyFont="1" applyBorder="1" applyProtection="1">
      <protection locked="0"/>
    </xf>
    <xf numFmtId="171" fontId="0" fillId="6" borderId="7" xfId="11" applyNumberFormat="1" applyFont="1" applyBorder="1" applyProtection="1">
      <protection locked="0"/>
    </xf>
    <xf numFmtId="0" fontId="0" fillId="6" borderId="103" xfId="11" applyFont="1" applyBorder="1" applyProtection="1">
      <protection locked="0"/>
    </xf>
    <xf numFmtId="0" fontId="0" fillId="6" borderId="71" xfId="11" applyFont="1" applyBorder="1" applyProtection="1">
      <protection locked="0"/>
    </xf>
    <xf numFmtId="165" fontId="0" fillId="6" borderId="71" xfId="11" applyNumberFormat="1" applyFont="1" applyFill="1" applyBorder="1" applyProtection="1">
      <protection locked="0"/>
    </xf>
    <xf numFmtId="0" fontId="0" fillId="6" borderId="72" xfId="11" applyFont="1" applyBorder="1" applyProtection="1">
      <protection locked="0"/>
    </xf>
    <xf numFmtId="171" fontId="0" fillId="6" borderId="46" xfId="11" applyNumberFormat="1" applyFont="1" applyBorder="1" applyProtection="1">
      <protection locked="0"/>
    </xf>
    <xf numFmtId="171" fontId="0" fillId="6" borderId="1" xfId="11" applyNumberFormat="1" applyFont="1" applyBorder="1" applyProtection="1">
      <protection locked="0"/>
    </xf>
    <xf numFmtId="165" fontId="20" fillId="6" borderId="71" xfId="11" applyNumberFormat="1" applyFont="1" applyFill="1" applyBorder="1" applyProtection="1">
      <protection locked="0"/>
    </xf>
    <xf numFmtId="169" fontId="20" fillId="17" borderId="130" xfId="0" applyNumberFormat="1" applyFont="1" applyFill="1" applyBorder="1" applyProtection="1">
      <protection locked="0"/>
    </xf>
    <xf numFmtId="0" fontId="20" fillId="6" borderId="71" xfId="11" applyFont="1" applyBorder="1" applyProtection="1">
      <protection locked="0"/>
    </xf>
    <xf numFmtId="0" fontId="0" fillId="6" borderId="56" xfId="11" applyFont="1" applyBorder="1" applyProtection="1">
      <protection locked="0"/>
    </xf>
    <xf numFmtId="0" fontId="0" fillId="6" borderId="109" xfId="11" applyFont="1" applyBorder="1" applyProtection="1">
      <protection locked="0"/>
    </xf>
    <xf numFmtId="165" fontId="0" fillId="6" borderId="109" xfId="11" applyNumberFormat="1" applyFont="1" applyFill="1" applyBorder="1" applyProtection="1">
      <protection locked="0"/>
    </xf>
    <xf numFmtId="0" fontId="0" fillId="6" borderId="57" xfId="11" applyFont="1" applyBorder="1" applyProtection="1">
      <protection locked="0"/>
    </xf>
    <xf numFmtId="171" fontId="0" fillId="6" borderId="48" xfId="11" applyNumberFormat="1" applyFont="1" applyBorder="1" applyProtection="1">
      <protection locked="0"/>
    </xf>
    <xf numFmtId="171" fontId="0" fillId="6" borderId="49" xfId="11" applyNumberFormat="1" applyFont="1" applyBorder="1" applyProtection="1">
      <protection locked="0"/>
    </xf>
    <xf numFmtId="0" fontId="0" fillId="6" borderId="145" xfId="11" applyFont="1" applyBorder="1" applyProtection="1">
      <protection locked="0"/>
    </xf>
    <xf numFmtId="0" fontId="0" fillId="6" borderId="101" xfId="11" applyNumberFormat="1" applyFont="1" applyBorder="1" applyProtection="1">
      <protection locked="0"/>
    </xf>
    <xf numFmtId="0" fontId="0" fillId="6" borderId="145" xfId="11" applyNumberFormat="1" applyFont="1" applyBorder="1" applyProtection="1">
      <protection locked="0"/>
    </xf>
    <xf numFmtId="2" fontId="0" fillId="6" borderId="145" xfId="11" applyNumberFormat="1" applyFont="1" applyBorder="1" applyProtection="1">
      <protection locked="0"/>
    </xf>
    <xf numFmtId="0" fontId="20" fillId="6" borderId="145" xfId="11" applyFont="1" applyBorder="1" applyProtection="1">
      <protection locked="0"/>
    </xf>
    <xf numFmtId="0" fontId="0" fillId="6" borderId="144" xfId="11" applyFont="1" applyBorder="1" applyProtection="1">
      <protection locked="0"/>
    </xf>
    <xf numFmtId="0" fontId="0" fillId="6" borderId="144" xfId="11" applyNumberFormat="1" applyFont="1" applyBorder="1" applyProtection="1">
      <protection locked="0"/>
    </xf>
    <xf numFmtId="1" fontId="0" fillId="6" borderId="53" xfId="11" applyNumberFormat="1" applyFont="1" applyBorder="1" applyProtection="1">
      <protection locked="0"/>
    </xf>
    <xf numFmtId="1" fontId="0" fillId="6" borderId="110" xfId="11" applyNumberFormat="1" applyFont="1" applyBorder="1" applyProtection="1">
      <protection locked="0"/>
    </xf>
    <xf numFmtId="0" fontId="0" fillId="6" borderId="53" xfId="11" applyFont="1" applyBorder="1" applyProtection="1">
      <protection locked="0"/>
    </xf>
    <xf numFmtId="172" fontId="0" fillId="6" borderId="53" xfId="11" applyNumberFormat="1" applyFont="1" applyBorder="1" applyProtection="1">
      <protection locked="0"/>
    </xf>
    <xf numFmtId="172" fontId="0" fillId="6" borderId="145" xfId="11" applyNumberFormat="1" applyFont="1" applyBorder="1" applyProtection="1">
      <protection locked="0"/>
    </xf>
    <xf numFmtId="2" fontId="0" fillId="6" borderId="53" xfId="11" applyNumberFormat="1" applyFont="1" applyBorder="1" applyProtection="1">
      <protection locked="0"/>
    </xf>
    <xf numFmtId="165" fontId="0" fillId="6" borderId="53" xfId="11" applyNumberFormat="1" applyFont="1" applyFill="1" applyBorder="1" applyProtection="1">
      <protection locked="0"/>
    </xf>
    <xf numFmtId="165" fontId="20" fillId="6" borderId="165" xfId="11" applyNumberFormat="1" applyFont="1" applyFill="1" applyBorder="1" applyProtection="1">
      <protection locked="0"/>
    </xf>
    <xf numFmtId="165" fontId="0" fillId="6" borderId="145" xfId="11" applyNumberFormat="1" applyFont="1" applyFill="1" applyBorder="1" applyProtection="1">
      <protection locked="0"/>
    </xf>
    <xf numFmtId="165" fontId="0" fillId="6" borderId="144" xfId="11" applyNumberFormat="1" applyFont="1" applyFill="1" applyBorder="1" applyProtection="1">
      <protection locked="0"/>
    </xf>
    <xf numFmtId="3" fontId="0" fillId="6" borderId="101" xfId="11" applyNumberFormat="1" applyFont="1" applyBorder="1" applyProtection="1">
      <protection locked="0"/>
    </xf>
    <xf numFmtId="3" fontId="0" fillId="6" borderId="145" xfId="11" applyNumberFormat="1" applyFont="1" applyBorder="1" applyProtection="1">
      <protection locked="0"/>
    </xf>
    <xf numFmtId="3" fontId="0" fillId="6" borderId="99" xfId="11" applyNumberFormat="1" applyFont="1" applyBorder="1" applyProtection="1">
      <protection locked="0"/>
    </xf>
    <xf numFmtId="0" fontId="0" fillId="6" borderId="149" xfId="11" applyFont="1" applyBorder="1" applyProtection="1">
      <protection locked="0"/>
    </xf>
    <xf numFmtId="0" fontId="0" fillId="6" borderId="150" xfId="11" applyFont="1" applyBorder="1" applyProtection="1">
      <protection locked="0"/>
    </xf>
    <xf numFmtId="9" fontId="0" fillId="6" borderId="137" xfId="11" applyNumberFormat="1" applyFont="1" applyBorder="1" applyProtection="1">
      <protection locked="0"/>
    </xf>
    <xf numFmtId="9" fontId="0" fillId="6" borderId="145" xfId="11" applyNumberFormat="1" applyFont="1" applyBorder="1" applyProtection="1">
      <protection locked="0"/>
    </xf>
    <xf numFmtId="9" fontId="0" fillId="6" borderId="56" xfId="11" applyNumberFormat="1" applyFont="1" applyBorder="1" applyProtection="1">
      <protection locked="0"/>
    </xf>
    <xf numFmtId="9" fontId="0" fillId="6" borderId="144" xfId="11" applyNumberFormat="1" applyFont="1" applyBorder="1" applyProtection="1">
      <protection locked="0"/>
    </xf>
    <xf numFmtId="0" fontId="0" fillId="5" borderId="104" xfId="0" applyFont="1" applyFill="1" applyBorder="1" applyProtection="1">
      <protection locked="0"/>
    </xf>
    <xf numFmtId="0" fontId="0" fillId="5" borderId="8" xfId="0" applyFont="1" applyFill="1" applyBorder="1" applyProtection="1">
      <protection locked="0"/>
    </xf>
    <xf numFmtId="165" fontId="0" fillId="5" borderId="7" xfId="0" applyNumberFormat="1" applyFont="1" applyFill="1" applyBorder="1" applyProtection="1">
      <protection locked="0"/>
    </xf>
    <xf numFmtId="165" fontId="0" fillId="5" borderId="6" xfId="0" applyNumberFormat="1" applyFont="1" applyFill="1" applyBorder="1" applyProtection="1">
      <protection locked="0"/>
    </xf>
    <xf numFmtId="0" fontId="0" fillId="5" borderId="51" xfId="0" applyFont="1" applyFill="1" applyBorder="1" applyProtection="1">
      <protection locked="0"/>
    </xf>
    <xf numFmtId="0" fontId="1" fillId="6" borderId="46" xfId="11" applyFont="1" applyBorder="1" applyProtection="1">
      <protection locked="0"/>
    </xf>
    <xf numFmtId="0" fontId="1" fillId="6" borderId="52" xfId="11" applyFont="1" applyFill="1" applyBorder="1" applyProtection="1">
      <protection locked="0"/>
    </xf>
    <xf numFmtId="0" fontId="0" fillId="5" borderId="51" xfId="0" applyFont="1" applyFill="1" applyBorder="1" applyAlignment="1" applyProtection="1">
      <alignment wrapText="1"/>
      <protection locked="0"/>
    </xf>
    <xf numFmtId="165" fontId="0" fillId="5" borderId="8" xfId="0" applyNumberFormat="1" applyFont="1" applyFill="1" applyBorder="1" applyProtection="1">
      <protection locked="0"/>
    </xf>
    <xf numFmtId="0" fontId="1" fillId="6" borderId="48" xfId="11" applyFont="1" applyBorder="1" applyProtection="1">
      <protection locked="0"/>
    </xf>
    <xf numFmtId="0" fontId="1" fillId="6" borderId="49" xfId="11" applyFont="1" applyFill="1" applyBorder="1" applyProtection="1">
      <protection locked="0"/>
    </xf>
    <xf numFmtId="165" fontId="0" fillId="5" borderId="93" xfId="0" applyNumberFormat="1" applyFont="1" applyFill="1" applyBorder="1" applyProtection="1">
      <protection locked="0"/>
    </xf>
    <xf numFmtId="165" fontId="0" fillId="5" borderId="94" xfId="0" applyNumberFormat="1" applyFont="1" applyFill="1" applyBorder="1" applyProtection="1">
      <protection locked="0"/>
    </xf>
    <xf numFmtId="165" fontId="0" fillId="5" borderId="81" xfId="0" applyNumberFormat="1" applyFont="1" applyFill="1" applyBorder="1" applyProtection="1">
      <protection locked="0"/>
    </xf>
    <xf numFmtId="165" fontId="0" fillId="5" borderId="89" xfId="0" applyNumberFormat="1" applyFont="1" applyFill="1" applyBorder="1" applyProtection="1">
      <protection locked="0"/>
    </xf>
    <xf numFmtId="9" fontId="1" fillId="6" borderId="1" xfId="11" applyNumberFormat="1" applyFont="1" applyBorder="1" applyProtection="1">
      <protection locked="0"/>
    </xf>
    <xf numFmtId="9" fontId="1" fillId="6" borderId="49" xfId="11" applyNumberFormat="1" applyFont="1" applyBorder="1" applyProtection="1">
      <protection locked="0"/>
    </xf>
    <xf numFmtId="1" fontId="1" fillId="6" borderId="140" xfId="11" applyNumberFormat="1" applyFont="1" applyBorder="1" applyProtection="1">
      <protection locked="0"/>
    </xf>
    <xf numFmtId="1" fontId="1" fillId="6" borderId="142" xfId="11" applyNumberFormat="1" applyFont="1" applyBorder="1" applyProtection="1">
      <protection locked="0"/>
    </xf>
    <xf numFmtId="1" fontId="1" fillId="6" borderId="143" xfId="11" applyNumberFormat="1" applyFont="1" applyBorder="1" applyProtection="1">
      <protection locked="0"/>
    </xf>
    <xf numFmtId="9" fontId="1" fillId="6" borderId="46" xfId="11" applyNumberFormat="1" applyFont="1" applyBorder="1" applyProtection="1">
      <protection locked="0"/>
    </xf>
    <xf numFmtId="9" fontId="1" fillId="6" borderId="48" xfId="11" applyNumberFormat="1" applyFont="1" applyBorder="1" applyProtection="1">
      <protection locked="0"/>
    </xf>
    <xf numFmtId="0" fontId="0" fillId="0" borderId="0" xfId="0" applyFont="1" applyFill="1" applyBorder="1" applyProtection="1">
      <protection locked="0"/>
    </xf>
    <xf numFmtId="0" fontId="0" fillId="0" borderId="0" xfId="0" applyFont="1" applyFill="1" applyProtection="1">
      <protection locked="0"/>
    </xf>
    <xf numFmtId="0" fontId="0" fillId="0" borderId="0" xfId="1" applyFont="1" applyFill="1" applyBorder="1" applyAlignment="1" applyProtection="1">
      <alignment horizontal="left" vertical="top" wrapText="1"/>
      <protection locked="0"/>
    </xf>
    <xf numFmtId="0" fontId="0" fillId="0" borderId="0" xfId="0" applyProtection="1">
      <protection locked="0"/>
    </xf>
    <xf numFmtId="0" fontId="0" fillId="26" borderId="0" xfId="0" applyFill="1" applyAlignment="1">
      <alignment vertical="top" wrapText="1"/>
    </xf>
    <xf numFmtId="0" fontId="0" fillId="26" borderId="0" xfId="0" quotePrefix="1" applyFill="1" applyAlignment="1">
      <alignment horizontal="left" vertical="top" wrapText="1"/>
    </xf>
    <xf numFmtId="0" fontId="0" fillId="26" borderId="0" xfId="0" quotePrefix="1" applyFont="1" applyFill="1" applyAlignment="1">
      <alignment horizontal="left" vertical="top"/>
    </xf>
    <xf numFmtId="0" fontId="0" fillId="26" borderId="0" xfId="0" quotePrefix="1" applyFont="1" applyFill="1" applyAlignment="1">
      <alignment horizontal="left" vertical="top" wrapText="1"/>
    </xf>
    <xf numFmtId="0" fontId="0" fillId="26" borderId="0" xfId="0" applyFont="1" applyFill="1" applyAlignment="1">
      <alignment horizontal="left" vertical="top"/>
    </xf>
    <xf numFmtId="0" fontId="62" fillId="36" borderId="0" xfId="0" applyFont="1" applyFill="1" applyAlignment="1">
      <alignment horizontal="left"/>
    </xf>
    <xf numFmtId="0" fontId="5" fillId="36" borderId="0" xfId="0" applyFont="1" applyFill="1" applyAlignment="1">
      <alignment horizontal="left"/>
    </xf>
    <xf numFmtId="0" fontId="0" fillId="26" borderId="0" xfId="0" quotePrefix="1" applyFill="1" applyAlignment="1">
      <alignment horizontal="left" wrapText="1"/>
    </xf>
    <xf numFmtId="0" fontId="0" fillId="26" borderId="0" xfId="0" applyFill="1" applyAlignment="1">
      <alignment horizontal="left" vertical="top" wrapText="1"/>
    </xf>
    <xf numFmtId="0" fontId="0" fillId="26" borderId="0" xfId="0" applyFill="1" applyAlignment="1" applyProtection="1">
      <alignment horizontal="left" vertical="top" wrapText="1"/>
    </xf>
    <xf numFmtId="0" fontId="44" fillId="26" borderId="0" xfId="0" applyFont="1" applyFill="1" applyBorder="1" applyAlignment="1" applyProtection="1">
      <alignment horizontal="center" vertical="center" wrapText="1"/>
    </xf>
    <xf numFmtId="0" fontId="17" fillId="26" borderId="0" xfId="0" applyFont="1" applyFill="1" applyAlignment="1" applyProtection="1">
      <alignment horizontal="left" vertical="top" wrapText="1"/>
    </xf>
    <xf numFmtId="0" fontId="0" fillId="26" borderId="0" xfId="1" applyFont="1" applyFill="1" applyBorder="1" applyAlignment="1">
      <alignment horizontal="center" vertical="center"/>
    </xf>
    <xf numFmtId="0" fontId="0" fillId="26" borderId="145" xfId="0" applyFont="1" applyFill="1" applyBorder="1" applyAlignment="1">
      <alignment horizontal="center" vertical="top" wrapText="1"/>
    </xf>
    <xf numFmtId="0" fontId="0" fillId="26" borderId="136" xfId="0" applyFont="1" applyFill="1" applyBorder="1" applyAlignment="1">
      <alignment horizontal="center" wrapText="1"/>
    </xf>
    <xf numFmtId="0" fontId="0" fillId="26" borderId="23" xfId="0" applyFont="1" applyFill="1" applyBorder="1" applyAlignment="1">
      <alignment horizontal="center" wrapText="1"/>
    </xf>
    <xf numFmtId="0" fontId="0" fillId="26" borderId="118" xfId="0" applyFont="1" applyFill="1" applyBorder="1" applyAlignment="1">
      <alignment horizontal="center"/>
    </xf>
    <xf numFmtId="0" fontId="0" fillId="26" borderId="112" xfId="0" applyFont="1" applyFill="1" applyBorder="1" applyAlignment="1">
      <alignment horizontal="center"/>
    </xf>
    <xf numFmtId="0" fontId="0" fillId="26" borderId="122" xfId="0" applyFont="1" applyFill="1" applyBorder="1" applyAlignment="1">
      <alignment horizontal="center"/>
    </xf>
    <xf numFmtId="0" fontId="0" fillId="26" borderId="124" xfId="0" applyFont="1" applyFill="1" applyBorder="1" applyAlignment="1">
      <alignment horizontal="center"/>
    </xf>
    <xf numFmtId="0" fontId="0" fillId="26" borderId="126" xfId="0" applyFont="1" applyFill="1" applyBorder="1" applyAlignment="1">
      <alignment horizontal="center"/>
    </xf>
    <xf numFmtId="0" fontId="4" fillId="26" borderId="0" xfId="2" applyFill="1" applyAlignment="1">
      <alignment horizontal="left" wrapText="1"/>
    </xf>
    <xf numFmtId="0" fontId="17" fillId="26" borderId="83" xfId="0" applyFont="1" applyFill="1" applyBorder="1" applyAlignment="1">
      <alignment horizontal="center" vertical="center"/>
    </xf>
    <xf numFmtId="0" fontId="17" fillId="26" borderId="84" xfId="0" applyFont="1" applyFill="1" applyBorder="1" applyAlignment="1">
      <alignment horizontal="center" vertical="center"/>
    </xf>
    <xf numFmtId="0" fontId="17" fillId="26" borderId="85" xfId="0" applyFont="1" applyFill="1" applyBorder="1" applyAlignment="1">
      <alignment horizontal="center" vertical="center"/>
    </xf>
    <xf numFmtId="0" fontId="14" fillId="17" borderId="0" xfId="0" applyFont="1" applyFill="1" applyAlignment="1">
      <alignment horizontal="center" wrapText="1"/>
    </xf>
    <xf numFmtId="0" fontId="0" fillId="3" borderId="0" xfId="0" applyFill="1" applyBorder="1" applyAlignment="1">
      <alignment horizontal="left" vertical="top"/>
    </xf>
    <xf numFmtId="0" fontId="62" fillId="32" borderId="0" xfId="0" applyFont="1" applyFill="1" applyAlignment="1">
      <alignment horizontal="center"/>
    </xf>
    <xf numFmtId="0" fontId="14" fillId="17" borderId="0" xfId="0" applyFont="1" applyFill="1" applyAlignment="1">
      <alignment horizontal="center"/>
    </xf>
    <xf numFmtId="0" fontId="0" fillId="3" borderId="135" xfId="0" applyFont="1" applyFill="1" applyBorder="1" applyAlignment="1" applyProtection="1">
      <alignment horizontal="center"/>
    </xf>
    <xf numFmtId="0" fontId="17" fillId="0" borderId="172" xfId="0" applyFont="1" applyBorder="1" applyAlignment="1" applyProtection="1">
      <alignment horizontal="center" vertical="center" textRotation="90" wrapText="1"/>
    </xf>
    <xf numFmtId="0" fontId="17" fillId="0" borderId="107" xfId="0" applyFont="1" applyBorder="1" applyAlignment="1" applyProtection="1">
      <alignment horizontal="center" vertical="center" textRotation="90" wrapText="1"/>
    </xf>
    <xf numFmtId="0" fontId="17" fillId="0" borderId="177" xfId="0" applyFont="1" applyBorder="1" applyAlignment="1" applyProtection="1">
      <alignment horizontal="center" vertical="center" textRotation="90" wrapText="1"/>
    </xf>
    <xf numFmtId="0" fontId="17" fillId="26" borderId="54" xfId="0" applyFont="1" applyFill="1" applyBorder="1" applyAlignment="1" applyProtection="1">
      <alignment horizontal="center" vertical="center" wrapText="1"/>
    </xf>
    <xf numFmtId="0" fontId="17" fillId="0" borderId="167" xfId="0" applyFont="1" applyBorder="1" applyAlignment="1" applyProtection="1">
      <alignment horizontal="center" vertical="center" textRotation="90" wrapText="1"/>
    </xf>
    <xf numFmtId="0" fontId="17" fillId="0" borderId="117" xfId="0" applyFont="1" applyBorder="1" applyAlignment="1" applyProtection="1">
      <alignment horizontal="center" vertical="center" textRotation="90" wrapText="1"/>
    </xf>
    <xf numFmtId="0" fontId="17" fillId="0" borderId="101" xfId="0" applyFont="1" applyBorder="1" applyAlignment="1" applyProtection="1">
      <alignment horizontal="center" vertical="center" textRotation="90" wrapText="1"/>
    </xf>
    <xf numFmtId="0" fontId="17" fillId="0" borderId="67" xfId="0" applyFont="1" applyBorder="1" applyAlignment="1" applyProtection="1">
      <alignment horizontal="center" vertical="center" wrapText="1"/>
    </xf>
    <xf numFmtId="0" fontId="17" fillId="0" borderId="172" xfId="0" applyFont="1" applyBorder="1" applyAlignment="1" applyProtection="1">
      <alignment horizontal="center" vertical="center" wrapText="1"/>
    </xf>
    <xf numFmtId="0" fontId="0" fillId="17" borderId="177" xfId="0" applyFill="1" applyBorder="1" applyAlignment="1" applyProtection="1">
      <alignment horizontal="left" vertical="top" wrapText="1"/>
    </xf>
    <xf numFmtId="0" fontId="0" fillId="3" borderId="156" xfId="0" applyFont="1" applyFill="1" applyBorder="1" applyAlignment="1" applyProtection="1">
      <alignment horizontal="center"/>
    </xf>
    <xf numFmtId="0" fontId="0" fillId="3" borderId="163" xfId="0" applyFont="1" applyFill="1" applyBorder="1" applyAlignment="1" applyProtection="1">
      <alignment horizontal="center"/>
    </xf>
    <xf numFmtId="0" fontId="0" fillId="3" borderId="155" xfId="0" applyFont="1" applyFill="1" applyBorder="1" applyAlignment="1" applyProtection="1">
      <alignment horizontal="center"/>
    </xf>
    <xf numFmtId="0" fontId="0" fillId="26" borderId="0" xfId="0" applyFont="1" applyFill="1" applyBorder="1" applyAlignment="1" applyProtection="1">
      <alignment horizontal="left" vertical="top" wrapText="1"/>
    </xf>
    <xf numFmtId="0" fontId="17" fillId="26" borderId="173" xfId="0" applyFont="1" applyFill="1" applyBorder="1" applyAlignment="1" applyProtection="1">
      <alignment horizontal="center"/>
    </xf>
    <xf numFmtId="0" fontId="17" fillId="26" borderId="171" xfId="0" applyFont="1" applyFill="1" applyBorder="1" applyAlignment="1" applyProtection="1">
      <alignment horizontal="center"/>
    </xf>
    <xf numFmtId="0" fontId="17" fillId="26" borderId="176" xfId="0" applyFont="1" applyFill="1" applyBorder="1" applyAlignment="1" applyProtection="1">
      <alignment horizontal="center" vertical="center" wrapText="1"/>
    </xf>
    <xf numFmtId="0" fontId="17" fillId="26" borderId="173" xfId="0" applyFont="1" applyFill="1" applyBorder="1" applyAlignment="1" applyProtection="1">
      <alignment horizontal="center" vertical="center" wrapText="1"/>
    </xf>
    <xf numFmtId="0" fontId="17" fillId="26" borderId="171" xfId="0" applyFont="1" applyFill="1" applyBorder="1" applyAlignment="1" applyProtection="1">
      <alignment horizontal="center" vertical="center" wrapText="1"/>
    </xf>
    <xf numFmtId="0" fontId="52" fillId="26" borderId="0" xfId="0" applyFont="1" applyFill="1" applyAlignment="1">
      <alignment horizontal="left" vertical="top" wrapText="1"/>
    </xf>
    <xf numFmtId="0" fontId="0" fillId="26" borderId="3" xfId="0" applyFill="1" applyBorder="1" applyAlignment="1">
      <alignment horizontal="left" vertical="top" wrapText="1"/>
    </xf>
    <xf numFmtId="2" fontId="48" fillId="26" borderId="1" xfId="61" applyFill="1"/>
    <xf numFmtId="0" fontId="0" fillId="26" borderId="9" xfId="0" applyFill="1" applyBorder="1" applyAlignment="1">
      <alignment horizontal="left"/>
    </xf>
    <xf numFmtId="0" fontId="17" fillId="17" borderId="9" xfId="0" applyFont="1" applyFill="1" applyBorder="1" applyAlignment="1">
      <alignment horizontal="left"/>
    </xf>
    <xf numFmtId="2" fontId="48" fillId="26" borderId="1" xfId="61" applyFont="1" applyFill="1"/>
    <xf numFmtId="0" fontId="0" fillId="2" borderId="25" xfId="1" applyFont="1" applyBorder="1" applyAlignment="1">
      <alignment horizontal="left" vertical="top" wrapText="1"/>
    </xf>
    <xf numFmtId="0" fontId="0" fillId="2" borderId="26" xfId="1" applyFont="1" applyBorder="1" applyAlignment="1">
      <alignment horizontal="left" vertical="top" wrapText="1"/>
    </xf>
    <xf numFmtId="0" fontId="0" fillId="2" borderId="27" xfId="1" applyFont="1" applyBorder="1" applyAlignment="1">
      <alignment horizontal="left" vertical="top" wrapText="1"/>
    </xf>
    <xf numFmtId="0" fontId="0" fillId="27" borderId="25" xfId="1" applyFont="1" applyFill="1" applyBorder="1" applyAlignment="1">
      <alignment horizontal="left" vertical="top" wrapText="1"/>
    </xf>
    <xf numFmtId="0" fontId="0" fillId="27" borderId="26" xfId="1" applyFont="1" applyFill="1" applyBorder="1" applyAlignment="1">
      <alignment horizontal="left" vertical="top" wrapText="1"/>
    </xf>
    <xf numFmtId="0" fontId="0" fillId="27" borderId="27" xfId="1" applyFont="1" applyFill="1" applyBorder="1" applyAlignment="1">
      <alignment horizontal="left" vertical="top" wrapText="1"/>
    </xf>
    <xf numFmtId="0" fontId="0" fillId="26" borderId="0" xfId="1" applyFont="1" applyFill="1" applyBorder="1" applyAlignment="1">
      <alignment horizontal="left" vertical="center" wrapText="1"/>
    </xf>
    <xf numFmtId="0" fontId="0" fillId="26" borderId="0" xfId="0" applyFill="1" applyBorder="1" applyAlignment="1">
      <alignment horizontal="left"/>
    </xf>
  </cellXfs>
  <cellStyles count="65">
    <cellStyle name="20% - Accent3 2" xfId="23"/>
    <cellStyle name="40% - Accent5" xfId="59" builtinId="47"/>
    <cellStyle name="Bad 2" xfId="24"/>
    <cellStyle name="Calculation 2" xfId="25"/>
    <cellStyle name="Check Cell 2" xfId="26"/>
    <cellStyle name="Comma" xfId="64" builtinId="3"/>
    <cellStyle name="Comma 2" xfId="27"/>
    <cellStyle name="Comma 3" xfId="28"/>
    <cellStyle name="Comma 3 2" xfId="29"/>
    <cellStyle name="Comma 4" xfId="30"/>
    <cellStyle name="Comma 5" xfId="31"/>
    <cellStyle name="Comma 6" xfId="22"/>
    <cellStyle name="Currency" xfId="58" builtinId="4"/>
    <cellStyle name="Currency 2" xfId="21"/>
    <cellStyle name="Explanatory Text" xfId="2" builtinId="53"/>
    <cellStyle name="Explanatory Text 2" xfId="32"/>
    <cellStyle name="Explanatory Text 3" xfId="55"/>
    <cellStyle name="Followed Hyperlink" xfId="4" builtinId="9" hidden="1"/>
    <cellStyle name="Followed Hyperlink" xfId="6" builtinId="9" hidden="1"/>
    <cellStyle name="Followed Hyperlink" xfId="8" builtinId="9" hidden="1"/>
    <cellStyle name="Followed Hyperlink" xfId="10" builtinId="9" hidden="1"/>
    <cellStyle name="Followed Hyperlink" xfId="13" builtinId="9" hidden="1"/>
    <cellStyle name="Followed Hyperlink" xfId="15" builtinId="9" hidden="1"/>
    <cellStyle name="Good 2" xfId="33"/>
    <cellStyle name="Heading 1 2" xfId="34"/>
    <cellStyle name="Heading 2 2" xfId="35"/>
    <cellStyle name="Heading 3 2" xfId="36"/>
    <cellStyle name="Heading 4 2" xfId="37"/>
    <cellStyle name="Hyperlink" xfId="3" builtinId="8" hidden="1"/>
    <cellStyle name="Hyperlink" xfId="5" builtinId="8" hidden="1"/>
    <cellStyle name="Hyperlink" xfId="7" builtinId="8" hidden="1"/>
    <cellStyle name="Hyperlink" xfId="9" builtinId="8" hidden="1"/>
    <cellStyle name="Hyperlink" xfId="12" builtinId="8" hidden="1"/>
    <cellStyle name="Hyperlink" xfId="14" builtinId="8" hidden="1"/>
    <cellStyle name="Hyperlink" xfId="57" builtinId="8"/>
    <cellStyle name="Hyperlink 2" xfId="38"/>
    <cellStyle name="Input" xfId="11" builtinId="20"/>
    <cellStyle name="Input-default" xfId="39"/>
    <cellStyle name="Input-mandatory" xfId="62"/>
    <cellStyle name="Input-optional" xfId="63"/>
    <cellStyle name="Linked Cell" xfId="60" builtinId="24"/>
    <cellStyle name="Linked Cell 2" xfId="40"/>
    <cellStyle name="Neutral 2" xfId="41"/>
    <cellStyle name="Normal" xfId="0" builtinId="0" customBuiltin="1"/>
    <cellStyle name="Normal 2" xfId="42"/>
    <cellStyle name="Normal 2 2" xfId="43"/>
    <cellStyle name="Normal 2 3" xfId="44"/>
    <cellStyle name="Normal 3" xfId="20"/>
    <cellStyle name="Normal 3 2" xfId="45"/>
    <cellStyle name="Normal 4" xfId="46"/>
    <cellStyle name="Normal 5" xfId="47"/>
    <cellStyle name="Normal 6" xfId="18"/>
    <cellStyle name="Note" xfId="1" builtinId="10"/>
    <cellStyle name="Note 2" xfId="48"/>
    <cellStyle name="Output" xfId="16" builtinId="21" customBuiltin="1"/>
    <cellStyle name="Output 2" xfId="49"/>
    <cellStyle name="Percent" xfId="17" builtinId="5"/>
    <cellStyle name="Percent 2" xfId="50"/>
    <cellStyle name="Percent 3" xfId="19"/>
    <cellStyle name="Standard 2" xfId="51"/>
    <cellStyle name="System-info" xfId="61"/>
    <cellStyle name="Title 2" xfId="52"/>
    <cellStyle name="Total 2" xfId="53"/>
    <cellStyle name="Warning Text 2" xfId="54"/>
    <cellStyle name="Warning Text 3" xfId="56"/>
  </cellStyles>
  <dxfs count="1028">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ont>
        <color rgb="FF9C0006"/>
      </font>
      <fill>
        <patternFill>
          <bgColor rgb="FFFFC7CE"/>
        </patternFill>
      </fill>
    </dxf>
    <dxf>
      <font>
        <color rgb="FF006100"/>
      </font>
      <fill>
        <patternFill>
          <bgColor rgb="FFC6EFCE"/>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protection locked="0" hidden="0"/>
    </dxf>
    <dxf>
      <protection locked="0" hidden="0"/>
    </dxf>
    <dxf>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rgb="FF7F7F7F"/>
        </bottom>
      </border>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ont>
        <color rgb="FF9C0006"/>
      </font>
      <fill>
        <patternFill>
          <bgColor rgb="FFFFC7CE"/>
        </patternFill>
      </fill>
    </dxf>
    <dxf>
      <font>
        <color rgb="FF006100"/>
      </font>
      <fill>
        <patternFill>
          <bgColor rgb="FFC6EFCE"/>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ont>
        <b val="0"/>
        <i val="0"/>
        <strike val="0"/>
        <condense val="0"/>
        <extend val="0"/>
        <outline val="0"/>
        <shadow val="0"/>
        <u val="none"/>
        <vertAlign val="baseline"/>
        <sz val="11"/>
        <color theme="1"/>
        <name val="Calibri"/>
        <scheme val="minor"/>
      </font>
      <numFmt numFmtId="169" formatCode="_ [$IDR]\ * #,##0.00_ ;_ [$IDR]\ * \-#,##0.00_ ;_ [$IDR]\ * &quot;-&quot;??_ ;_ @_ "/>
      <fill>
        <patternFill patternType="solid">
          <fgColor indexed="64"/>
          <bgColor theme="0" tint="-0.14999847407452621"/>
        </patternFill>
      </fill>
      <border diagonalUp="0" diagonalDown="0" outline="0">
        <left style="medium">
          <color indexed="64"/>
        </left>
        <right style="medium">
          <color indexed="64"/>
        </right>
        <top/>
        <bottom/>
      </border>
    </dxf>
    <dxf>
      <border outline="0">
        <left style="thin">
          <color indexed="64"/>
        </left>
        <right style="thin">
          <color indexed="64"/>
        </right>
        <top style="medium">
          <color auto="1"/>
        </top>
        <bottom style="medium">
          <color indexed="64"/>
        </bottom>
      </border>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dxf>
    <dxf>
      <font>
        <b/>
        <i val="0"/>
        <strike val="0"/>
        <condense val="0"/>
        <extend val="0"/>
        <outline val="0"/>
        <shadow val="0"/>
        <u val="none"/>
        <vertAlign val="baseline"/>
        <sz val="12"/>
        <color rgb="FF000000"/>
        <name val="Calibri"/>
        <scheme val="minor"/>
      </font>
      <fill>
        <patternFill patternType="solid">
          <fgColor rgb="FF000000"/>
          <bgColor rgb="FFF2F2F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rgb="FF000000"/>
          <bgColor theme="0"/>
        </patternFill>
      </fill>
      <border diagonalUp="0" diagonalDown="0">
        <left style="medium">
          <color indexed="64"/>
        </left>
        <right style="medium">
          <color indexed="64"/>
        </right>
        <top style="thin">
          <color auto="1"/>
        </top>
        <bottom style="thin">
          <color auto="1"/>
        </bottom>
        <vertical style="thin">
          <color auto="1"/>
        </vertical>
        <horizontal style="thin">
          <color auto="1"/>
        </horizontal>
      </border>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theme="1"/>
        <name val="Calibri"/>
        <scheme val="minor"/>
      </font>
      <fill>
        <patternFill patternType="solid">
          <fgColor rgb="FF000000"/>
          <bgColor theme="0"/>
        </patternFill>
      </fill>
    </dxf>
    <dxf>
      <border outline="0">
        <bottom style="medium">
          <color indexed="64"/>
        </bottom>
      </border>
    </dxf>
    <dxf>
      <font>
        <b val="0"/>
        <i val="0"/>
        <strike val="0"/>
        <condense val="0"/>
        <extend val="0"/>
        <outline val="0"/>
        <shadow val="0"/>
        <u val="none"/>
        <vertAlign val="baseline"/>
        <sz val="12"/>
        <color rgb="FF000000"/>
        <name val="Calibri"/>
        <scheme val="minor"/>
      </font>
      <fill>
        <patternFill patternType="solid">
          <fgColor rgb="FF000000"/>
          <bgColor rgb="FFF2F2F2"/>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ont>
        <strike val="0"/>
        <outline val="0"/>
        <shadow val="0"/>
        <u val="none"/>
        <vertAlign val="baseline"/>
        <sz val="11"/>
        <color theme="1"/>
        <name val="Calibri"/>
        <scheme val="minor"/>
      </font>
      <fill>
        <patternFill>
          <bgColor theme="0"/>
        </patternFill>
      </fill>
      <border diagonalUp="0" diagonalDown="0" outline="0">
        <left/>
        <right/>
        <top style="medium">
          <color auto="1"/>
        </top>
        <bottom style="medium">
          <color auto="1"/>
        </bottom>
      </border>
    </dxf>
    <dxf>
      <border outline="0">
        <left style="medium">
          <color indexed="64"/>
        </left>
        <right style="thin">
          <color indexed="64"/>
        </right>
        <top style="medium">
          <color indexed="64"/>
        </top>
        <bottom style="medium">
          <color indexed="64"/>
        </bottom>
      </border>
    </dxf>
    <dxf>
      <font>
        <strike val="0"/>
        <outline val="0"/>
        <shadow val="0"/>
        <u val="none"/>
        <vertAlign val="baseline"/>
        <sz val="11"/>
        <color theme="1"/>
        <name val="Calibri"/>
        <scheme val="minor"/>
      </font>
      <fill>
        <patternFill>
          <bgColor theme="0"/>
        </patternFill>
      </fill>
    </dxf>
    <dxf>
      <border outline="0">
        <bottom style="medium">
          <color indexed="64"/>
        </bottom>
      </border>
    </dxf>
    <dxf>
      <font>
        <strike val="0"/>
        <outline val="0"/>
        <shadow val="0"/>
        <u val="none"/>
        <vertAlign val="baseline"/>
        <color theme="1"/>
        <name val="Calibri"/>
      </font>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
      <numFmt numFmtId="183" formatCode="_ [$USD]\ * #,##0.00_ ;_ [$USD]\ * \-#,##0.00_ ;_ [$USD]\ * &quot;-&quot;??_ ;_ @_ "/>
    </dxf>
    <dxf>
      <numFmt numFmtId="184" formatCode="_ [$EUR]\ * #,##0.00_ ;_ [$EUR]\ * \-#,##0.00_ ;_ [$EUR]\ * &quot;-&quot;??_ ;_ @_ "/>
    </dxf>
    <dxf>
      <numFmt numFmtId="34" formatCode="_ &quot;CHF&quot;\ * #,##0.00_ ;_ &quot;CHF&quot;\ * \-#,##0.00_ ;_ &quot;CHF&quot;\ * &quot;-&quot;??_ ;_ @_ "/>
    </dxf>
  </dxfs>
  <tableStyles count="0" defaultTableStyle="TableStyleMedium9" defaultPivotStyle="PivotStyleMedium7"/>
  <colors>
    <mruColors>
      <color rgb="FFFFCC99"/>
      <color rgb="FF33CCFF"/>
      <color rgb="FF3399FF"/>
      <color rgb="FF0066CC"/>
      <color rgb="FFF6CD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1"/>
          <c:order val="1"/>
          <c:tx>
            <c:v>Capex per year</c:v>
          </c:tx>
          <c:spPr>
            <a:solidFill>
              <a:schemeClr val="accent6">
                <a:shade val="76000"/>
              </a:schemeClr>
            </a:solidFill>
            <a:ln>
              <a:noFill/>
            </a:ln>
            <a:effectLst/>
          </c:spPr>
          <c:invertIfNegative val="0"/>
          <c:val>
            <c:numRef>
              <c:f>'5.1-Financial Analysis'!$C$101:$H$101</c:f>
              <c:numCache>
                <c:formatCode>_ [$IDR]\ * #,##0.00_ ;_ [$IDR]\ * \-#,##0.00_ ;_ [$IDR]\ * "-"??_ ;_ @_ </c:formatCode>
                <c:ptCount val="6"/>
                <c:pt idx="0">
                  <c:v>-66321.39499999999</c:v>
                </c:pt>
                <c:pt idx="1">
                  <c:v>-1750</c:v>
                </c:pt>
                <c:pt idx="2">
                  <c:v>-1750</c:v>
                </c:pt>
                <c:pt idx="3">
                  <c:v>-3418.7999999999997</c:v>
                </c:pt>
                <c:pt idx="4">
                  <c:v>-1750</c:v>
                </c:pt>
                <c:pt idx="5">
                  <c:v>0</c:v>
                </c:pt>
              </c:numCache>
            </c:numRef>
          </c:val>
          <c:extLst>
            <c:ext xmlns:c16="http://schemas.microsoft.com/office/drawing/2014/chart" uri="{C3380CC4-5D6E-409C-BE32-E72D297353CC}">
              <c16:uniqueId val="{00000001-BAD6-4A42-8D9D-2D2C7610C12A}"/>
            </c:ext>
          </c:extLst>
        </c:ser>
        <c:dLbls>
          <c:showLegendKey val="0"/>
          <c:showVal val="0"/>
          <c:showCatName val="0"/>
          <c:showSerName val="0"/>
          <c:showPercent val="0"/>
          <c:showBubbleSize val="0"/>
        </c:dLbls>
        <c:gapWidth val="219"/>
        <c:axId val="578255448"/>
        <c:axId val="578256432"/>
      </c:barChart>
      <c:lineChart>
        <c:grouping val="standard"/>
        <c:varyColors val="0"/>
        <c:ser>
          <c:idx val="0"/>
          <c:order val="0"/>
          <c:tx>
            <c:v>Cumulative Cashflow</c:v>
          </c:tx>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Analysis'!$C$107:$H$107</c:f>
              <c:numCache>
                <c:formatCode>_ [$IDR]\ * #,##0.00_ ;_ [$IDR]\ * \-#,##0.00_ ;_ [$IDR]\ * "-"??_ ;_ @_ </c:formatCode>
                <c:ptCount val="6"/>
                <c:pt idx="0">
                  <c:v>-72851.613333333327</c:v>
                </c:pt>
                <c:pt idx="1">
                  <c:v>145771.36262182461</c:v>
                </c:pt>
                <c:pt idx="2">
                  <c:v>364394.33857698255</c:v>
                </c:pt>
                <c:pt idx="3">
                  <c:v>581348.51453214046</c:v>
                </c:pt>
                <c:pt idx="4">
                  <c:v>799971.49048729846</c:v>
                </c:pt>
                <c:pt idx="5">
                  <c:v>1020344.4664424565</c:v>
                </c:pt>
              </c:numCache>
            </c:numRef>
          </c:val>
          <c:smooth val="0"/>
          <c:extLst>
            <c:ext xmlns:c16="http://schemas.microsoft.com/office/drawing/2014/chart" uri="{C3380CC4-5D6E-409C-BE32-E72D297353CC}">
              <c16:uniqueId val="{00000000-BAD6-4A42-8D9D-2D2C7610C12A}"/>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54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0557004593175853"/>
          <c:y val="7.6388888888888895E-2"/>
          <c:w val="0.46992727471566048"/>
          <c:h val="0.84722222222222221"/>
        </c:manualLayout>
      </c:layout>
      <c:barChart>
        <c:barDir val="col"/>
        <c:grouping val="clustered"/>
        <c:varyColors val="0"/>
        <c:ser>
          <c:idx val="0"/>
          <c:order val="0"/>
          <c:tx>
            <c:strRef>
              <c:f>'3.2-Results Dashboard'!$N$7</c:f>
              <c:strCache>
                <c:ptCount val="1"/>
                <c:pt idx="0">
                  <c:v>Gross margin</c:v>
                </c:pt>
              </c:strCache>
            </c:strRef>
          </c:tx>
          <c:spPr>
            <a:solidFill>
              <a:schemeClr val="accent6">
                <a:tint val="54000"/>
              </a:schemeClr>
            </a:solidFill>
            <a:ln>
              <a:noFill/>
            </a:ln>
            <a:effectLst/>
          </c:spPr>
          <c:invertIfNegative val="0"/>
          <c:val>
            <c:numRef>
              <c:f>'3.2-Results Dashboard'!$O$7</c:f>
              <c:numCache>
                <c:formatCode>0.0%</c:formatCode>
                <c:ptCount val="1"/>
                <c:pt idx="0">
                  <c:v>0.71689228765755864</c:v>
                </c:pt>
              </c:numCache>
            </c:numRef>
          </c:val>
          <c:extLst>
            <c:ext xmlns:c16="http://schemas.microsoft.com/office/drawing/2014/chart" uri="{C3380CC4-5D6E-409C-BE32-E72D297353CC}">
              <c16:uniqueId val="{00000000-F1D9-4A05-8D1B-21113A5B8D31}"/>
            </c:ext>
          </c:extLst>
        </c:ser>
        <c:ser>
          <c:idx val="1"/>
          <c:order val="1"/>
          <c:tx>
            <c:strRef>
              <c:f>'3.2-Results Dashboard'!$N$8</c:f>
              <c:strCache>
                <c:ptCount val="1"/>
                <c:pt idx="0">
                  <c:v>EBITDA margin</c:v>
                </c:pt>
              </c:strCache>
            </c:strRef>
          </c:tx>
          <c:spPr>
            <a:solidFill>
              <a:schemeClr val="accent6">
                <a:tint val="77000"/>
              </a:schemeClr>
            </a:solidFill>
            <a:ln>
              <a:noFill/>
            </a:ln>
            <a:effectLst/>
          </c:spPr>
          <c:invertIfNegative val="0"/>
          <c:val>
            <c:numRef>
              <c:f>'3.2-Results Dashboard'!$O$8</c:f>
              <c:numCache>
                <c:formatCode>0.0%</c:formatCode>
                <c:ptCount val="1"/>
                <c:pt idx="0">
                  <c:v>0.71943265367042941</c:v>
                </c:pt>
              </c:numCache>
            </c:numRef>
          </c:val>
          <c:extLst>
            <c:ext xmlns:c16="http://schemas.microsoft.com/office/drawing/2014/chart" uri="{C3380CC4-5D6E-409C-BE32-E72D297353CC}">
              <c16:uniqueId val="{00000001-F1D9-4A05-8D1B-21113A5B8D31}"/>
            </c:ext>
          </c:extLst>
        </c:ser>
        <c:ser>
          <c:idx val="2"/>
          <c:order val="2"/>
          <c:tx>
            <c:strRef>
              <c:f>'3.2-Results Dashboard'!$N$9</c:f>
              <c:strCache>
                <c:ptCount val="1"/>
                <c:pt idx="0">
                  <c:v>Operating margin</c:v>
                </c:pt>
              </c:strCache>
            </c:strRef>
          </c:tx>
          <c:spPr>
            <a:solidFill>
              <a:schemeClr val="accent6"/>
            </a:solidFill>
            <a:ln>
              <a:noFill/>
            </a:ln>
            <a:effectLst/>
          </c:spPr>
          <c:invertIfNegative val="0"/>
          <c:val>
            <c:numRef>
              <c:f>'3.2-Results Dashboard'!$O$9</c:f>
              <c:numCache>
                <c:formatCode>0.0%</c:formatCode>
                <c:ptCount val="1"/>
                <c:pt idx="0">
                  <c:v>0.67188921265322388</c:v>
                </c:pt>
              </c:numCache>
            </c:numRef>
          </c:val>
          <c:extLst>
            <c:ext xmlns:c16="http://schemas.microsoft.com/office/drawing/2014/chart" uri="{C3380CC4-5D6E-409C-BE32-E72D297353CC}">
              <c16:uniqueId val="{00000002-F1D9-4A05-8D1B-21113A5B8D31}"/>
            </c:ext>
          </c:extLst>
        </c:ser>
        <c:ser>
          <c:idx val="3"/>
          <c:order val="3"/>
          <c:tx>
            <c:strRef>
              <c:f>'3.2-Results Dashboard'!$N$10</c:f>
              <c:strCache>
                <c:ptCount val="1"/>
                <c:pt idx="0">
                  <c:v>Net margin</c:v>
                </c:pt>
              </c:strCache>
            </c:strRef>
          </c:tx>
          <c:spPr>
            <a:solidFill>
              <a:schemeClr val="accent6">
                <a:shade val="76000"/>
              </a:schemeClr>
            </a:solidFill>
            <a:ln>
              <a:noFill/>
            </a:ln>
            <a:effectLst/>
          </c:spPr>
          <c:invertIfNegative val="0"/>
          <c:val>
            <c:numRef>
              <c:f>'3.2-Results Dashboard'!$O$10</c:f>
              <c:numCache>
                <c:formatCode>0.0%</c:formatCode>
                <c:ptCount val="1"/>
                <c:pt idx="0">
                  <c:v>0.51152609900163659</c:v>
                </c:pt>
              </c:numCache>
            </c:numRef>
          </c:val>
          <c:extLst>
            <c:ext xmlns:c16="http://schemas.microsoft.com/office/drawing/2014/chart" uri="{C3380CC4-5D6E-409C-BE32-E72D297353CC}">
              <c16:uniqueId val="{00000003-F1D9-4A05-8D1B-21113A5B8D31}"/>
            </c:ext>
          </c:extLst>
        </c:ser>
        <c:ser>
          <c:idx val="4"/>
          <c:order val="4"/>
          <c:tx>
            <c:strRef>
              <c:f>'3.2-Results Dashboard'!$N$11</c:f>
              <c:strCache>
                <c:ptCount val="1"/>
                <c:pt idx="0">
                  <c:v>Markup</c:v>
                </c:pt>
              </c:strCache>
            </c:strRef>
          </c:tx>
          <c:spPr>
            <a:solidFill>
              <a:schemeClr val="accent6">
                <a:shade val="53000"/>
              </a:schemeClr>
            </a:solidFill>
            <a:ln>
              <a:noFill/>
            </a:ln>
            <a:effectLst/>
          </c:spPr>
          <c:invertIfNegative val="0"/>
          <c:val>
            <c:numRef>
              <c:f>'3.2-Results Dashboard'!$O$11</c:f>
              <c:numCache>
                <c:formatCode>0.0%</c:formatCode>
                <c:ptCount val="1"/>
                <c:pt idx="0">
                  <c:v>2.5322245082126917</c:v>
                </c:pt>
              </c:numCache>
            </c:numRef>
          </c:val>
          <c:extLst>
            <c:ext xmlns:c16="http://schemas.microsoft.com/office/drawing/2014/chart" uri="{C3380CC4-5D6E-409C-BE32-E72D297353CC}">
              <c16:uniqueId val="{00000004-F1D9-4A05-8D1B-21113A5B8D31}"/>
            </c:ext>
          </c:extLst>
        </c:ser>
        <c:dLbls>
          <c:showLegendKey val="0"/>
          <c:showVal val="0"/>
          <c:showCatName val="0"/>
          <c:showSerName val="0"/>
          <c:showPercent val="0"/>
          <c:showBubbleSize val="0"/>
        </c:dLbls>
        <c:gapWidth val="219"/>
        <c:overlap val="-27"/>
        <c:axId val="607723280"/>
        <c:axId val="607721640"/>
      </c:barChart>
      <c:catAx>
        <c:axId val="607723280"/>
        <c:scaling>
          <c:orientation val="minMax"/>
        </c:scaling>
        <c:delete val="1"/>
        <c:axPos val="b"/>
        <c:numFmt formatCode="General" sourceLinked="0"/>
        <c:majorTickMark val="out"/>
        <c:minorTickMark val="none"/>
        <c:tickLblPos val="nextTo"/>
        <c:crossAx val="607721640"/>
        <c:crosses val="autoZero"/>
        <c:auto val="1"/>
        <c:lblAlgn val="ctr"/>
        <c:lblOffset val="100"/>
        <c:noMultiLvlLbl val="0"/>
      </c:catAx>
      <c:valAx>
        <c:axId val="6077216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723280"/>
        <c:crosses val="autoZero"/>
        <c:crossBetween val="between"/>
      </c:valAx>
      <c:spPr>
        <a:noFill/>
        <a:ln>
          <a:noFill/>
        </a:ln>
        <a:effectLst/>
      </c:spPr>
    </c:plotArea>
    <c:legend>
      <c:legendPos val="r"/>
      <c:layout>
        <c:manualLayout>
          <c:xMode val="edge"/>
          <c:yMode val="edge"/>
          <c:x val="0.58244176509186352"/>
          <c:y val="5.5985892388451447E-2"/>
          <c:w val="0.2921462868227897"/>
          <c:h val="0.558250682203932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SG&amp;A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0820920822397201"/>
          <c:y val="7.6388888888888895E-2"/>
          <c:w val="0.48905867235345579"/>
          <c:h val="0.87847222222222221"/>
        </c:manualLayout>
      </c:layout>
      <c:barChart>
        <c:barDir val="col"/>
        <c:grouping val="stacked"/>
        <c:varyColors val="0"/>
        <c:ser>
          <c:idx val="0"/>
          <c:order val="0"/>
          <c:tx>
            <c:strRef>
              <c:f>'5.2-Cost Breakdown Analysis'!$B$60</c:f>
              <c:strCache>
                <c:ptCount val="1"/>
                <c:pt idx="0">
                  <c:v>Salaries</c:v>
                </c:pt>
              </c:strCache>
            </c:strRef>
          </c:tx>
          <c:spPr>
            <a:solidFill>
              <a:schemeClr val="accent6">
                <a:shade val="47000"/>
              </a:schemeClr>
            </a:solidFill>
            <a:ln>
              <a:noFill/>
            </a:ln>
            <a:effectLst/>
          </c:spPr>
          <c:invertIfNegative val="0"/>
          <c:dLbls>
            <c:dLbl>
              <c:idx val="0"/>
              <c:tx>
                <c:rich>
                  <a:bodyPr/>
                  <a:lstStyle/>
                  <a:p>
                    <a:fld id="{789B9E60-A4B9-477B-BFFF-41BFC80CE4C9}"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DC0-4DB6-A3D8-90815309EAE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Analysis'!$C$60</c:f>
              <c:numCache>
                <c:formatCode>_ [$IDR]\ * #,##0.00_ ;_ [$IDR]\ * \-#,##0.00_ ;_ [$IDR]\ * "-"??_ ;_ @_ </c:formatCode>
                <c:ptCount val="1"/>
                <c:pt idx="0">
                  <c:v>4703.9999999999991</c:v>
                </c:pt>
              </c:numCache>
            </c:numRef>
          </c:val>
          <c:extLst>
            <c:ext xmlns:c15="http://schemas.microsoft.com/office/drawing/2012/chart" uri="{02D57815-91ED-43cb-92C2-25804820EDAC}">
              <c15:datalabelsRange>
                <c15:f>'5.2-Cost Breakdown Analysis'!$D$60</c15:f>
                <c15:dlblRangeCache>
                  <c:ptCount val="1"/>
                  <c:pt idx="0">
                    <c:v>34%</c:v>
                  </c:pt>
                </c15:dlblRangeCache>
              </c15:datalabelsRange>
            </c:ext>
            <c:ext xmlns:c16="http://schemas.microsoft.com/office/drawing/2014/chart" uri="{C3380CC4-5D6E-409C-BE32-E72D297353CC}">
              <c16:uniqueId val="{00000001-DDC0-4DB6-A3D8-90815309EAE4}"/>
            </c:ext>
          </c:extLst>
        </c:ser>
        <c:ser>
          <c:idx val="1"/>
          <c:order val="1"/>
          <c:tx>
            <c:strRef>
              <c:f>'5.2-Cost Breakdown Analysis'!$B$61</c:f>
              <c:strCache>
                <c:ptCount val="1"/>
                <c:pt idx="0">
                  <c:v>Factory rent</c:v>
                </c:pt>
              </c:strCache>
            </c:strRef>
          </c:tx>
          <c:spPr>
            <a:solidFill>
              <a:schemeClr val="accent6">
                <a:shade val="65000"/>
              </a:schemeClr>
            </a:solidFill>
            <a:ln>
              <a:noFill/>
            </a:ln>
            <a:effectLst/>
          </c:spPr>
          <c:invertIfNegative val="0"/>
          <c:dLbls>
            <c:dLbl>
              <c:idx val="0"/>
              <c:tx>
                <c:rich>
                  <a:bodyPr/>
                  <a:lstStyle/>
                  <a:p>
                    <a:fld id="{29A6246A-6B84-45AD-8E99-AD318FD686F7}"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Analysis'!$C$61</c:f>
              <c:numCache>
                <c:formatCode>_ [$IDR]\ * #,##0.00_ ;_ [$IDR]\ * \-#,##0.00_ ;_ [$IDR]\ * "-"??_ ;_ @_ </c:formatCode>
                <c:ptCount val="1"/>
                <c:pt idx="0">
                  <c:v>6530.2183333333332</c:v>
                </c:pt>
              </c:numCache>
            </c:numRef>
          </c:val>
          <c:extLst>
            <c:ext xmlns:c15="http://schemas.microsoft.com/office/drawing/2012/chart" uri="{02D57815-91ED-43cb-92C2-25804820EDAC}">
              <c15:datalabelsRange>
                <c15:f>'5.2-Cost Breakdown Analysis'!$D$61</c15:f>
                <c15:dlblRangeCache>
                  <c:ptCount val="1"/>
                  <c:pt idx="0">
                    <c:v>47%</c:v>
                  </c:pt>
                </c15:dlblRangeCache>
              </c15:datalabelsRange>
            </c:ext>
            <c:ext xmlns:c16="http://schemas.microsoft.com/office/drawing/2014/chart" uri="{C3380CC4-5D6E-409C-BE32-E72D297353CC}">
              <c16:uniqueId val="{00000003-DDC0-4DB6-A3D8-90815309EAE4}"/>
            </c:ext>
          </c:extLst>
        </c:ser>
        <c:ser>
          <c:idx val="2"/>
          <c:order val="2"/>
          <c:tx>
            <c:strRef>
              <c:f>'5.2-Cost Breakdown Analysis'!$B$62</c:f>
              <c:strCache>
                <c:ptCount val="1"/>
                <c:pt idx="0">
                  <c:v>Factory building depreciation</c:v>
                </c:pt>
              </c:strCache>
            </c:strRef>
          </c:tx>
          <c:spPr>
            <a:solidFill>
              <a:schemeClr val="accent6">
                <a:shade val="82000"/>
              </a:schemeClr>
            </a:solidFill>
            <a:ln>
              <a:noFill/>
            </a:ln>
            <a:effectLst/>
          </c:spPr>
          <c:invertIfNegative val="0"/>
          <c:dLbls>
            <c:dLbl>
              <c:idx val="0"/>
              <c:tx>
                <c:rich>
                  <a:bodyPr/>
                  <a:lstStyle/>
                  <a:p>
                    <a:fld id="{B9C9CE34-E7A9-4142-B4C1-07202B9DC849}"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Analysis'!$C$62</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Analysis'!$D$62</c15:f>
                <c15:dlblRangeCache>
                  <c:ptCount val="1"/>
                  <c:pt idx="0">
                    <c:v>0%</c:v>
                  </c:pt>
                </c15:dlblRangeCache>
              </c15:datalabelsRange>
            </c:ext>
            <c:ext xmlns:c16="http://schemas.microsoft.com/office/drawing/2014/chart" uri="{C3380CC4-5D6E-409C-BE32-E72D297353CC}">
              <c16:uniqueId val="{00000005-DDC0-4DB6-A3D8-90815309EAE4}"/>
            </c:ext>
          </c:extLst>
        </c:ser>
        <c:ser>
          <c:idx val="3"/>
          <c:order val="3"/>
          <c:tx>
            <c:strRef>
              <c:f>'5.2-Cost Breakdown Analysis'!$B$63</c:f>
              <c:strCache>
                <c:ptCount val="1"/>
                <c:pt idx="0">
                  <c:v>Office utilities</c:v>
                </c:pt>
              </c:strCache>
            </c:strRef>
          </c:tx>
          <c:spPr>
            <a:solidFill>
              <a:schemeClr val="accent6"/>
            </a:solidFill>
            <a:ln>
              <a:noFill/>
            </a:ln>
            <a:effectLst/>
          </c:spPr>
          <c:invertIfNegative val="0"/>
          <c:dLbls>
            <c:dLbl>
              <c:idx val="0"/>
              <c:tx>
                <c:rich>
                  <a:bodyPr/>
                  <a:lstStyle/>
                  <a:p>
                    <a:fld id="{C15906CC-6F7F-4F86-BB4E-11D7CD6A0763}"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Analysis'!$C$63</c:f>
              <c:numCache>
                <c:formatCode>_ [$IDR]\ * #,##0.00_ ;_ [$IDR]\ * \-#,##0.00_ ;_ [$IDR]\ * "-"??_ ;_ @_ </c:formatCode>
                <c:ptCount val="1"/>
                <c:pt idx="0">
                  <c:v>2550.8962499999998</c:v>
                </c:pt>
              </c:numCache>
            </c:numRef>
          </c:val>
          <c:extLst>
            <c:ext xmlns:c15="http://schemas.microsoft.com/office/drawing/2012/chart" uri="{02D57815-91ED-43cb-92C2-25804820EDAC}">
              <c15:datalabelsRange>
                <c15:f>'5.2-Cost Breakdown Analysis'!$D$63</c15:f>
                <c15:dlblRangeCache>
                  <c:ptCount val="1"/>
                  <c:pt idx="0">
                    <c:v>19%</c:v>
                  </c:pt>
                </c15:dlblRangeCache>
              </c15:datalabelsRange>
            </c:ext>
            <c:ext xmlns:c16="http://schemas.microsoft.com/office/drawing/2014/chart" uri="{C3380CC4-5D6E-409C-BE32-E72D297353CC}">
              <c16:uniqueId val="{00000007-DDC0-4DB6-A3D8-90815309EAE4}"/>
            </c:ext>
          </c:extLst>
        </c:ser>
        <c:ser>
          <c:idx val="4"/>
          <c:order val="4"/>
          <c:tx>
            <c:strRef>
              <c:f>'5.2-Cost Breakdown Analysis'!$B$64</c:f>
              <c:strCache>
                <c:ptCount val="1"/>
                <c:pt idx="0">
                  <c:v>Office equipment</c:v>
                </c:pt>
              </c:strCache>
            </c:strRef>
          </c:tx>
          <c:spPr>
            <a:solidFill>
              <a:schemeClr val="accent6">
                <a:tint val="83000"/>
              </a:schemeClr>
            </a:solidFill>
            <a:ln>
              <a:noFill/>
            </a:ln>
            <a:effectLst/>
          </c:spPr>
          <c:invertIfNegative val="0"/>
          <c:dLbls>
            <c:dLbl>
              <c:idx val="0"/>
              <c:tx>
                <c:rich>
                  <a:bodyPr/>
                  <a:lstStyle/>
                  <a:p>
                    <a:fld id="{A9A0109A-BFF9-4CE0-A1CB-62B7AB9A3D8B}"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Analysis'!$C$64</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Analysis'!$D$64</c15:f>
                <c15:dlblRangeCache>
                  <c:ptCount val="1"/>
                  <c:pt idx="0">
                    <c:v>0%</c:v>
                  </c:pt>
                </c15:dlblRangeCache>
              </c15:datalabelsRange>
            </c:ext>
            <c:ext xmlns:c16="http://schemas.microsoft.com/office/drawing/2014/chart" uri="{C3380CC4-5D6E-409C-BE32-E72D297353CC}">
              <c16:uniqueId val="{00000009-DDC0-4DB6-A3D8-90815309EAE4}"/>
            </c:ext>
          </c:extLst>
        </c:ser>
        <c:ser>
          <c:idx val="5"/>
          <c:order val="5"/>
          <c:tx>
            <c:strRef>
              <c:f>'5.2-Cost Breakdown Analysis'!$B$65</c:f>
              <c:strCache>
                <c:ptCount val="1"/>
                <c:pt idx="0">
                  <c:v>Office supplies</c:v>
                </c:pt>
              </c:strCache>
            </c:strRef>
          </c:tx>
          <c:spPr>
            <a:solidFill>
              <a:schemeClr val="accent6">
                <a:tint val="65000"/>
              </a:schemeClr>
            </a:solidFill>
            <a:ln>
              <a:noFill/>
            </a:ln>
            <a:effectLst/>
          </c:spPr>
          <c:invertIfNegative val="0"/>
          <c:dLbls>
            <c:dLbl>
              <c:idx val="0"/>
              <c:tx>
                <c:rich>
                  <a:bodyPr/>
                  <a:lstStyle/>
                  <a:p>
                    <a:fld id="{0A3945E7-3785-480B-963D-695603201121}"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Analysis'!$C$65</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Analysis'!$D$65</c15:f>
                <c15:dlblRangeCache>
                  <c:ptCount val="1"/>
                  <c:pt idx="0">
                    <c:v>0%</c:v>
                  </c:pt>
                </c15:dlblRangeCache>
              </c15:datalabelsRange>
            </c:ext>
            <c:ext xmlns:c16="http://schemas.microsoft.com/office/drawing/2014/chart" uri="{C3380CC4-5D6E-409C-BE32-E72D297353CC}">
              <c16:uniqueId val="{0000000B-DDC0-4DB6-A3D8-90815309EAE4}"/>
            </c:ext>
          </c:extLst>
        </c:ser>
        <c:ser>
          <c:idx val="6"/>
          <c:order val="6"/>
          <c:tx>
            <c:strRef>
              <c:f>'5.2-Cost Breakdown Analysis'!$B$66</c:f>
              <c:strCache>
                <c:ptCount val="1"/>
                <c:pt idx="0">
                  <c:v>SG&amp;A Depreciation</c:v>
                </c:pt>
              </c:strCache>
            </c:strRef>
          </c:tx>
          <c:spPr>
            <a:solidFill>
              <a:schemeClr val="accent6">
                <a:tint val="48000"/>
              </a:schemeClr>
            </a:solidFill>
            <a:ln>
              <a:noFill/>
            </a:ln>
            <a:effectLst/>
          </c:spPr>
          <c:invertIfNegative val="0"/>
          <c:dLbls>
            <c:dLbl>
              <c:idx val="0"/>
              <c:tx>
                <c:rich>
                  <a:bodyPr/>
                  <a:lstStyle/>
                  <a:p>
                    <a:fld id="{ECEF85E2-2946-4D0D-8B5D-2E9897EC1D87}"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Analysis'!$C$66</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Analysis'!$D$66</c15:f>
                <c15:dlblRangeCache>
                  <c:ptCount val="1"/>
                  <c:pt idx="0">
                    <c:v>0%</c:v>
                  </c:pt>
                </c15:dlblRangeCache>
              </c15:datalabelsRange>
            </c:ext>
            <c:ext xmlns:c16="http://schemas.microsoft.com/office/drawing/2014/chart" uri="{C3380CC4-5D6E-409C-BE32-E72D297353CC}">
              <c16:uniqueId val="{0000000D-DDC0-4DB6-A3D8-90815309EAE4}"/>
            </c:ext>
          </c:extLst>
        </c:ser>
        <c:dLbls>
          <c:dLblPos val="ctr"/>
          <c:showLegendKey val="0"/>
          <c:showVal val="1"/>
          <c:showCatName val="0"/>
          <c:showSerName val="0"/>
          <c:showPercent val="0"/>
          <c:showBubbleSize val="0"/>
        </c:dLbls>
        <c:gapWidth val="150"/>
        <c:overlap val="100"/>
        <c:axId val="614343088"/>
        <c:axId val="614342432"/>
      </c:barChart>
      <c:catAx>
        <c:axId val="614343088"/>
        <c:scaling>
          <c:orientation val="minMax"/>
        </c:scaling>
        <c:delete val="1"/>
        <c:axPos val="b"/>
        <c:numFmt formatCode="General" sourceLinked="1"/>
        <c:majorTickMark val="none"/>
        <c:minorTickMark val="none"/>
        <c:tickLblPos val="nextTo"/>
        <c:crossAx val="614342432"/>
        <c:crosses val="autoZero"/>
        <c:auto val="1"/>
        <c:lblAlgn val="ctr"/>
        <c:lblOffset val="100"/>
        <c:noMultiLvlLbl val="0"/>
      </c:catAx>
      <c:valAx>
        <c:axId val="614342432"/>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4343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a:t>
            </a:r>
            <a:r>
              <a:rPr lang="en-GB" baseline="0"/>
              <a:t> costs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290425415573053"/>
          <c:y val="7.9861111111111105E-2"/>
          <c:w val="0.58327837926509185"/>
          <c:h val="0.86736712598425192"/>
        </c:manualLayout>
      </c:layout>
      <c:barChart>
        <c:barDir val="col"/>
        <c:grouping val="stacked"/>
        <c:varyColors val="0"/>
        <c:ser>
          <c:idx val="0"/>
          <c:order val="0"/>
          <c:tx>
            <c:strRef>
              <c:f>'5.2-Cost Breakdown Analysis'!$B$54</c:f>
              <c:strCache>
                <c:ptCount val="1"/>
                <c:pt idx="0">
                  <c:v>COGS</c:v>
                </c:pt>
              </c:strCache>
            </c:strRef>
          </c:tx>
          <c:spPr>
            <a:solidFill>
              <a:schemeClr val="accent6">
                <a:shade val="76000"/>
              </a:schemeClr>
            </a:solidFill>
            <a:ln>
              <a:noFill/>
            </a:ln>
            <a:effectLst/>
          </c:spPr>
          <c:invertIfNegative val="0"/>
          <c:dLbls>
            <c:dLbl>
              <c:idx val="0"/>
              <c:tx>
                <c:rich>
                  <a:bodyPr/>
                  <a:lstStyle/>
                  <a:p>
                    <a:fld id="{9116FAF9-FB05-4F23-BB54-267847CD29D7}"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966-4DCD-BD3E-9D0D5CF81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Operational costs</c:v>
              </c:pt>
            </c:strLit>
          </c:cat>
          <c:val>
            <c:numRef>
              <c:f>'5.2-Cost Breakdown Analysis'!$C$54</c:f>
              <c:numCache>
                <c:formatCode>_ [$IDR]\ * #,##0.00_ ;_ [$IDR]\ * \-#,##0.00_ ;_ [$IDR]\ * "-"??_ ;_ @_ </c:formatCode>
                <c:ptCount val="1"/>
                <c:pt idx="0">
                  <c:v>86720.124206846158</c:v>
                </c:pt>
              </c:numCache>
            </c:numRef>
          </c:val>
          <c:extLst>
            <c:ext xmlns:c15="http://schemas.microsoft.com/office/drawing/2012/chart" uri="{02D57815-91ED-43cb-92C2-25804820EDAC}">
              <c15:datalabelsRange>
                <c15:f>'5.2-Cost Breakdown Analysis'!$D$54</c15:f>
                <c15:dlblRangeCache>
                  <c:ptCount val="1"/>
                  <c:pt idx="0">
                    <c:v>86%</c:v>
                  </c:pt>
                </c15:dlblRangeCache>
              </c15:datalabelsRange>
            </c:ext>
            <c:ext xmlns:c16="http://schemas.microsoft.com/office/drawing/2014/chart" uri="{C3380CC4-5D6E-409C-BE32-E72D297353CC}">
              <c16:uniqueId val="{00000001-B966-4DCD-BD3E-9D0D5CF81483}"/>
            </c:ext>
          </c:extLst>
        </c:ser>
        <c:ser>
          <c:idx val="1"/>
          <c:order val="1"/>
          <c:tx>
            <c:strRef>
              <c:f>'5.2-Cost Breakdown Analysis'!$B$55</c:f>
              <c:strCache>
                <c:ptCount val="1"/>
                <c:pt idx="0">
                  <c:v>SG&amp;A</c:v>
                </c:pt>
              </c:strCache>
            </c:strRef>
          </c:tx>
          <c:spPr>
            <a:solidFill>
              <a:schemeClr val="accent6">
                <a:tint val="77000"/>
              </a:schemeClr>
            </a:solidFill>
            <a:ln>
              <a:noFill/>
            </a:ln>
            <a:effectLst/>
          </c:spPr>
          <c:invertIfNegative val="0"/>
          <c:dLbls>
            <c:dLbl>
              <c:idx val="0"/>
              <c:tx>
                <c:rich>
                  <a:bodyPr/>
                  <a:lstStyle/>
                  <a:p>
                    <a:fld id="{9AA6A649-0B71-4196-A18E-F1375B5DB448}"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966-4DCD-BD3E-9D0D5CF81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Operational costs</c:v>
              </c:pt>
            </c:strLit>
          </c:cat>
          <c:val>
            <c:numRef>
              <c:f>'5.2-Cost Breakdown Analysis'!$C$55</c:f>
              <c:numCache>
                <c:formatCode>_ [$IDR]\ * #,##0.00_ ;_ [$IDR]\ * \-#,##0.00_ ;_ [$IDR]\ * "-"??_ ;_ @_ </c:formatCode>
                <c:ptCount val="1"/>
                <c:pt idx="0">
                  <c:v>13785.114583333332</c:v>
                </c:pt>
              </c:numCache>
            </c:numRef>
          </c:val>
          <c:extLst>
            <c:ext xmlns:c15="http://schemas.microsoft.com/office/drawing/2012/chart" uri="{02D57815-91ED-43cb-92C2-25804820EDAC}">
              <c15:datalabelsRange>
                <c15:f>'5.2-Cost Breakdown Analysis'!$D$55</c15:f>
                <c15:dlblRangeCache>
                  <c:ptCount val="1"/>
                  <c:pt idx="0">
                    <c:v>14%</c:v>
                  </c:pt>
                </c15:dlblRangeCache>
              </c15:datalabelsRange>
            </c:ext>
            <c:ext xmlns:c16="http://schemas.microsoft.com/office/drawing/2014/chart" uri="{C3380CC4-5D6E-409C-BE32-E72D297353CC}">
              <c16:uniqueId val="{00000003-B966-4DCD-BD3E-9D0D5CF81483}"/>
            </c:ext>
          </c:extLst>
        </c:ser>
        <c:dLbls>
          <c:showLegendKey val="0"/>
          <c:showVal val="0"/>
          <c:showCatName val="0"/>
          <c:showSerName val="0"/>
          <c:showPercent val="0"/>
          <c:showBubbleSize val="0"/>
        </c:dLbls>
        <c:gapWidth val="150"/>
        <c:overlap val="100"/>
        <c:axId val="614343088"/>
        <c:axId val="614342432"/>
      </c:barChart>
      <c:catAx>
        <c:axId val="614343088"/>
        <c:scaling>
          <c:orientation val="minMax"/>
        </c:scaling>
        <c:delete val="1"/>
        <c:axPos val="b"/>
        <c:numFmt formatCode="General" sourceLinked="1"/>
        <c:majorTickMark val="none"/>
        <c:minorTickMark val="none"/>
        <c:tickLblPos val="nextTo"/>
        <c:crossAx val="614342432"/>
        <c:crosses val="autoZero"/>
        <c:auto val="1"/>
        <c:lblAlgn val="ctr"/>
        <c:lblOffset val="100"/>
        <c:noMultiLvlLbl val="0"/>
      </c:catAx>
      <c:valAx>
        <c:axId val="614342432"/>
        <c:scaling>
          <c:orientation val="minMax"/>
          <c:min val="0"/>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4343088"/>
        <c:crosses val="autoZero"/>
        <c:crossBetween val="between"/>
      </c:valAx>
      <c:spPr>
        <a:noFill/>
        <a:ln>
          <a:noFill/>
        </a:ln>
        <a:effectLst/>
      </c:spPr>
    </c:plotArea>
    <c:legend>
      <c:legendPos val="r"/>
      <c:layout>
        <c:manualLayout>
          <c:xMode val="edge"/>
          <c:yMode val="edge"/>
          <c:x val="0.76718203193350831"/>
          <c:y val="0.48322861986001747"/>
          <c:w val="0.12865130139982503"/>
          <c:h val="0.117188320209973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 costs breakdown</a:t>
            </a:r>
            <a:r>
              <a:rPr lang="en-GB" baseline="0"/>
              <a:t> per unit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831789487264539"/>
          <c:y val="6.9370078740157493E-2"/>
          <c:w val="0.56909978640797676"/>
          <c:h val="0.72068104768153984"/>
        </c:manualLayout>
      </c:layout>
      <c:barChart>
        <c:barDir val="col"/>
        <c:grouping val="stacked"/>
        <c:varyColors val="0"/>
        <c:ser>
          <c:idx val="0"/>
          <c:order val="0"/>
          <c:tx>
            <c:strRef>
              <c:f>'5.2-Cost Breakdown Analysis'!$C$6</c:f>
              <c:strCache>
                <c:ptCount val="1"/>
                <c:pt idx="0">
                  <c:v>Materials (direct)</c:v>
                </c:pt>
              </c:strCache>
            </c:strRef>
          </c:tx>
          <c:spPr>
            <a:solidFill>
              <a:schemeClr val="accent6">
                <a:shade val="50000"/>
              </a:schemeClr>
            </a:solidFill>
            <a:ln>
              <a:noFill/>
            </a:ln>
            <a:effectLst/>
          </c:spPr>
          <c:invertIfNegative val="0"/>
          <c:dLbls>
            <c:dLbl>
              <c:idx val="0"/>
              <c:tx>
                <c:rich>
                  <a:bodyPr/>
                  <a:lstStyle/>
                  <a:p>
                    <a:fld id="{9A36B1F4-FD66-4C82-9CE4-33E3C94F0C0C}"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1CF-4D71-ABEF-2F252F701693}"/>
                </c:ext>
              </c:extLst>
            </c:dLbl>
            <c:dLbl>
              <c:idx val="1"/>
              <c:tx>
                <c:rich>
                  <a:bodyPr/>
                  <a:lstStyle/>
                  <a:p>
                    <a:fld id="{41980B72-96CC-4117-B831-AB00A1B7A048}"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1CF-4D71-ABEF-2F252F701693}"/>
                </c:ext>
              </c:extLst>
            </c:dLbl>
            <c:dLbl>
              <c:idx val="2"/>
              <c:tx>
                <c:rich>
                  <a:bodyPr/>
                  <a:lstStyle/>
                  <a:p>
                    <a:fld id="{E9689FBA-BF74-4B21-8EA4-46D95042D734}"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CF-4D71-ABEF-2F252F701693}"/>
                </c:ext>
              </c:extLst>
            </c:dLbl>
            <c:dLbl>
              <c:idx val="3"/>
              <c:tx>
                <c:rich>
                  <a:bodyPr/>
                  <a:lstStyle/>
                  <a:p>
                    <a:fld id="{966A5282-2123-4B61-9934-CAF0171120D1}"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CF-4D71-ABEF-2F252F701693}"/>
                </c:ext>
              </c:extLst>
            </c:dLbl>
            <c:dLbl>
              <c:idx val="4"/>
              <c:tx>
                <c:rich>
                  <a:bodyPr/>
                  <a:lstStyle/>
                  <a:p>
                    <a:fld id="{8F7BD267-316C-41B2-8E45-1E857A04C698}"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CF-4D71-ABEF-2F252F701693}"/>
                </c:ext>
              </c:extLst>
            </c:dLbl>
            <c:dLbl>
              <c:idx val="5"/>
              <c:tx>
                <c:rich>
                  <a:bodyPr/>
                  <a:lstStyle/>
                  <a:p>
                    <a:fld id="{6E8444E4-3FCE-4F05-B228-BA4052D17EB0}"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Analysis'!$C$7:$C$12</c:f>
              <c:numCache>
                <c:formatCode>_ [$IDR]\ * #,##0.00_ ;_ [$IDR]\ * \-#,##0.00_ ;_ [$IDR]\ * "-"??_ ;_ @_ </c:formatCode>
                <c:ptCount val="6"/>
                <c:pt idx="0">
                  <c:v>0</c:v>
                </c:pt>
                <c:pt idx="1">
                  <c:v>0</c:v>
                </c:pt>
                <c:pt idx="2">
                  <c:v>0</c:v>
                </c:pt>
                <c:pt idx="3">
                  <c:v>5780.237177151902</c:v>
                </c:pt>
                <c:pt idx="4">
                  <c:v>0</c:v>
                </c:pt>
                <c:pt idx="5">
                  <c:v>0</c:v>
                </c:pt>
              </c:numCache>
            </c:numRef>
          </c:val>
          <c:extLst>
            <c:ext xmlns:c15="http://schemas.microsoft.com/office/drawing/2012/chart" uri="{02D57815-91ED-43cb-92C2-25804820EDAC}">
              <c15:datalabelsRange>
                <c15:f>'5.2-Cost Breakdown Analysis'!$C$28:$H$28</c15:f>
                <c15:dlblRangeCache>
                  <c:ptCount val="6"/>
                  <c:pt idx="0">
                    <c:v>0%</c:v>
                  </c:pt>
                  <c:pt idx="1">
                    <c:v>0%</c:v>
                  </c:pt>
                  <c:pt idx="2">
                    <c:v>0%</c:v>
                  </c:pt>
                  <c:pt idx="3">
                    <c:v>15%</c:v>
                  </c:pt>
                  <c:pt idx="4">
                    <c:v>0%</c:v>
                  </c:pt>
                  <c:pt idx="5">
                    <c:v>0%</c:v>
                  </c:pt>
                </c15:dlblRangeCache>
              </c15:datalabelsRange>
            </c:ext>
            <c:ext xmlns:c16="http://schemas.microsoft.com/office/drawing/2014/chart" uri="{C3380CC4-5D6E-409C-BE32-E72D297353CC}">
              <c16:uniqueId val="{00000006-61CF-4D71-ABEF-2F252F701693}"/>
            </c:ext>
          </c:extLst>
        </c:ser>
        <c:ser>
          <c:idx val="1"/>
          <c:order val="1"/>
          <c:tx>
            <c:strRef>
              <c:f>'5.2-Cost Breakdown Analysis'!$D$6</c:f>
              <c:strCache>
                <c:ptCount val="1"/>
                <c:pt idx="0">
                  <c:v>Labor (direct)</c:v>
                </c:pt>
              </c:strCache>
            </c:strRef>
          </c:tx>
          <c:spPr>
            <a:solidFill>
              <a:schemeClr val="accent6">
                <a:shade val="70000"/>
              </a:schemeClr>
            </a:solidFill>
            <a:ln>
              <a:noFill/>
            </a:ln>
            <a:effectLst/>
          </c:spPr>
          <c:invertIfNegative val="0"/>
          <c:dLbls>
            <c:dLbl>
              <c:idx val="0"/>
              <c:tx>
                <c:rich>
                  <a:bodyPr/>
                  <a:lstStyle/>
                  <a:p>
                    <a:fld id="{38CBEA51-7A53-422B-8EC1-682BFC5DF671}"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1CF-4D71-ABEF-2F252F701693}"/>
                </c:ext>
              </c:extLst>
            </c:dLbl>
            <c:dLbl>
              <c:idx val="1"/>
              <c:tx>
                <c:rich>
                  <a:bodyPr/>
                  <a:lstStyle/>
                  <a:p>
                    <a:fld id="{BF631A8C-54CB-4FDA-B8AA-365F5F21EC86}"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CF-4D71-ABEF-2F252F701693}"/>
                </c:ext>
              </c:extLst>
            </c:dLbl>
            <c:dLbl>
              <c:idx val="2"/>
              <c:tx>
                <c:rich>
                  <a:bodyPr/>
                  <a:lstStyle/>
                  <a:p>
                    <a:fld id="{C2F84FD9-BAFE-4802-AA18-D7EF35790B77}"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CF-4D71-ABEF-2F252F701693}"/>
                </c:ext>
              </c:extLst>
            </c:dLbl>
            <c:dLbl>
              <c:idx val="3"/>
              <c:tx>
                <c:rich>
                  <a:bodyPr/>
                  <a:lstStyle/>
                  <a:p>
                    <a:fld id="{873174FE-1998-4E5F-A8B5-54E40A7FAB73}"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CF-4D71-ABEF-2F252F701693}"/>
                </c:ext>
              </c:extLst>
            </c:dLbl>
            <c:dLbl>
              <c:idx val="4"/>
              <c:tx>
                <c:rich>
                  <a:bodyPr/>
                  <a:lstStyle/>
                  <a:p>
                    <a:fld id="{4185D421-3AB3-4C8B-8929-66C36426D09D}"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CF-4D71-ABEF-2F252F701693}"/>
                </c:ext>
              </c:extLst>
            </c:dLbl>
            <c:dLbl>
              <c:idx val="5"/>
              <c:tx>
                <c:rich>
                  <a:bodyPr/>
                  <a:lstStyle/>
                  <a:p>
                    <a:fld id="{A8E6BC30-BA1B-444B-868B-EA5EF188422E}"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Analysis'!$D$7:$D$12</c:f>
              <c:numCache>
                <c:formatCode>_ [$IDR]\ * #,##0.00_ ;_ [$IDR]\ * \-#,##0.00_ ;_ [$IDR]\ * "-"??_ ;_ @_ </c:formatCode>
                <c:ptCount val="6"/>
                <c:pt idx="0">
                  <c:v>2003.2348366082435</c:v>
                </c:pt>
                <c:pt idx="1">
                  <c:v>4383.0938643152094</c:v>
                </c:pt>
                <c:pt idx="2">
                  <c:v>7309.8438826566016</c:v>
                </c:pt>
                <c:pt idx="3">
                  <c:v>23099.999999999996</c:v>
                </c:pt>
                <c:pt idx="4">
                  <c:v>0</c:v>
                </c:pt>
                <c:pt idx="5">
                  <c:v>9823.8274164199447</c:v>
                </c:pt>
              </c:numCache>
            </c:numRef>
          </c:val>
          <c:extLst>
            <c:ext xmlns:c15="http://schemas.microsoft.com/office/drawing/2012/chart" uri="{02D57815-91ED-43cb-92C2-25804820EDAC}">
              <c15:datalabelsRange>
                <c15:f>'5.2-Cost Breakdown Analysis'!$C$29:$H$29</c15:f>
                <c15:dlblRangeCache>
                  <c:ptCount val="6"/>
                  <c:pt idx="0">
                    <c:v>35%</c:v>
                  </c:pt>
                  <c:pt idx="1">
                    <c:v>39%</c:v>
                  </c:pt>
                  <c:pt idx="2">
                    <c:v>43%</c:v>
                  </c:pt>
                  <c:pt idx="3">
                    <c:v>59%</c:v>
                  </c:pt>
                  <c:pt idx="4">
                    <c:v>0%</c:v>
                  </c:pt>
                  <c:pt idx="5">
                    <c:v>84%</c:v>
                  </c:pt>
                </c15:dlblRangeCache>
              </c15:datalabelsRange>
            </c:ext>
            <c:ext xmlns:c16="http://schemas.microsoft.com/office/drawing/2014/chart" uri="{C3380CC4-5D6E-409C-BE32-E72D297353CC}">
              <c16:uniqueId val="{0000000D-61CF-4D71-ABEF-2F252F701693}"/>
            </c:ext>
          </c:extLst>
        </c:ser>
        <c:ser>
          <c:idx val="2"/>
          <c:order val="2"/>
          <c:tx>
            <c:strRef>
              <c:f>'5.2-Cost Breakdown Analysis'!$E$6</c:f>
              <c:strCache>
                <c:ptCount val="1"/>
                <c:pt idx="0">
                  <c:v>Labor (indirect)</c:v>
                </c:pt>
              </c:strCache>
            </c:strRef>
          </c:tx>
          <c:spPr>
            <a:solidFill>
              <a:schemeClr val="accent6">
                <a:shade val="90000"/>
              </a:schemeClr>
            </a:solidFill>
            <a:ln>
              <a:noFill/>
            </a:ln>
            <a:effectLst/>
          </c:spPr>
          <c:invertIfNegative val="0"/>
          <c:dLbls>
            <c:dLbl>
              <c:idx val="0"/>
              <c:tx>
                <c:rich>
                  <a:bodyPr/>
                  <a:lstStyle/>
                  <a:p>
                    <a:fld id="{C903B63A-161E-4BC3-80B7-679947D89A74}" type="CELLRANGE">
                      <a:rPr lang="en-US"/>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1CF-4D71-ABEF-2F252F701693}"/>
                </c:ext>
              </c:extLst>
            </c:dLbl>
            <c:dLbl>
              <c:idx val="1"/>
              <c:tx>
                <c:rich>
                  <a:bodyPr/>
                  <a:lstStyle/>
                  <a:p>
                    <a:fld id="{C79BE798-FE58-4CC0-B2E3-BA9A2523C17C}"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CF-4D71-ABEF-2F252F701693}"/>
                </c:ext>
              </c:extLst>
            </c:dLbl>
            <c:dLbl>
              <c:idx val="2"/>
              <c:tx>
                <c:rich>
                  <a:bodyPr/>
                  <a:lstStyle/>
                  <a:p>
                    <a:fld id="{0C68EF19-4F05-4D37-A680-3C06BB1EEF8B}"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CF-4D71-ABEF-2F252F701693}"/>
                </c:ext>
              </c:extLst>
            </c:dLbl>
            <c:dLbl>
              <c:idx val="3"/>
              <c:tx>
                <c:rich>
                  <a:bodyPr/>
                  <a:lstStyle/>
                  <a:p>
                    <a:fld id="{6A88DCF1-C0EF-495B-ADDD-9E2F5E8BFD8E}"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CF-4D71-ABEF-2F252F701693}"/>
                </c:ext>
              </c:extLst>
            </c:dLbl>
            <c:dLbl>
              <c:idx val="4"/>
              <c:tx>
                <c:rich>
                  <a:bodyPr/>
                  <a:lstStyle/>
                  <a:p>
                    <a:fld id="{C24BC4AC-4946-4EF7-BCC6-CC89757C6CF0}"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CF-4D71-ABEF-2F252F701693}"/>
                </c:ext>
              </c:extLst>
            </c:dLbl>
            <c:dLbl>
              <c:idx val="5"/>
              <c:tx>
                <c:rich>
                  <a:bodyPr/>
                  <a:lstStyle/>
                  <a:p>
                    <a:fld id="{7E57C875-A171-455B-8247-3BEB6E3B17DB}"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Analysis'!$E$7:$E$12</c:f>
              <c:numCache>
                <c:formatCode>_ [$IDR]\ * #,##0.00_ ;_ [$IDR]\ * \-#,##0.00_ ;_ [$IDR]\ * "-"??_ ;_ @_ </c:formatCode>
                <c:ptCount val="6"/>
                <c:pt idx="0">
                  <c:v>1881.6</c:v>
                </c:pt>
                <c:pt idx="1">
                  <c:v>1344</c:v>
                </c:pt>
                <c:pt idx="2">
                  <c:v>1680</c:v>
                </c:pt>
                <c:pt idx="3">
                  <c:v>4032</c:v>
                </c:pt>
                <c:pt idx="4">
                  <c:v>1344</c:v>
                </c:pt>
                <c:pt idx="5">
                  <c:v>1814.3999999999999</c:v>
                </c:pt>
              </c:numCache>
            </c:numRef>
          </c:val>
          <c:extLst>
            <c:ext xmlns:c15="http://schemas.microsoft.com/office/drawing/2012/chart" uri="{02D57815-91ED-43cb-92C2-25804820EDAC}">
              <c15:datalabelsRange>
                <c15:f>'5.2-Cost Breakdown Analysis'!$C$30:$H$30</c15:f>
                <c15:dlblRangeCache>
                  <c:ptCount val="6"/>
                  <c:pt idx="0">
                    <c:v>33%</c:v>
                  </c:pt>
                  <c:pt idx="1">
                    <c:v>12%</c:v>
                  </c:pt>
                  <c:pt idx="2">
                    <c:v>10%</c:v>
                  </c:pt>
                  <c:pt idx="3">
                    <c:v>10%</c:v>
                  </c:pt>
                  <c:pt idx="4">
                    <c:v>62%</c:v>
                  </c:pt>
                  <c:pt idx="5">
                    <c:v>16%</c:v>
                  </c:pt>
                </c15:dlblRangeCache>
              </c15:datalabelsRange>
            </c:ext>
            <c:ext xmlns:c16="http://schemas.microsoft.com/office/drawing/2014/chart" uri="{C3380CC4-5D6E-409C-BE32-E72D297353CC}">
              <c16:uniqueId val="{00000014-61CF-4D71-ABEF-2F252F701693}"/>
            </c:ext>
          </c:extLst>
        </c:ser>
        <c:ser>
          <c:idx val="3"/>
          <c:order val="3"/>
          <c:tx>
            <c:strRef>
              <c:f>'5.2-Cost Breakdown Analysis'!$F$6</c:f>
              <c:strCache>
                <c:ptCount val="1"/>
                <c:pt idx="0">
                  <c:v>Equipment Depreciation</c:v>
                </c:pt>
              </c:strCache>
            </c:strRef>
          </c:tx>
          <c:spPr>
            <a:solidFill>
              <a:schemeClr val="accent6">
                <a:tint val="90000"/>
              </a:schemeClr>
            </a:solidFill>
            <a:ln>
              <a:noFill/>
            </a:ln>
            <a:effectLst/>
          </c:spPr>
          <c:invertIfNegative val="0"/>
          <c:dLbls>
            <c:dLbl>
              <c:idx val="0"/>
              <c:tx>
                <c:rich>
                  <a:bodyPr/>
                  <a:lstStyle/>
                  <a:p>
                    <a:fld id="{DA287E56-BD2F-422D-8C74-293F75FC72D4}" type="CELLRANGE">
                      <a:rPr lang="en-US"/>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1CF-4D71-ABEF-2F252F701693}"/>
                </c:ext>
              </c:extLst>
            </c:dLbl>
            <c:dLbl>
              <c:idx val="1"/>
              <c:tx>
                <c:rich>
                  <a:bodyPr/>
                  <a:lstStyle/>
                  <a:p>
                    <a:fld id="{79158489-0CBF-4467-A8AC-A854A94F5336}"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CF-4D71-ABEF-2F252F701693}"/>
                </c:ext>
              </c:extLst>
            </c:dLbl>
            <c:dLbl>
              <c:idx val="2"/>
              <c:tx>
                <c:rich>
                  <a:bodyPr/>
                  <a:lstStyle/>
                  <a:p>
                    <a:fld id="{CCBB62BD-CD38-4616-B0CA-AA676CFDB180}"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CF-4D71-ABEF-2F252F701693}"/>
                </c:ext>
              </c:extLst>
            </c:dLbl>
            <c:dLbl>
              <c:idx val="3"/>
              <c:tx>
                <c:rich>
                  <a:bodyPr/>
                  <a:lstStyle/>
                  <a:p>
                    <a:fld id="{8A3FAC7C-2A96-4DE3-A9CF-1DEECCAA4819}"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CF-4D71-ABEF-2F252F701693}"/>
                </c:ext>
              </c:extLst>
            </c:dLbl>
            <c:dLbl>
              <c:idx val="4"/>
              <c:tx>
                <c:rich>
                  <a:bodyPr/>
                  <a:lstStyle/>
                  <a:p>
                    <a:fld id="{03960615-5195-46B7-A543-5F8D2DCB5844}"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CF-4D71-ABEF-2F252F701693}"/>
                </c:ext>
              </c:extLst>
            </c:dLbl>
            <c:dLbl>
              <c:idx val="5"/>
              <c:tx>
                <c:rich>
                  <a:bodyPr/>
                  <a:lstStyle/>
                  <a:p>
                    <a:fld id="{3FF2B39E-36FC-4EBE-B4C2-BAFAFE99A00F}"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Analysis'!$F$7:$F$12</c:f>
              <c:numCache>
                <c:formatCode>_ [$IDR]\ * #,##0.00_ ;_ [$IDR]\ * \-#,##0.00_ ;_ [$IDR]\ * "-"??_ ;_ @_ </c:formatCode>
                <c:ptCount val="6"/>
                <c:pt idx="0">
                  <c:v>551.59999999999991</c:v>
                </c:pt>
                <c:pt idx="1">
                  <c:v>4012.3999999999996</c:v>
                </c:pt>
                <c:pt idx="2">
                  <c:v>5789.2333333333327</c:v>
                </c:pt>
                <c:pt idx="3">
                  <c:v>3692.0333333333333</c:v>
                </c:pt>
                <c:pt idx="4">
                  <c:v>496.99999999999994</c:v>
                </c:pt>
                <c:pt idx="5">
                  <c:v>20.999999999999996</c:v>
                </c:pt>
              </c:numCache>
            </c:numRef>
          </c:val>
          <c:extLst>
            <c:ext xmlns:c15="http://schemas.microsoft.com/office/drawing/2012/chart" uri="{02D57815-91ED-43cb-92C2-25804820EDAC}">
              <c15:datalabelsRange>
                <c15:f>'5.2-Cost Breakdown Analysis'!$C$31:$H$31</c15:f>
                <c15:dlblRangeCache>
                  <c:ptCount val="6"/>
                  <c:pt idx="0">
                    <c:v>10%</c:v>
                  </c:pt>
                  <c:pt idx="1">
                    <c:v>36%</c:v>
                  </c:pt>
                  <c:pt idx="2">
                    <c:v>34%</c:v>
                  </c:pt>
                  <c:pt idx="3">
                    <c:v>9%</c:v>
                  </c:pt>
                  <c:pt idx="4">
                    <c:v>23%</c:v>
                  </c:pt>
                  <c:pt idx="5">
                    <c:v>0%</c:v>
                  </c:pt>
                </c15:dlblRangeCache>
              </c15:datalabelsRange>
            </c:ext>
            <c:ext xmlns:c16="http://schemas.microsoft.com/office/drawing/2014/chart" uri="{C3380CC4-5D6E-409C-BE32-E72D297353CC}">
              <c16:uniqueId val="{0000001B-61CF-4D71-ABEF-2F252F701693}"/>
            </c:ext>
          </c:extLst>
        </c:ser>
        <c:ser>
          <c:idx val="4"/>
          <c:order val="4"/>
          <c:tx>
            <c:strRef>
              <c:f>'5.2-Cost Breakdown Analysis'!$G$6</c:f>
              <c:strCache>
                <c:ptCount val="1"/>
                <c:pt idx="0">
                  <c:v>Equipment O&amp;M</c:v>
                </c:pt>
              </c:strCache>
            </c:strRef>
          </c:tx>
          <c:spPr>
            <a:solidFill>
              <a:schemeClr val="accent6">
                <a:tint val="70000"/>
              </a:schemeClr>
            </a:solidFill>
            <a:ln>
              <a:noFill/>
            </a:ln>
            <a:effectLst/>
          </c:spPr>
          <c:invertIfNegative val="0"/>
          <c:dLbls>
            <c:dLbl>
              <c:idx val="0"/>
              <c:tx>
                <c:rich>
                  <a:bodyPr/>
                  <a:lstStyle/>
                  <a:p>
                    <a:fld id="{AC8B06C4-7803-45AF-87B8-D57255A93313}"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61CF-4D71-ABEF-2F252F701693}"/>
                </c:ext>
              </c:extLst>
            </c:dLbl>
            <c:dLbl>
              <c:idx val="1"/>
              <c:tx>
                <c:rich>
                  <a:bodyPr/>
                  <a:lstStyle/>
                  <a:p>
                    <a:fld id="{CACC6FC9-2AB9-492F-8604-8E627C45859C}"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CF-4D71-ABEF-2F252F701693}"/>
                </c:ext>
              </c:extLst>
            </c:dLbl>
            <c:dLbl>
              <c:idx val="2"/>
              <c:tx>
                <c:rich>
                  <a:bodyPr/>
                  <a:lstStyle/>
                  <a:p>
                    <a:fld id="{CAB344DC-4BFD-4326-B104-17CC72EB2A7E}"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CF-4D71-ABEF-2F252F701693}"/>
                </c:ext>
              </c:extLst>
            </c:dLbl>
            <c:dLbl>
              <c:idx val="3"/>
              <c:tx>
                <c:rich>
                  <a:bodyPr/>
                  <a:lstStyle/>
                  <a:p>
                    <a:fld id="{E93DFAAB-2466-44DE-90D6-1569FB2606EC}"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CF-4D71-ABEF-2F252F701693}"/>
                </c:ext>
              </c:extLst>
            </c:dLbl>
            <c:dLbl>
              <c:idx val="4"/>
              <c:tx>
                <c:rich>
                  <a:bodyPr/>
                  <a:lstStyle/>
                  <a:p>
                    <a:fld id="{CF94124D-648F-4A2B-BB0C-8BD256BD8541}"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CF-4D71-ABEF-2F252F701693}"/>
                </c:ext>
              </c:extLst>
            </c:dLbl>
            <c:dLbl>
              <c:idx val="5"/>
              <c:tx>
                <c:rich>
                  <a:bodyPr/>
                  <a:lstStyle/>
                  <a:p>
                    <a:fld id="{E13A19EE-2EE3-4AF7-A219-6BB2FBD53D52}"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Analysis'!$G$7:$G$12</c:f>
              <c:numCache>
                <c:formatCode>_ [$IDR]\ * #,##0.00_ ;_ [$IDR]\ * \-#,##0.00_ ;_ [$IDR]\ * "-"??_ ;_ @_ </c:formatCode>
                <c:ptCount val="6"/>
                <c:pt idx="0">
                  <c:v>127.4</c:v>
                </c:pt>
                <c:pt idx="1">
                  <c:v>992.6</c:v>
                </c:pt>
                <c:pt idx="2">
                  <c:v>1436.575</c:v>
                </c:pt>
                <c:pt idx="3">
                  <c:v>554.15500000000009</c:v>
                </c:pt>
                <c:pt idx="4">
                  <c:v>119.21</c:v>
                </c:pt>
                <c:pt idx="5">
                  <c:v>5.25</c:v>
                </c:pt>
              </c:numCache>
            </c:numRef>
          </c:val>
          <c:extLst>
            <c:ext xmlns:c15="http://schemas.microsoft.com/office/drawing/2012/chart" uri="{02D57815-91ED-43cb-92C2-25804820EDAC}">
              <c15:datalabelsRange>
                <c15:f>'5.2-Cost Breakdown Analysis'!$C$32:$H$32</c15:f>
                <c15:dlblRangeCache>
                  <c:ptCount val="6"/>
                  <c:pt idx="0">
                    <c:v>2%</c:v>
                  </c:pt>
                  <c:pt idx="1">
                    <c:v>9%</c:v>
                  </c:pt>
                  <c:pt idx="2">
                    <c:v>9%</c:v>
                  </c:pt>
                  <c:pt idx="3">
                    <c:v>1%</c:v>
                  </c:pt>
                  <c:pt idx="4">
                    <c:v>5%</c:v>
                  </c:pt>
                  <c:pt idx="5">
                    <c:v>0%</c:v>
                  </c:pt>
                </c15:dlblRangeCache>
              </c15:datalabelsRange>
            </c:ext>
            <c:ext xmlns:c16="http://schemas.microsoft.com/office/drawing/2014/chart" uri="{C3380CC4-5D6E-409C-BE32-E72D297353CC}">
              <c16:uniqueId val="{00000022-61CF-4D71-ABEF-2F252F701693}"/>
            </c:ext>
          </c:extLst>
        </c:ser>
        <c:ser>
          <c:idx val="5"/>
          <c:order val="5"/>
          <c:tx>
            <c:strRef>
              <c:f>'5.2-Cost Breakdown Analysis'!$H$6</c:f>
              <c:strCache>
                <c:ptCount val="1"/>
                <c:pt idx="0">
                  <c:v>Utilities</c:v>
                </c:pt>
              </c:strCache>
            </c:strRef>
          </c:tx>
          <c:spPr>
            <a:solidFill>
              <a:schemeClr val="accent6">
                <a:tint val="50000"/>
              </a:schemeClr>
            </a:solidFill>
            <a:ln>
              <a:noFill/>
            </a:ln>
            <a:effectLst/>
          </c:spPr>
          <c:invertIfNegative val="0"/>
          <c:dLbls>
            <c:dLbl>
              <c:idx val="0"/>
              <c:tx>
                <c:rich>
                  <a:bodyPr/>
                  <a:lstStyle/>
                  <a:p>
                    <a:fld id="{EF14EB57-CFAD-4C25-B84E-CAB37D75BD9B}" type="CELLRANGE">
                      <a:rPr lang="en-US"/>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1CF-4D71-ABEF-2F252F701693}"/>
                </c:ext>
              </c:extLst>
            </c:dLbl>
            <c:dLbl>
              <c:idx val="1"/>
              <c:tx>
                <c:rich>
                  <a:bodyPr/>
                  <a:lstStyle/>
                  <a:p>
                    <a:fld id="{725F638A-825F-47EE-8E9B-B66C41E7781E}"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1CF-4D71-ABEF-2F252F701693}"/>
                </c:ext>
              </c:extLst>
            </c:dLbl>
            <c:dLbl>
              <c:idx val="2"/>
              <c:tx>
                <c:rich>
                  <a:bodyPr/>
                  <a:lstStyle/>
                  <a:p>
                    <a:fld id="{9136C532-E08A-4BE6-8FB0-887ACAAC06EF}"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1CF-4D71-ABEF-2F252F701693}"/>
                </c:ext>
              </c:extLst>
            </c:dLbl>
            <c:dLbl>
              <c:idx val="3"/>
              <c:tx>
                <c:rich>
                  <a:bodyPr/>
                  <a:lstStyle/>
                  <a:p>
                    <a:fld id="{C5C80E6E-BABA-44A2-9EFC-42298235F1FA}"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1CF-4D71-ABEF-2F252F701693}"/>
                </c:ext>
              </c:extLst>
            </c:dLbl>
            <c:dLbl>
              <c:idx val="4"/>
              <c:tx>
                <c:rich>
                  <a:bodyPr/>
                  <a:lstStyle/>
                  <a:p>
                    <a:fld id="{AD62FFB2-72FF-424C-8B57-D8D77B93F73E}"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1CF-4D71-ABEF-2F252F701693}"/>
                </c:ext>
              </c:extLst>
            </c:dLbl>
            <c:dLbl>
              <c:idx val="5"/>
              <c:tx>
                <c:rich>
                  <a:bodyPr/>
                  <a:lstStyle/>
                  <a:p>
                    <a:fld id="{04C83024-2D2B-493D-AE18-97C9E40954BE}" type="CELLRANGE">
                      <a:rPr lang="de-CH"/>
                      <a:pPr/>
                      <a:t>[CELLRANGE]</a:t>
                    </a:fld>
                    <a:endParaRPr lang="de-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Analysis'!$H$7:$H$12</c:f>
              <c:numCache>
                <c:formatCode>_ [$IDR]\ * #,##0.00_ ;_ [$IDR]\ * \-#,##0.00_ ;_ [$IDR]\ * "-"??_ ;_ @_ </c:formatCode>
                <c:ptCount val="6"/>
                <c:pt idx="0">
                  <c:v>1201.1541666666667</c:v>
                </c:pt>
                <c:pt idx="1">
                  <c:v>434.6541666666667</c:v>
                </c:pt>
                <c:pt idx="2">
                  <c:v>637.37420306666661</c:v>
                </c:pt>
                <c:pt idx="3">
                  <c:v>1943.6138266276039</c:v>
                </c:pt>
                <c:pt idx="4">
                  <c:v>208.63399999999999</c:v>
                </c:pt>
                <c:pt idx="5">
                  <c:v>0</c:v>
                </c:pt>
              </c:numCache>
            </c:numRef>
          </c:val>
          <c:extLst>
            <c:ext xmlns:c15="http://schemas.microsoft.com/office/drawing/2012/chart" uri="{02D57815-91ED-43cb-92C2-25804820EDAC}">
              <c15:datalabelsRange>
                <c15:f>'5.2-Cost Breakdown Analysis'!$C$33:$H$33</c15:f>
                <c15:dlblRangeCache>
                  <c:ptCount val="6"/>
                  <c:pt idx="0">
                    <c:v>21%</c:v>
                  </c:pt>
                  <c:pt idx="1">
                    <c:v>4%</c:v>
                  </c:pt>
                  <c:pt idx="2">
                    <c:v>4%</c:v>
                  </c:pt>
                  <c:pt idx="3">
                    <c:v>5%</c:v>
                  </c:pt>
                  <c:pt idx="4">
                    <c:v>10%</c:v>
                  </c:pt>
                  <c:pt idx="5">
                    <c:v>0%</c:v>
                  </c:pt>
                </c15:dlblRangeCache>
              </c15:datalabelsRange>
            </c:ext>
            <c:ext xmlns:c16="http://schemas.microsoft.com/office/drawing/2014/chart" uri="{C3380CC4-5D6E-409C-BE32-E72D297353CC}">
              <c16:uniqueId val="{00000029-61CF-4D71-ABEF-2F252F701693}"/>
            </c:ext>
          </c:extLst>
        </c:ser>
        <c:dLbls>
          <c:showLegendKey val="0"/>
          <c:showVal val="0"/>
          <c:showCatName val="0"/>
          <c:showSerName val="0"/>
          <c:showPercent val="0"/>
          <c:showBubbleSize val="0"/>
        </c:dLbls>
        <c:gapWidth val="150"/>
        <c:overlap val="100"/>
        <c:axId val="607480744"/>
        <c:axId val="607481728"/>
      </c:barChart>
      <c:catAx>
        <c:axId val="60748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481728"/>
        <c:crosses val="autoZero"/>
        <c:auto val="1"/>
        <c:lblAlgn val="ctr"/>
        <c:lblOffset val="100"/>
        <c:noMultiLvlLbl val="0"/>
      </c:catAx>
      <c:valAx>
        <c:axId val="607481728"/>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480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 costs</a:t>
            </a:r>
            <a:r>
              <a:rPr lang="en-GB" baseline="0"/>
              <a:t> breakdown per COGS categories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831789487264539"/>
          <c:y val="6.9956255468066483E-2"/>
          <c:w val="0.56909978640797676"/>
          <c:h val="0.77435476815398074"/>
        </c:manualLayout>
      </c:layout>
      <c:barChart>
        <c:barDir val="col"/>
        <c:grouping val="stacked"/>
        <c:varyColors val="0"/>
        <c:ser>
          <c:idx val="0"/>
          <c:order val="0"/>
          <c:tx>
            <c:strRef>
              <c:f>'5.2-Cost Breakdown Analysis'!$B$7</c:f>
              <c:strCache>
                <c:ptCount val="1"/>
                <c:pt idx="0">
                  <c:v>Unit-W</c:v>
                </c:pt>
              </c:strCache>
            </c:strRef>
          </c:tx>
          <c:spPr>
            <a:solidFill>
              <a:schemeClr val="accent6">
                <a:shade val="50000"/>
              </a:schemeClr>
            </a:solidFill>
            <a:ln>
              <a:noFill/>
            </a:ln>
            <a:effectLst/>
          </c:spPr>
          <c:invertIfNegative val="0"/>
          <c:dLbls>
            <c:dLbl>
              <c:idx val="0"/>
              <c:tx>
                <c:rich>
                  <a:bodyPr/>
                  <a:lstStyle/>
                  <a:p>
                    <a:fld id="{F24F8D62-2AD5-4184-8D6F-2A6401ABB0D4}"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6DC-445A-99CF-1B7F2CFDE217}"/>
                </c:ext>
              </c:extLst>
            </c:dLbl>
            <c:dLbl>
              <c:idx val="1"/>
              <c:tx>
                <c:rich>
                  <a:bodyPr/>
                  <a:lstStyle/>
                  <a:p>
                    <a:fld id="{C6BD60B4-588F-4148-87DA-B5A8DB7AEAF3}"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DC-445A-99CF-1B7F2CFDE217}"/>
                </c:ext>
              </c:extLst>
            </c:dLbl>
            <c:dLbl>
              <c:idx val="2"/>
              <c:tx>
                <c:rich>
                  <a:bodyPr/>
                  <a:lstStyle/>
                  <a:p>
                    <a:fld id="{9DB2DDE0-319A-4579-A265-41BD7F1E3E94}"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DC-445A-99CF-1B7F2CFDE217}"/>
                </c:ext>
              </c:extLst>
            </c:dLbl>
            <c:dLbl>
              <c:idx val="3"/>
              <c:tx>
                <c:rich>
                  <a:bodyPr/>
                  <a:lstStyle/>
                  <a:p>
                    <a:fld id="{3B2A3CF9-7106-463B-8A5B-60FDD5C7D0B2}"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DC-445A-99CF-1B7F2CFDE217}"/>
                </c:ext>
              </c:extLst>
            </c:dLbl>
            <c:dLbl>
              <c:idx val="4"/>
              <c:tx>
                <c:rich>
                  <a:bodyPr/>
                  <a:lstStyle/>
                  <a:p>
                    <a:fld id="{3653AC5C-A840-469B-8AE8-F8DCDFDABFDD}"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DC-445A-99CF-1B7F2CFDE217}"/>
                </c:ext>
              </c:extLst>
            </c:dLbl>
            <c:dLbl>
              <c:idx val="5"/>
              <c:tx>
                <c:rich>
                  <a:bodyPr/>
                  <a:lstStyle/>
                  <a:p>
                    <a:fld id="{72A9360B-EE85-4BD8-8523-3002A0BF438C}"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Analysis'!$C$7:$H$7</c:f>
              <c:numCache>
                <c:formatCode>_ [$IDR]\ * #,##0.00_ ;_ [$IDR]\ * \-#,##0.00_ ;_ [$IDR]\ * "-"??_ ;_ @_ </c:formatCode>
                <c:ptCount val="6"/>
                <c:pt idx="0">
                  <c:v>0</c:v>
                </c:pt>
                <c:pt idx="1">
                  <c:v>2003.2348366082435</c:v>
                </c:pt>
                <c:pt idx="2">
                  <c:v>1881.6</c:v>
                </c:pt>
                <c:pt idx="3">
                  <c:v>551.59999999999991</c:v>
                </c:pt>
                <c:pt idx="4">
                  <c:v>127.4</c:v>
                </c:pt>
                <c:pt idx="5">
                  <c:v>1201.1541666666667</c:v>
                </c:pt>
              </c:numCache>
            </c:numRef>
          </c:val>
          <c:extLst>
            <c:ext xmlns:c15="http://schemas.microsoft.com/office/drawing/2012/chart" uri="{02D57815-91ED-43cb-92C2-25804820EDAC}">
              <c15:datalabelsRange>
                <c15:f>'5.2-Cost Breakdown Analysis'!$C$18:$H$18</c15:f>
                <c15:dlblRangeCache>
                  <c:ptCount val="6"/>
                  <c:pt idx="0">
                    <c:v>0%</c:v>
                  </c:pt>
                  <c:pt idx="1">
                    <c:v>4%</c:v>
                  </c:pt>
                  <c:pt idx="2">
                    <c:v>16%</c:v>
                  </c:pt>
                  <c:pt idx="3">
                    <c:v>4%</c:v>
                  </c:pt>
                  <c:pt idx="4">
                    <c:v>4%</c:v>
                  </c:pt>
                  <c:pt idx="5">
                    <c:v>27%</c:v>
                  </c:pt>
                </c15:dlblRangeCache>
              </c15:datalabelsRange>
            </c:ext>
            <c:ext xmlns:c16="http://schemas.microsoft.com/office/drawing/2014/chart" uri="{C3380CC4-5D6E-409C-BE32-E72D297353CC}">
              <c16:uniqueId val="{00000006-56DC-445A-99CF-1B7F2CFDE217}"/>
            </c:ext>
          </c:extLst>
        </c:ser>
        <c:ser>
          <c:idx val="1"/>
          <c:order val="1"/>
          <c:tx>
            <c:strRef>
              <c:f>'5.2-Cost Breakdown Analysis'!$B$8</c:f>
              <c:strCache>
                <c:ptCount val="1"/>
                <c:pt idx="0">
                  <c:v>Unit-T</c:v>
                </c:pt>
              </c:strCache>
            </c:strRef>
          </c:tx>
          <c:spPr>
            <a:solidFill>
              <a:schemeClr val="accent6">
                <a:shade val="70000"/>
              </a:schemeClr>
            </a:solidFill>
            <a:ln>
              <a:noFill/>
            </a:ln>
            <a:effectLst/>
          </c:spPr>
          <c:invertIfNegative val="0"/>
          <c:dLbls>
            <c:dLbl>
              <c:idx val="0"/>
              <c:tx>
                <c:rich>
                  <a:bodyPr/>
                  <a:lstStyle/>
                  <a:p>
                    <a:fld id="{2569A7BC-A6A1-470C-BF9B-260B697BB8D6}" type="CELLRANGE">
                      <a:rPr lang="en-US"/>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6DC-445A-99CF-1B7F2CFDE217}"/>
                </c:ext>
              </c:extLst>
            </c:dLbl>
            <c:dLbl>
              <c:idx val="1"/>
              <c:tx>
                <c:rich>
                  <a:bodyPr/>
                  <a:lstStyle/>
                  <a:p>
                    <a:fld id="{EDF7F2EC-E351-47AF-B9D2-3E8084974C5E}" type="CELLRANGE">
                      <a:rPr lang="de-CH"/>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DC-445A-99CF-1B7F2CFDE217}"/>
                </c:ext>
              </c:extLst>
            </c:dLbl>
            <c:dLbl>
              <c:idx val="2"/>
              <c:tx>
                <c:rich>
                  <a:bodyPr/>
                  <a:lstStyle/>
                  <a:p>
                    <a:fld id="{805A4646-A42D-43FD-8A49-53FC065995DB}" type="CELLRANGE">
                      <a:rPr lang="de-CH"/>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DC-445A-99CF-1B7F2CFDE217}"/>
                </c:ext>
              </c:extLst>
            </c:dLbl>
            <c:dLbl>
              <c:idx val="3"/>
              <c:tx>
                <c:rich>
                  <a:bodyPr/>
                  <a:lstStyle/>
                  <a:p>
                    <a:fld id="{2494052A-CE3D-44A7-97F5-8817DE607442}" type="CELLRANGE">
                      <a:rPr lang="de-CH"/>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DC-445A-99CF-1B7F2CFDE217}"/>
                </c:ext>
              </c:extLst>
            </c:dLbl>
            <c:dLbl>
              <c:idx val="4"/>
              <c:tx>
                <c:rich>
                  <a:bodyPr/>
                  <a:lstStyle/>
                  <a:p>
                    <a:fld id="{08B43D09-A5B6-4D21-9C1F-E69772DA5BD1}" type="CELLRANGE">
                      <a:rPr lang="de-CH"/>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DC-445A-99CF-1B7F2CFDE217}"/>
                </c:ext>
              </c:extLst>
            </c:dLbl>
            <c:dLbl>
              <c:idx val="5"/>
              <c:tx>
                <c:rich>
                  <a:bodyPr/>
                  <a:lstStyle/>
                  <a:p>
                    <a:fld id="{FE0E00BE-7888-418C-BFEC-F0F069D9E136}" type="CELLRANGE">
                      <a:rPr lang="de-CH"/>
                      <a:pPr/>
                      <a:t>[CELLRANGE]</a:t>
                    </a:fld>
                    <a:endParaRPr lang="de-CH"/>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Analysis'!$C$8:$H$8</c:f>
              <c:numCache>
                <c:formatCode>_ [$IDR]\ * #,##0.00_ ;_ [$IDR]\ * \-#,##0.00_ ;_ [$IDR]\ * "-"??_ ;_ @_ </c:formatCode>
                <c:ptCount val="6"/>
                <c:pt idx="0">
                  <c:v>0</c:v>
                </c:pt>
                <c:pt idx="1">
                  <c:v>4383.0938643152094</c:v>
                </c:pt>
                <c:pt idx="2">
                  <c:v>1344</c:v>
                </c:pt>
                <c:pt idx="3">
                  <c:v>4012.3999999999996</c:v>
                </c:pt>
                <c:pt idx="4">
                  <c:v>992.6</c:v>
                </c:pt>
                <c:pt idx="5">
                  <c:v>434.6541666666667</c:v>
                </c:pt>
              </c:numCache>
            </c:numRef>
          </c:val>
          <c:extLst>
            <c:ext xmlns:c15="http://schemas.microsoft.com/office/drawing/2012/chart" uri="{02D57815-91ED-43cb-92C2-25804820EDAC}">
              <c15:datalabelsRange>
                <c15:f>'5.2-Cost Breakdown Analysis'!$C$19:$H$19</c15:f>
                <c15:dlblRangeCache>
                  <c:ptCount val="6"/>
                  <c:pt idx="0">
                    <c:v>0%</c:v>
                  </c:pt>
                  <c:pt idx="1">
                    <c:v>9%</c:v>
                  </c:pt>
                  <c:pt idx="2">
                    <c:v>11%</c:v>
                  </c:pt>
                  <c:pt idx="3">
                    <c:v>28%</c:v>
                  </c:pt>
                  <c:pt idx="4">
                    <c:v>31%</c:v>
                  </c:pt>
                  <c:pt idx="5">
                    <c:v>10%</c:v>
                  </c:pt>
                </c15:dlblRangeCache>
              </c15:datalabelsRange>
            </c:ext>
            <c:ext xmlns:c16="http://schemas.microsoft.com/office/drawing/2014/chart" uri="{C3380CC4-5D6E-409C-BE32-E72D297353CC}">
              <c16:uniqueId val="{0000000D-56DC-445A-99CF-1B7F2CFDE217}"/>
            </c:ext>
          </c:extLst>
        </c:ser>
        <c:ser>
          <c:idx val="2"/>
          <c:order val="2"/>
          <c:tx>
            <c:strRef>
              <c:f>'5.2-Cost Breakdown Analysis'!$B$9</c:f>
              <c:strCache>
                <c:ptCount val="1"/>
                <c:pt idx="0">
                  <c:v>Unit-H</c:v>
                </c:pt>
              </c:strCache>
            </c:strRef>
          </c:tx>
          <c:spPr>
            <a:solidFill>
              <a:schemeClr val="accent6">
                <a:shade val="90000"/>
              </a:schemeClr>
            </a:solidFill>
            <a:ln>
              <a:noFill/>
            </a:ln>
            <a:effectLst/>
          </c:spPr>
          <c:invertIfNegative val="0"/>
          <c:dLbls>
            <c:dLbl>
              <c:idx val="0"/>
              <c:tx>
                <c:rich>
                  <a:bodyPr/>
                  <a:lstStyle/>
                  <a:p>
                    <a:fld id="{ACCF733A-E4C2-4444-A7A9-3E8ABB685220}" type="CELLRANGE">
                      <a:rPr lang="en-US"/>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6DC-445A-99CF-1B7F2CFDE217}"/>
                </c:ext>
              </c:extLst>
            </c:dLbl>
            <c:dLbl>
              <c:idx val="1"/>
              <c:tx>
                <c:rich>
                  <a:bodyPr/>
                  <a:lstStyle/>
                  <a:p>
                    <a:fld id="{0ABB1808-AB3C-40CE-9042-7924A38E45F2}"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DC-445A-99CF-1B7F2CFDE217}"/>
                </c:ext>
              </c:extLst>
            </c:dLbl>
            <c:dLbl>
              <c:idx val="2"/>
              <c:tx>
                <c:rich>
                  <a:bodyPr/>
                  <a:lstStyle/>
                  <a:p>
                    <a:fld id="{D4A398EA-D949-4E95-A68F-BFCF857F0A44}"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DC-445A-99CF-1B7F2CFDE217}"/>
                </c:ext>
              </c:extLst>
            </c:dLbl>
            <c:dLbl>
              <c:idx val="3"/>
              <c:tx>
                <c:rich>
                  <a:bodyPr/>
                  <a:lstStyle/>
                  <a:p>
                    <a:fld id="{48256D52-335F-4A9D-B3E0-CDCA160749EB}"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DC-445A-99CF-1B7F2CFDE217}"/>
                </c:ext>
              </c:extLst>
            </c:dLbl>
            <c:dLbl>
              <c:idx val="4"/>
              <c:tx>
                <c:rich>
                  <a:bodyPr/>
                  <a:lstStyle/>
                  <a:p>
                    <a:fld id="{ED057BA4-7E14-4EA3-A0D8-57991F1671EC}"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DC-445A-99CF-1B7F2CFDE217}"/>
                </c:ext>
              </c:extLst>
            </c:dLbl>
            <c:dLbl>
              <c:idx val="5"/>
              <c:tx>
                <c:rich>
                  <a:bodyPr/>
                  <a:lstStyle/>
                  <a:p>
                    <a:fld id="{6AB32123-15AE-4036-9FCC-166BDACF3BAF}"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Analysis'!$C$9:$H$9</c:f>
              <c:numCache>
                <c:formatCode>_ [$IDR]\ * #,##0.00_ ;_ [$IDR]\ * \-#,##0.00_ ;_ [$IDR]\ * "-"??_ ;_ @_ </c:formatCode>
                <c:ptCount val="6"/>
                <c:pt idx="0">
                  <c:v>0</c:v>
                </c:pt>
                <c:pt idx="1">
                  <c:v>7309.8438826566016</c:v>
                </c:pt>
                <c:pt idx="2">
                  <c:v>1680</c:v>
                </c:pt>
                <c:pt idx="3">
                  <c:v>5789.2333333333327</c:v>
                </c:pt>
                <c:pt idx="4">
                  <c:v>1436.575</c:v>
                </c:pt>
                <c:pt idx="5">
                  <c:v>637.37420306666661</c:v>
                </c:pt>
              </c:numCache>
            </c:numRef>
          </c:val>
          <c:extLst>
            <c:ext xmlns:c15="http://schemas.microsoft.com/office/drawing/2012/chart" uri="{02D57815-91ED-43cb-92C2-25804820EDAC}">
              <c15:datalabelsRange>
                <c15:f>'5.2-Cost Breakdown Analysis'!$C$20:$H$20</c15:f>
                <c15:dlblRangeCache>
                  <c:ptCount val="6"/>
                  <c:pt idx="0">
                    <c:v>0%</c:v>
                  </c:pt>
                  <c:pt idx="1">
                    <c:v>16%</c:v>
                  </c:pt>
                  <c:pt idx="2">
                    <c:v>14%</c:v>
                  </c:pt>
                  <c:pt idx="3">
                    <c:v>40%</c:v>
                  </c:pt>
                  <c:pt idx="4">
                    <c:v>44%</c:v>
                  </c:pt>
                  <c:pt idx="5">
                    <c:v>14%</c:v>
                  </c:pt>
                </c15:dlblRangeCache>
              </c15:datalabelsRange>
            </c:ext>
            <c:ext xmlns:c16="http://schemas.microsoft.com/office/drawing/2014/chart" uri="{C3380CC4-5D6E-409C-BE32-E72D297353CC}">
              <c16:uniqueId val="{00000014-56DC-445A-99CF-1B7F2CFDE217}"/>
            </c:ext>
          </c:extLst>
        </c:ser>
        <c:ser>
          <c:idx val="3"/>
          <c:order val="3"/>
          <c:tx>
            <c:strRef>
              <c:f>'5.2-Cost Breakdown Analysis'!$B$10</c:f>
              <c:strCache>
                <c:ptCount val="1"/>
                <c:pt idx="0">
                  <c:v>Unit-N</c:v>
                </c:pt>
              </c:strCache>
            </c:strRef>
          </c:tx>
          <c:spPr>
            <a:solidFill>
              <a:schemeClr val="accent6">
                <a:tint val="90000"/>
              </a:schemeClr>
            </a:solidFill>
            <a:ln>
              <a:noFill/>
            </a:ln>
            <a:effectLst/>
          </c:spPr>
          <c:invertIfNegative val="0"/>
          <c:dLbls>
            <c:dLbl>
              <c:idx val="0"/>
              <c:tx>
                <c:rich>
                  <a:bodyPr/>
                  <a:lstStyle/>
                  <a:p>
                    <a:fld id="{55A6AFB1-8644-4705-9EDC-7E9AF275F200}" type="CELLRANGE">
                      <a:rPr lang="en-US"/>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6DC-445A-99CF-1B7F2CFDE217}"/>
                </c:ext>
              </c:extLst>
            </c:dLbl>
            <c:dLbl>
              <c:idx val="1"/>
              <c:tx>
                <c:rich>
                  <a:bodyPr/>
                  <a:lstStyle/>
                  <a:p>
                    <a:fld id="{BB142A85-24D3-4201-9A23-6A107340CC94}"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DC-445A-99CF-1B7F2CFDE217}"/>
                </c:ext>
              </c:extLst>
            </c:dLbl>
            <c:dLbl>
              <c:idx val="2"/>
              <c:tx>
                <c:rich>
                  <a:bodyPr/>
                  <a:lstStyle/>
                  <a:p>
                    <a:fld id="{A9D18854-7D5F-46ED-BB70-ED7A7C19DFC4}"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DC-445A-99CF-1B7F2CFDE217}"/>
                </c:ext>
              </c:extLst>
            </c:dLbl>
            <c:dLbl>
              <c:idx val="3"/>
              <c:tx>
                <c:rich>
                  <a:bodyPr/>
                  <a:lstStyle/>
                  <a:p>
                    <a:fld id="{7F70DF84-F444-415C-B051-F089F711B2A6}"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DC-445A-99CF-1B7F2CFDE217}"/>
                </c:ext>
              </c:extLst>
            </c:dLbl>
            <c:dLbl>
              <c:idx val="4"/>
              <c:tx>
                <c:rich>
                  <a:bodyPr/>
                  <a:lstStyle/>
                  <a:p>
                    <a:fld id="{DEBBBE62-B6B4-4E27-BA40-C38D2F658F38}"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DC-445A-99CF-1B7F2CFDE217}"/>
                </c:ext>
              </c:extLst>
            </c:dLbl>
            <c:dLbl>
              <c:idx val="5"/>
              <c:tx>
                <c:rich>
                  <a:bodyPr/>
                  <a:lstStyle/>
                  <a:p>
                    <a:fld id="{9908953D-488B-48B6-9A4B-A1B06870CAD3}"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Analysis'!$C$10:$H$10</c:f>
              <c:numCache>
                <c:formatCode>_ [$IDR]\ * #,##0.00_ ;_ [$IDR]\ * \-#,##0.00_ ;_ [$IDR]\ * "-"??_ ;_ @_ </c:formatCode>
                <c:ptCount val="6"/>
                <c:pt idx="0">
                  <c:v>5780.237177151902</c:v>
                </c:pt>
                <c:pt idx="1">
                  <c:v>23099.999999999996</c:v>
                </c:pt>
                <c:pt idx="2">
                  <c:v>4032</c:v>
                </c:pt>
                <c:pt idx="3">
                  <c:v>3692.0333333333333</c:v>
                </c:pt>
                <c:pt idx="4">
                  <c:v>554.15500000000009</c:v>
                </c:pt>
                <c:pt idx="5">
                  <c:v>1943.6138266276039</c:v>
                </c:pt>
              </c:numCache>
            </c:numRef>
          </c:val>
          <c:extLst>
            <c:ext xmlns:c15="http://schemas.microsoft.com/office/drawing/2012/chart" uri="{02D57815-91ED-43cb-92C2-25804820EDAC}">
              <c15:datalabelsRange>
                <c15:f>'5.2-Cost Breakdown Analysis'!$C$21:$H$21</c15:f>
                <c15:dlblRangeCache>
                  <c:ptCount val="6"/>
                  <c:pt idx="0">
                    <c:v>100%</c:v>
                  </c:pt>
                  <c:pt idx="1">
                    <c:v>50%</c:v>
                  </c:pt>
                  <c:pt idx="2">
                    <c:v>33%</c:v>
                  </c:pt>
                  <c:pt idx="3">
                    <c:v>25%</c:v>
                  </c:pt>
                  <c:pt idx="4">
                    <c:v>17%</c:v>
                  </c:pt>
                  <c:pt idx="5">
                    <c:v>44%</c:v>
                  </c:pt>
                </c15:dlblRangeCache>
              </c15:datalabelsRange>
            </c:ext>
            <c:ext xmlns:c16="http://schemas.microsoft.com/office/drawing/2014/chart" uri="{C3380CC4-5D6E-409C-BE32-E72D297353CC}">
              <c16:uniqueId val="{0000001B-56DC-445A-99CF-1B7F2CFDE217}"/>
            </c:ext>
          </c:extLst>
        </c:ser>
        <c:ser>
          <c:idx val="4"/>
          <c:order val="4"/>
          <c:tx>
            <c:strRef>
              <c:f>'5.2-Cost Breakdown Analysis'!$B$11</c:f>
              <c:strCache>
                <c:ptCount val="1"/>
                <c:pt idx="0">
                  <c:v>Unit-P</c:v>
                </c:pt>
              </c:strCache>
            </c:strRef>
          </c:tx>
          <c:spPr>
            <a:solidFill>
              <a:schemeClr val="accent6">
                <a:tint val="70000"/>
              </a:schemeClr>
            </a:solidFill>
            <a:ln>
              <a:noFill/>
            </a:ln>
            <a:effectLst/>
          </c:spPr>
          <c:invertIfNegative val="0"/>
          <c:dLbls>
            <c:dLbl>
              <c:idx val="0"/>
              <c:tx>
                <c:rich>
                  <a:bodyPr/>
                  <a:lstStyle/>
                  <a:p>
                    <a:fld id="{A92AC567-7C2C-4619-A15E-2227656F1CDD}" type="CELLRANGE">
                      <a:rPr lang="en-US"/>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6DC-445A-99CF-1B7F2CFDE217}"/>
                </c:ext>
              </c:extLst>
            </c:dLbl>
            <c:dLbl>
              <c:idx val="1"/>
              <c:tx>
                <c:rich>
                  <a:bodyPr/>
                  <a:lstStyle/>
                  <a:p>
                    <a:fld id="{61249CB9-2BAD-4139-937C-9F60EFE26291}"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DC-445A-99CF-1B7F2CFDE217}"/>
                </c:ext>
              </c:extLst>
            </c:dLbl>
            <c:dLbl>
              <c:idx val="2"/>
              <c:tx>
                <c:rich>
                  <a:bodyPr/>
                  <a:lstStyle/>
                  <a:p>
                    <a:fld id="{DAC7AB24-0DEF-44ED-A14F-05C6BBDEA3B4}"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DC-445A-99CF-1B7F2CFDE217}"/>
                </c:ext>
              </c:extLst>
            </c:dLbl>
            <c:dLbl>
              <c:idx val="3"/>
              <c:tx>
                <c:rich>
                  <a:bodyPr/>
                  <a:lstStyle/>
                  <a:p>
                    <a:fld id="{B9346E72-74E1-478F-BECF-0B0F382AD2AD}"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DC-445A-99CF-1B7F2CFDE217}"/>
                </c:ext>
              </c:extLst>
            </c:dLbl>
            <c:dLbl>
              <c:idx val="4"/>
              <c:tx>
                <c:rich>
                  <a:bodyPr/>
                  <a:lstStyle/>
                  <a:p>
                    <a:fld id="{46E48A2E-83F1-468C-81F3-25B854B55229}"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DC-445A-99CF-1B7F2CFDE217}"/>
                </c:ext>
              </c:extLst>
            </c:dLbl>
            <c:dLbl>
              <c:idx val="5"/>
              <c:tx>
                <c:rich>
                  <a:bodyPr/>
                  <a:lstStyle/>
                  <a:p>
                    <a:fld id="{07EDDF23-8B56-414B-87D8-1FFF71074C64}" type="CELLRANGE">
                      <a:rPr lang="de-CH"/>
                      <a:pPr/>
                      <a:t>[CELLRANGE]</a:t>
                    </a:fld>
                    <a:endParaRPr lang="de-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Analysis'!$C$11:$H$11</c:f>
              <c:numCache>
                <c:formatCode>_ [$IDR]\ * #,##0.00_ ;_ [$IDR]\ * \-#,##0.00_ ;_ [$IDR]\ * "-"??_ ;_ @_ </c:formatCode>
                <c:ptCount val="6"/>
                <c:pt idx="0">
                  <c:v>0</c:v>
                </c:pt>
                <c:pt idx="1">
                  <c:v>0</c:v>
                </c:pt>
                <c:pt idx="2">
                  <c:v>1344</c:v>
                </c:pt>
                <c:pt idx="3">
                  <c:v>496.99999999999994</c:v>
                </c:pt>
                <c:pt idx="4">
                  <c:v>119.21</c:v>
                </c:pt>
                <c:pt idx="5">
                  <c:v>208.63399999999999</c:v>
                </c:pt>
              </c:numCache>
            </c:numRef>
          </c:val>
          <c:extLst>
            <c:ext xmlns:c15="http://schemas.microsoft.com/office/drawing/2012/chart" uri="{02D57815-91ED-43cb-92C2-25804820EDAC}">
              <c15:datalabelsRange>
                <c15:f>'5.2-Cost Breakdown Analysis'!$C$22:$H$22</c15:f>
                <c15:dlblRangeCache>
                  <c:ptCount val="6"/>
                  <c:pt idx="0">
                    <c:v>0%</c:v>
                  </c:pt>
                  <c:pt idx="1">
                    <c:v>0%</c:v>
                  </c:pt>
                  <c:pt idx="2">
                    <c:v>11%</c:v>
                  </c:pt>
                  <c:pt idx="3">
                    <c:v>3%</c:v>
                  </c:pt>
                  <c:pt idx="4">
                    <c:v>4%</c:v>
                  </c:pt>
                  <c:pt idx="5">
                    <c:v>5%</c:v>
                  </c:pt>
                </c15:dlblRangeCache>
              </c15:datalabelsRange>
            </c:ext>
            <c:ext xmlns:c16="http://schemas.microsoft.com/office/drawing/2014/chart" uri="{C3380CC4-5D6E-409C-BE32-E72D297353CC}">
              <c16:uniqueId val="{00000022-56DC-445A-99CF-1B7F2CFDE217}"/>
            </c:ext>
          </c:extLst>
        </c:ser>
        <c:ser>
          <c:idx val="5"/>
          <c:order val="5"/>
          <c:tx>
            <c:strRef>
              <c:f>'5.2-Cost Breakdown Analysis'!$B$12</c:f>
              <c:strCache>
                <c:ptCount val="1"/>
                <c:pt idx="0">
                  <c:v>Unit-R</c:v>
                </c:pt>
              </c:strCache>
            </c:strRef>
          </c:tx>
          <c:spPr>
            <a:solidFill>
              <a:schemeClr val="accent6">
                <a:tint val="50000"/>
              </a:schemeClr>
            </a:solidFill>
            <a:ln>
              <a:noFill/>
            </a:ln>
            <a:effectLst/>
          </c:spPr>
          <c:invertIfNegative val="0"/>
          <c:dLbls>
            <c:dLbl>
              <c:idx val="0"/>
              <c:tx>
                <c:rich>
                  <a:bodyPr/>
                  <a:lstStyle/>
                  <a:p>
                    <a:fld id="{7A06E7BE-D8B6-408C-8484-AFFB5E0791D8}" type="CELLRANGE">
                      <a:rPr lang="en-US"/>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6DC-445A-99CF-1B7F2CFDE217}"/>
                </c:ext>
              </c:extLst>
            </c:dLbl>
            <c:dLbl>
              <c:idx val="1"/>
              <c:tx>
                <c:rich>
                  <a:bodyPr/>
                  <a:lstStyle/>
                  <a:p>
                    <a:fld id="{7FE4AF13-CC65-4522-9089-88E794C53F75}"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6DC-445A-99CF-1B7F2CFDE217}"/>
                </c:ext>
              </c:extLst>
            </c:dLbl>
            <c:dLbl>
              <c:idx val="2"/>
              <c:tx>
                <c:rich>
                  <a:bodyPr/>
                  <a:lstStyle/>
                  <a:p>
                    <a:fld id="{5C2DDAF9-6C96-4CBB-BEB3-EFEEFEE4ACE0}"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6DC-445A-99CF-1B7F2CFDE217}"/>
                </c:ext>
              </c:extLst>
            </c:dLbl>
            <c:dLbl>
              <c:idx val="3"/>
              <c:tx>
                <c:rich>
                  <a:bodyPr/>
                  <a:lstStyle/>
                  <a:p>
                    <a:fld id="{5558F8D9-6AC8-4447-A7B7-2B884BC7A9C7}"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6DC-445A-99CF-1B7F2CFDE217}"/>
                </c:ext>
              </c:extLst>
            </c:dLbl>
            <c:dLbl>
              <c:idx val="4"/>
              <c:tx>
                <c:rich>
                  <a:bodyPr/>
                  <a:lstStyle/>
                  <a:p>
                    <a:fld id="{EDF56C97-A252-4E52-B2FB-5AEEBEEB5FA6}"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6DC-445A-99CF-1B7F2CFDE217}"/>
                </c:ext>
              </c:extLst>
            </c:dLbl>
            <c:dLbl>
              <c:idx val="5"/>
              <c:tx>
                <c:rich>
                  <a:bodyPr/>
                  <a:lstStyle/>
                  <a:p>
                    <a:fld id="{A3D4D5FB-7FAA-4F73-90F7-52B20206E5C3}" type="CELLRANGE">
                      <a:rPr lang="de-CH"/>
                      <a:pPr/>
                      <a:t>[CELLRANGE]</a:t>
                    </a:fld>
                    <a:endParaRPr lang="de-CH"/>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Analysis'!$C$12:$H$12</c:f>
              <c:numCache>
                <c:formatCode>_ [$IDR]\ * #,##0.00_ ;_ [$IDR]\ * \-#,##0.00_ ;_ [$IDR]\ * "-"??_ ;_ @_ </c:formatCode>
                <c:ptCount val="6"/>
                <c:pt idx="0">
                  <c:v>0</c:v>
                </c:pt>
                <c:pt idx="1">
                  <c:v>9823.8274164199447</c:v>
                </c:pt>
                <c:pt idx="2">
                  <c:v>1814.3999999999999</c:v>
                </c:pt>
                <c:pt idx="3">
                  <c:v>20.999999999999996</c:v>
                </c:pt>
                <c:pt idx="4">
                  <c:v>5.25</c:v>
                </c:pt>
                <c:pt idx="5">
                  <c:v>0</c:v>
                </c:pt>
              </c:numCache>
            </c:numRef>
          </c:val>
          <c:extLst>
            <c:ext xmlns:c15="http://schemas.microsoft.com/office/drawing/2012/chart" uri="{02D57815-91ED-43cb-92C2-25804820EDAC}">
              <c15:datalabelsRange>
                <c15:f>'5.2-Cost Breakdown Analysis'!$C$23:$H$23</c15:f>
                <c15:dlblRangeCache>
                  <c:ptCount val="6"/>
                  <c:pt idx="0">
                    <c:v>0%</c:v>
                  </c:pt>
                  <c:pt idx="1">
                    <c:v>21%</c:v>
                  </c:pt>
                  <c:pt idx="2">
                    <c:v>15%</c:v>
                  </c:pt>
                  <c:pt idx="3">
                    <c:v>0%</c:v>
                  </c:pt>
                  <c:pt idx="4">
                    <c:v>0%</c:v>
                  </c:pt>
                  <c:pt idx="5">
                    <c:v>0%</c:v>
                  </c:pt>
                </c15:dlblRangeCache>
              </c15:datalabelsRange>
            </c:ext>
            <c:ext xmlns:c16="http://schemas.microsoft.com/office/drawing/2014/chart" uri="{C3380CC4-5D6E-409C-BE32-E72D297353CC}">
              <c16:uniqueId val="{00000029-56DC-445A-99CF-1B7F2CFDE217}"/>
            </c:ext>
          </c:extLst>
        </c:ser>
        <c:dLbls>
          <c:showLegendKey val="0"/>
          <c:showVal val="0"/>
          <c:showCatName val="0"/>
          <c:showSerName val="0"/>
          <c:showPercent val="0"/>
          <c:showBubbleSize val="0"/>
        </c:dLbls>
        <c:gapWidth val="150"/>
        <c:overlap val="100"/>
        <c:axId val="607480744"/>
        <c:axId val="607481728"/>
      </c:barChart>
      <c:catAx>
        <c:axId val="60748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481728"/>
        <c:crosses val="autoZero"/>
        <c:auto val="1"/>
        <c:lblAlgn val="ctr"/>
        <c:lblOffset val="100"/>
        <c:noMultiLvlLbl val="0"/>
      </c:catAx>
      <c:valAx>
        <c:axId val="607481728"/>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480744"/>
        <c:crosses val="autoZero"/>
        <c:crossBetween val="between"/>
      </c:valAx>
      <c:spPr>
        <a:noFill/>
        <a:ln>
          <a:noFill/>
        </a:ln>
        <a:effectLst/>
      </c:spPr>
    </c:plotArea>
    <c:legend>
      <c:legendPos val="r"/>
      <c:layout>
        <c:manualLayout>
          <c:xMode val="edge"/>
          <c:yMode val="edge"/>
          <c:x val="0.88997341814128061"/>
          <c:y val="0.36951252187226596"/>
          <c:w val="4.730256752180171E-2"/>
          <c:h val="0.351564960629921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NPV depending on scale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spPr>
            <a:ln w="28575" cap="rnd">
              <a:solidFill>
                <a:schemeClr val="accent6">
                  <a:shade val="76000"/>
                </a:schemeClr>
              </a:solidFill>
              <a:round/>
            </a:ln>
            <a:effectLst/>
          </c:spPr>
          <c:marker>
            <c:symbol val="circle"/>
            <c:size val="5"/>
            <c:spPr>
              <a:solidFill>
                <a:schemeClr val="accent6">
                  <a:shade val="76000"/>
                </a:schemeClr>
              </a:solidFill>
              <a:ln w="9525">
                <a:solidFill>
                  <a:schemeClr val="accent6">
                    <a:shade val="76000"/>
                  </a:schemeClr>
                </a:solidFill>
              </a:ln>
              <a:effectLst/>
            </c:spPr>
          </c:marker>
          <c:cat>
            <c:numRef>
              <c:f>'1.0-General input'!$L$10:$L$28</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numRef>
          </c:cat>
          <c:val>
            <c:numRef>
              <c:f>'1.0-General input'!$M$10:$M$28</c:f>
              <c:numCache>
                <c:formatCode>_ [$IDR]\ * #,##0.00_ ;_ [$IDR]\ * \-#,##0.00_ ;_ [$IDR]\ * "-"??_ ;_ @_ </c:formatCode>
                <c:ptCount val="19"/>
                <c:pt idx="0">
                  <c:v>125626.35420642192</c:v>
                </c:pt>
                <c:pt idx="1">
                  <c:v>202744.38101662303</c:v>
                </c:pt>
                <c:pt idx="2">
                  <c:v>288177.99980308919</c:v>
                </c:pt>
                <c:pt idx="3">
                  <c:v>372905.01413023676</c:v>
                </c:pt>
                <c:pt idx="4">
                  <c:v>451489.09478048852</c:v>
                </c:pt>
                <c:pt idx="5">
                  <c:v>521193.21633281076</c:v>
                </c:pt>
                <c:pt idx="6">
                  <c:v>607344.25972821179</c:v>
                </c:pt>
                <c:pt idx="7">
                  <c:v>649672.08451967326</c:v>
                </c:pt>
                <c:pt idx="8">
                  <c:v>734974.7191359729</c:v>
                </c:pt>
                <c:pt idx="9">
                  <c:v>816225.08994024899</c:v>
                </c:pt>
                <c:pt idx="10" formatCode="General">
                  <c:v>894169.35882380162</c:v>
                </c:pt>
                <c:pt idx="11" formatCode="General">
                  <c:v>978775.9746857282</c:v>
                </c:pt>
                <c:pt idx="12" formatCode="General">
                  <c:v>1043347.3756817241</c:v>
                </c:pt>
                <c:pt idx="13" formatCode="General">
                  <c:v>1122460.4766035755</c:v>
                </c:pt>
                <c:pt idx="14" formatCode="General">
                  <c:v>1205727.099810662</c:v>
                </c:pt>
                <c:pt idx="15" formatCode="General">
                  <c:v>1270569.1659195758</c:v>
                </c:pt>
                <c:pt idx="16" formatCode="General">
                  <c:v>1350779.0897694752</c:v>
                </c:pt>
                <c:pt idx="17" formatCode="General">
                  <c:v>1407003.9517478924</c:v>
                </c:pt>
                <c:pt idx="18" formatCode="General">
                  <c:v>1493316.9728089701</c:v>
                </c:pt>
              </c:numCache>
            </c:numRef>
          </c:val>
          <c:smooth val="0"/>
          <c:extLst>
            <c:ext xmlns:c16="http://schemas.microsoft.com/office/drawing/2014/chart" uri="{C3380CC4-5D6E-409C-BE32-E72D297353CC}">
              <c16:uniqueId val="{00000002-2832-4BD7-942E-52ACB6EA42DB}"/>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Plant capacity in ton per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6432"/>
        <c:crosses val="autoZero"/>
        <c:auto val="1"/>
        <c:lblAlgn val="ctr"/>
        <c:lblOffset val="100"/>
        <c:noMultiLvlLbl val="0"/>
      </c:catAx>
      <c:valAx>
        <c:axId val="578256432"/>
        <c:scaling>
          <c:orientation val="minMax"/>
        </c:scaling>
        <c:delete val="0"/>
        <c:axPos val="l"/>
        <c:title>
          <c:tx>
            <c:strRef>
              <c:f>'3.2-Results Dashboard'!$J$108</c:f>
              <c:strCache>
                <c:ptCount val="1"/>
                <c:pt idx="0">
                  <c:v>NPV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5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7.6301946631671044E-2"/>
          <c:y val="6.2499999999999904E-4"/>
          <c:w val="0.38494422572178477"/>
          <c:h val="0.9979981408573928"/>
        </c:manualLayout>
      </c:layout>
      <c:barChart>
        <c:barDir val="bar"/>
        <c:grouping val="clustered"/>
        <c:varyColors val="0"/>
        <c:ser>
          <c:idx val="0"/>
          <c:order val="0"/>
          <c:tx>
            <c:strRef>
              <c:f>'1.0-General input'!$B$67</c:f>
              <c:strCache>
                <c:ptCount val="1"/>
                <c:pt idx="0">
                  <c:v>Waste received with tipping fee</c:v>
                </c:pt>
              </c:strCache>
            </c:strRef>
          </c:tx>
          <c:spPr>
            <a:solidFill>
              <a:schemeClr val="accent6">
                <a:tint val="4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input'!$E$67</c:f>
              <c:numCache>
                <c:formatCode>0.00</c:formatCode>
                <c:ptCount val="1"/>
                <c:pt idx="0">
                  <c:v>0</c:v>
                </c:pt>
              </c:numCache>
            </c:numRef>
          </c:val>
          <c:extLst>
            <c:ext xmlns:c16="http://schemas.microsoft.com/office/drawing/2014/chart" uri="{C3380CC4-5D6E-409C-BE32-E72D297353CC}">
              <c16:uniqueId val="{00000001-7FA3-45AB-A32D-0A25ECC73B75}"/>
            </c:ext>
          </c:extLst>
        </c:ser>
        <c:ser>
          <c:idx val="1"/>
          <c:order val="1"/>
          <c:tx>
            <c:strRef>
              <c:f>'1.0-General input'!$B$68</c:f>
              <c:strCache>
                <c:ptCount val="1"/>
                <c:pt idx="0">
                  <c:v>Fresh Larvae</c:v>
                </c:pt>
              </c:strCache>
            </c:strRef>
          </c:tx>
          <c:spPr>
            <a:solidFill>
              <a:schemeClr val="accent6">
                <a:tint val="62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input'!$E$68</c:f>
              <c:numCache>
                <c:formatCode>0.00</c:formatCode>
                <c:ptCount val="1"/>
                <c:pt idx="0">
                  <c:v>749.30271056426341</c:v>
                </c:pt>
              </c:numCache>
            </c:numRef>
          </c:val>
          <c:extLst>
            <c:ext xmlns:c16="http://schemas.microsoft.com/office/drawing/2014/chart" uri="{C3380CC4-5D6E-409C-BE32-E72D297353CC}">
              <c16:uniqueId val="{00000002-7FA3-45AB-A32D-0A25ECC73B75}"/>
            </c:ext>
          </c:extLst>
        </c:ser>
        <c:ser>
          <c:idx val="2"/>
          <c:order val="2"/>
          <c:tx>
            <c:strRef>
              <c:f>'1.0-General input'!$B$69</c:f>
              <c:strCache>
                <c:ptCount val="1"/>
                <c:pt idx="0">
                  <c:v>Dried Larvae</c:v>
                </c:pt>
              </c:strCache>
            </c:strRef>
          </c:tx>
          <c:spPr>
            <a:solidFill>
              <a:schemeClr val="accent6">
                <a:tint val="77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input'!$E$69</c:f>
              <c:numCache>
                <c:formatCode>0.00</c:formatCode>
                <c:ptCount val="1"/>
                <c:pt idx="0">
                  <c:v>0</c:v>
                </c:pt>
              </c:numCache>
            </c:numRef>
          </c:val>
          <c:extLst>
            <c:ext xmlns:c16="http://schemas.microsoft.com/office/drawing/2014/chart" uri="{C3380CC4-5D6E-409C-BE32-E72D297353CC}">
              <c16:uniqueId val="{00000003-7FA3-45AB-A32D-0A25ECC73B75}"/>
            </c:ext>
          </c:extLst>
        </c:ser>
        <c:ser>
          <c:idx val="3"/>
          <c:order val="3"/>
          <c:tx>
            <c:strRef>
              <c:f>'1.0-General input'!$B$70</c:f>
              <c:strCache>
                <c:ptCount val="1"/>
                <c:pt idx="0">
                  <c:v>Larvae Meal</c:v>
                </c:pt>
              </c:strCache>
            </c:strRef>
          </c:tx>
          <c:spPr>
            <a:solidFill>
              <a:schemeClr val="accent6">
                <a:tint val="93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input'!$E$70</c:f>
              <c:numCache>
                <c:formatCode>0.00</c:formatCode>
                <c:ptCount val="1"/>
                <c:pt idx="0">
                  <c:v>0</c:v>
                </c:pt>
              </c:numCache>
            </c:numRef>
          </c:val>
          <c:extLst>
            <c:ext xmlns:c16="http://schemas.microsoft.com/office/drawing/2014/chart" uri="{C3380CC4-5D6E-409C-BE32-E72D297353CC}">
              <c16:uniqueId val="{00000004-7FA3-45AB-A32D-0A25ECC73B75}"/>
            </c:ext>
          </c:extLst>
        </c:ser>
        <c:ser>
          <c:idx val="4"/>
          <c:order val="4"/>
          <c:tx>
            <c:strRef>
              <c:f>'1.0-General input'!$B$71</c:f>
              <c:strCache>
                <c:ptCount val="1"/>
                <c:pt idx="0">
                  <c:v>Larvae Oil (crude)</c:v>
                </c:pt>
              </c:strCache>
            </c:strRef>
          </c:tx>
          <c:spPr>
            <a:solidFill>
              <a:schemeClr val="accent6">
                <a:shade val="92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input'!$E$71</c:f>
              <c:numCache>
                <c:formatCode>0.00</c:formatCode>
                <c:ptCount val="1"/>
                <c:pt idx="0">
                  <c:v>0</c:v>
                </c:pt>
              </c:numCache>
            </c:numRef>
          </c:val>
          <c:extLst>
            <c:ext xmlns:c16="http://schemas.microsoft.com/office/drawing/2014/chart" uri="{C3380CC4-5D6E-409C-BE32-E72D297353CC}">
              <c16:uniqueId val="{00000005-7FA3-45AB-A32D-0A25ECC73B75}"/>
            </c:ext>
          </c:extLst>
        </c:ser>
        <c:ser>
          <c:idx val="5"/>
          <c:order val="5"/>
          <c:tx>
            <c:strRef>
              <c:f>'1.0-General input'!$B$72</c:f>
              <c:strCache>
                <c:ptCount val="1"/>
                <c:pt idx="0">
                  <c:v>Eggs</c:v>
                </c:pt>
              </c:strCache>
            </c:strRef>
          </c:tx>
          <c:spPr>
            <a:solidFill>
              <a:schemeClr val="accent6">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input'!$E$72</c:f>
              <c:numCache>
                <c:formatCode>0.00</c:formatCode>
                <c:ptCount val="1"/>
                <c:pt idx="0">
                  <c:v>0</c:v>
                </c:pt>
              </c:numCache>
            </c:numRef>
          </c:val>
          <c:extLst>
            <c:ext xmlns:c16="http://schemas.microsoft.com/office/drawing/2014/chart" uri="{C3380CC4-5D6E-409C-BE32-E72D297353CC}">
              <c16:uniqueId val="{00000006-7FA3-45AB-A32D-0A25ECC73B75}"/>
            </c:ext>
          </c:extLst>
        </c:ser>
        <c:ser>
          <c:idx val="6"/>
          <c:order val="6"/>
          <c:tx>
            <c:strRef>
              <c:f>'1.0-General input'!$B$73</c:f>
              <c:strCache>
                <c:ptCount val="1"/>
                <c:pt idx="0">
                  <c:v>5DOL</c:v>
                </c:pt>
              </c:strCache>
            </c:strRef>
          </c:tx>
          <c:spPr>
            <a:solidFill>
              <a:schemeClr val="accent6">
                <a:shade val="61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input'!$E$73</c:f>
              <c:numCache>
                <c:formatCode>0.00</c:formatCode>
                <c:ptCount val="1"/>
                <c:pt idx="0">
                  <c:v>0</c:v>
                </c:pt>
              </c:numCache>
            </c:numRef>
          </c:val>
          <c:extLst>
            <c:ext xmlns:c16="http://schemas.microsoft.com/office/drawing/2014/chart" uri="{C3380CC4-5D6E-409C-BE32-E72D297353CC}">
              <c16:uniqueId val="{00000007-7FA3-45AB-A32D-0A25ECC73B75}"/>
            </c:ext>
          </c:extLst>
        </c:ser>
        <c:ser>
          <c:idx val="7"/>
          <c:order val="7"/>
          <c:tx>
            <c:strRef>
              <c:f>'1.0-General input'!$B$74</c:f>
              <c:strCache>
                <c:ptCount val="1"/>
                <c:pt idx="0">
                  <c:v>Compost</c:v>
                </c:pt>
              </c:strCache>
            </c:strRef>
          </c:tx>
          <c:spPr>
            <a:solidFill>
              <a:schemeClr val="accent6">
                <a:shade val="4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'1.0-General input'!$E$74</c:f>
              <c:numCache>
                <c:formatCode>0.00</c:formatCode>
                <c:ptCount val="1"/>
                <c:pt idx="0">
                  <c:v>0</c:v>
                </c:pt>
              </c:numCache>
            </c:numRef>
          </c:val>
          <c:extLst>
            <c:ext xmlns:c16="http://schemas.microsoft.com/office/drawing/2014/chart" uri="{C3380CC4-5D6E-409C-BE32-E72D297353CC}">
              <c16:uniqueId val="{00000008-7FA3-45AB-A32D-0A25ECC73B75}"/>
            </c:ext>
          </c:extLst>
        </c:ser>
        <c:dLbls>
          <c:dLblPos val="outEnd"/>
          <c:showLegendKey val="0"/>
          <c:showVal val="1"/>
          <c:showCatName val="0"/>
          <c:showSerName val="0"/>
          <c:showPercent val="0"/>
          <c:showBubbleSize val="0"/>
        </c:dLbls>
        <c:gapWidth val="256"/>
        <c:overlap val="-42"/>
        <c:axId val="458966448"/>
        <c:axId val="458966776"/>
      </c:barChart>
      <c:catAx>
        <c:axId val="45896644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Porducts in kg/d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crossAx val="458966776"/>
        <c:crosses val="autoZero"/>
        <c:auto val="1"/>
        <c:lblAlgn val="ctr"/>
        <c:lblOffset val="100"/>
        <c:noMultiLvlLbl val="0"/>
      </c:catAx>
      <c:valAx>
        <c:axId val="458966776"/>
        <c:scaling>
          <c:orientation val="minMax"/>
        </c:scaling>
        <c:delete val="1"/>
        <c:axPos val="b"/>
        <c:numFmt formatCode="0.00" sourceLinked="1"/>
        <c:majorTickMark val="none"/>
        <c:minorTickMark val="none"/>
        <c:tickLblPos val="nextTo"/>
        <c:crossAx val="458966448"/>
        <c:crosses val="autoZero"/>
        <c:crossBetween val="between"/>
      </c:valAx>
      <c:spPr>
        <a:noFill/>
        <a:ln>
          <a:noFill/>
        </a:ln>
        <a:effectLst/>
      </c:spPr>
    </c:plotArea>
    <c:legend>
      <c:legendPos val="r"/>
      <c:layout>
        <c:manualLayout>
          <c:xMode val="edge"/>
          <c:yMode val="edge"/>
          <c:x val="0.48587352362204722"/>
          <c:y val="6.4950240594925643E-2"/>
          <c:w val="0.4989222440944881"/>
          <c:h val="0.861984908136482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0658355205599"/>
          <c:y val="0.1388888888888889"/>
          <c:w val="0.3611111111111111"/>
          <c:h val="0.72222222222222221"/>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32F-4D4D-B534-E3F91A5F6B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32F-4D4D-B534-E3F91A5F6B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32F-4D4D-B534-E3F91A5F6B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32F-4D4D-B534-E3F91A5F6B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32F-4D4D-B534-E3F91A5F6B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32F-4D4D-B534-E3F91A5F6B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BF0-45E1-A188-FF6CE2259C4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BF0-45E1-A188-FF6CE2259C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'5.1-Financial Analysis'!$B$7:$B$14</c:f>
              <c:strCache>
                <c:ptCount val="8"/>
                <c:pt idx="0">
                  <c:v>Gate fee</c:v>
                </c:pt>
                <c:pt idx="1">
                  <c:v>Fresh Larvae</c:v>
                </c:pt>
                <c:pt idx="2">
                  <c:v>Dried Larvae</c:v>
                </c:pt>
                <c:pt idx="3">
                  <c:v>Larvae Meal</c:v>
                </c:pt>
                <c:pt idx="4">
                  <c:v>Larvae Oil (crude)</c:v>
                </c:pt>
                <c:pt idx="5">
                  <c:v>Eggs</c:v>
                </c:pt>
                <c:pt idx="6">
                  <c:v>5DOL</c:v>
                </c:pt>
                <c:pt idx="7">
                  <c:v>Compost</c:v>
                </c:pt>
              </c:strCache>
            </c:strRef>
          </c:cat>
          <c:val>
            <c:numRef>
              <c:f>'5.1-Financial Analysis'!$D$7:$D$14</c:f>
              <c:numCache>
                <c:formatCode>_ [$IDR]\ * #,##0.00_ ;_ [$IDR]\ * \-#,##0.00_ ;_ [$IDR]\ * "-"??_ ;_ @_ </c:formatCode>
                <c:ptCount val="8"/>
                <c:pt idx="0">
                  <c:v>0</c:v>
                </c:pt>
                <c:pt idx="1">
                  <c:v>306314.94807867077</c:v>
                </c:pt>
                <c:pt idx="2">
                  <c:v>0</c:v>
                </c:pt>
                <c:pt idx="3">
                  <c:v>0</c:v>
                </c:pt>
                <c:pt idx="4">
                  <c:v>0</c:v>
                </c:pt>
                <c:pt idx="5">
                  <c:v>0</c:v>
                </c:pt>
                <c:pt idx="6">
                  <c:v>0</c:v>
                </c:pt>
                <c:pt idx="7">
                  <c:v>0</c:v>
                </c:pt>
              </c:numCache>
            </c:numRef>
          </c:val>
          <c:extLst>
            <c:ext xmlns:c16="http://schemas.microsoft.com/office/drawing/2014/chart" uri="{C3380CC4-5D6E-409C-BE32-E72D297353CC}">
              <c16:uniqueId val="{00000000-980E-4C5B-B0F2-D7EB819CDB5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1813566272965883"/>
          <c:y val="0.15959755030621173"/>
          <c:w val="0.46797544838145227"/>
          <c:h val="0.6953182414698162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1"/>
          <c:order val="1"/>
          <c:tx>
            <c:v>Capex per year</c:v>
          </c:tx>
          <c:spPr>
            <a:solidFill>
              <a:schemeClr val="accent6">
                <a:shade val="76000"/>
              </a:schemeClr>
            </a:solidFill>
            <a:ln>
              <a:noFill/>
            </a:ln>
            <a:effectLst/>
          </c:spPr>
          <c:invertIfNegative val="0"/>
          <c:val>
            <c:numRef>
              <c:f>'5.1-Financial Analysis'!$C$101:$H$101</c:f>
              <c:numCache>
                <c:formatCode>_ [$IDR]\ * #,##0.00_ ;_ [$IDR]\ * \-#,##0.00_ ;_ [$IDR]\ * "-"??_ ;_ @_ </c:formatCode>
                <c:ptCount val="6"/>
                <c:pt idx="0">
                  <c:v>-66321.39499999999</c:v>
                </c:pt>
                <c:pt idx="1">
                  <c:v>-1750</c:v>
                </c:pt>
                <c:pt idx="2">
                  <c:v>-1750</c:v>
                </c:pt>
                <c:pt idx="3">
                  <c:v>-3418.7999999999997</c:v>
                </c:pt>
                <c:pt idx="4">
                  <c:v>-1750</c:v>
                </c:pt>
                <c:pt idx="5">
                  <c:v>0</c:v>
                </c:pt>
              </c:numCache>
            </c:numRef>
          </c:val>
          <c:extLst>
            <c:ext xmlns:c16="http://schemas.microsoft.com/office/drawing/2014/chart" uri="{C3380CC4-5D6E-409C-BE32-E72D297353CC}">
              <c16:uniqueId val="{00000000-37A9-4ADC-A7B0-EEE149F1128E}"/>
            </c:ext>
          </c:extLst>
        </c:ser>
        <c:dLbls>
          <c:showLegendKey val="0"/>
          <c:showVal val="0"/>
          <c:showCatName val="0"/>
          <c:showSerName val="0"/>
          <c:showPercent val="0"/>
          <c:showBubbleSize val="0"/>
        </c:dLbls>
        <c:gapWidth val="219"/>
        <c:axId val="578255448"/>
        <c:axId val="578256432"/>
      </c:barChart>
      <c:lineChart>
        <c:grouping val="standard"/>
        <c:varyColors val="0"/>
        <c:ser>
          <c:idx val="0"/>
          <c:order val="0"/>
          <c:tx>
            <c:v>Cashflow</c:v>
          </c:tx>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Analysis'!$C$106:$H$106</c:f>
              <c:numCache>
                <c:formatCode>_ [$IDR]\ * #,##0.00_ ;_ [$IDR]\ * \-#,##0.00_ ;_ [$IDR]\ * "-"??_ ;_ @_ </c:formatCode>
                <c:ptCount val="6"/>
                <c:pt idx="0">
                  <c:v>-72851.613333333327</c:v>
                </c:pt>
                <c:pt idx="1">
                  <c:v>218622.97595515795</c:v>
                </c:pt>
                <c:pt idx="2">
                  <c:v>218622.97595515795</c:v>
                </c:pt>
                <c:pt idx="3">
                  <c:v>216954.17595515796</c:v>
                </c:pt>
                <c:pt idx="4">
                  <c:v>218622.97595515795</c:v>
                </c:pt>
                <c:pt idx="5">
                  <c:v>220372.97595515795</c:v>
                </c:pt>
              </c:numCache>
            </c:numRef>
          </c:val>
          <c:smooth val="0"/>
          <c:extLst>
            <c:ext xmlns:c16="http://schemas.microsoft.com/office/drawing/2014/chart" uri="{C3380CC4-5D6E-409C-BE32-E72D297353CC}">
              <c16:uniqueId val="{00000001-37A9-4ADC-A7B0-EEE149F1128E}"/>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54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v>Cumulative Discounted Cashflow</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Analysis'!$C$109:$H$109</c:f>
              <c:numCache>
                <c:formatCode>_ [$IDR]\ * #,##0.00_ ;_ [$IDR]\ * \-#,##0.00_ ;_ [$IDR]\ * "-"??_ ;_ @_ </c:formatCode>
                <c:ptCount val="6"/>
                <c:pt idx="0">
                  <c:v>-72851.613333333327</c:v>
                </c:pt>
                <c:pt idx="1">
                  <c:v>124106.02266230444</c:v>
                </c:pt>
                <c:pt idx="2">
                  <c:v>301545.3343700862</c:v>
                </c:pt>
                <c:pt idx="3">
                  <c:v>460180.35796574753</c:v>
                </c:pt>
                <c:pt idx="4">
                  <c:v>604194.08388716762</c:v>
                </c:pt>
                <c:pt idx="5">
                  <c:v>734974.7191359729</c:v>
                </c:pt>
              </c:numCache>
            </c:numRef>
          </c:val>
          <c:smooth val="0"/>
          <c:extLst>
            <c:ext xmlns:c16="http://schemas.microsoft.com/office/drawing/2014/chart" uri="{C3380CC4-5D6E-409C-BE32-E72D297353CC}">
              <c16:uniqueId val="{00000001-221C-4090-B8B6-171A1DAF9234}"/>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2554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7.8793197725284342E-2"/>
          <c:y val="2.0893482064741911E-2"/>
          <c:w val="0.33398813429571306"/>
          <c:h val="0.94951662292213468"/>
        </c:manualLayout>
      </c:layout>
      <c:barChart>
        <c:barDir val="bar"/>
        <c:grouping val="clustered"/>
        <c:varyColors val="0"/>
        <c:ser>
          <c:idx val="0"/>
          <c:order val="0"/>
          <c:tx>
            <c:strRef>
              <c:f>'2.3-Staff input'!$C$5</c:f>
              <c:strCache>
                <c:ptCount val="1"/>
                <c:pt idx="0">
                  <c:v>General worker</c:v>
                </c:pt>
              </c:strCache>
            </c:strRef>
          </c:tx>
          <c:spPr>
            <a:solidFill>
              <a:schemeClr val="accent6">
                <a:tint val="44000"/>
              </a:schemeClr>
            </a:solidFill>
            <a:ln>
              <a:noFill/>
            </a:ln>
            <a:effectLst/>
          </c:spPr>
          <c:invertIfNegative val="0"/>
          <c:dPt>
            <c:idx val="0"/>
            <c:invertIfNegative val="0"/>
            <c:bubble3D val="0"/>
            <c:spPr>
              <a:solidFill>
                <a:schemeClr val="accent6">
                  <a:tint val="48000"/>
                </a:schemeClr>
              </a:solidFill>
              <a:ln>
                <a:noFill/>
              </a:ln>
              <a:effectLst/>
            </c:spPr>
            <c:extLst>
              <c:ext xmlns:c16="http://schemas.microsoft.com/office/drawing/2014/chart" uri="{C3380CC4-5D6E-409C-BE32-E72D297353CC}">
                <c16:uniqueId val="{00000001-B1DC-422E-A78D-F06F799726EE}"/>
              </c:ext>
            </c:extLst>
          </c:dPt>
          <c:dPt>
            <c:idx val="1"/>
            <c:invertIfNegative val="0"/>
            <c:bubble3D val="0"/>
            <c:spPr>
              <a:solidFill>
                <a:schemeClr val="accent6">
                  <a:tint val="48000"/>
                </a:schemeClr>
              </a:solidFill>
              <a:ln>
                <a:noFill/>
              </a:ln>
              <a:effectLst/>
            </c:spPr>
            <c:extLst>
              <c:ext xmlns:c16="http://schemas.microsoft.com/office/drawing/2014/chart" uri="{C3380CC4-5D6E-409C-BE32-E72D297353CC}">
                <c16:uniqueId val="{00000003-B1DC-422E-A78D-F06F799726EE}"/>
              </c:ext>
            </c:extLst>
          </c:dPt>
          <c:dPt>
            <c:idx val="2"/>
            <c:invertIfNegative val="0"/>
            <c:bubble3D val="0"/>
            <c:spPr>
              <a:solidFill>
                <a:schemeClr val="accent6">
                  <a:tint val="48000"/>
                </a:schemeClr>
              </a:solidFill>
              <a:ln>
                <a:noFill/>
              </a:ln>
              <a:effectLst/>
            </c:spPr>
            <c:extLst>
              <c:ext xmlns:c16="http://schemas.microsoft.com/office/drawing/2014/chart" uri="{C3380CC4-5D6E-409C-BE32-E72D297353CC}">
                <c16:uniqueId val="{00000005-B1DC-422E-A78D-F06F799726EE}"/>
              </c:ext>
            </c:extLst>
          </c:dPt>
          <c:dPt>
            <c:idx val="3"/>
            <c:invertIfNegative val="0"/>
            <c:bubble3D val="0"/>
            <c:spPr>
              <a:solidFill>
                <a:schemeClr val="accent6">
                  <a:tint val="48000"/>
                </a:schemeClr>
              </a:solidFill>
              <a:ln>
                <a:noFill/>
              </a:ln>
              <a:effectLst/>
            </c:spPr>
            <c:extLst>
              <c:ext xmlns:c16="http://schemas.microsoft.com/office/drawing/2014/chart" uri="{C3380CC4-5D6E-409C-BE32-E72D297353CC}">
                <c16:uniqueId val="{00000007-B1DC-422E-A78D-F06F799726EE}"/>
              </c:ext>
            </c:extLst>
          </c:dPt>
          <c:dPt>
            <c:idx val="4"/>
            <c:invertIfNegative val="0"/>
            <c:bubble3D val="0"/>
            <c:spPr>
              <a:solidFill>
                <a:schemeClr val="accent6">
                  <a:tint val="48000"/>
                </a:schemeClr>
              </a:solidFill>
              <a:ln>
                <a:noFill/>
              </a:ln>
              <a:effectLst/>
            </c:spPr>
            <c:extLst>
              <c:ext xmlns:c16="http://schemas.microsoft.com/office/drawing/2014/chart" uri="{C3380CC4-5D6E-409C-BE32-E72D297353CC}">
                <c16:uniqueId val="{00000009-B1DC-422E-A78D-F06F799726EE}"/>
              </c:ext>
            </c:extLst>
          </c:dPt>
          <c:dPt>
            <c:idx val="5"/>
            <c:invertIfNegative val="0"/>
            <c:bubble3D val="0"/>
            <c:spPr>
              <a:solidFill>
                <a:schemeClr val="accent6">
                  <a:tint val="48000"/>
                </a:schemeClr>
              </a:solidFill>
              <a:ln>
                <a:noFill/>
              </a:ln>
              <a:effectLst/>
            </c:spPr>
            <c:extLst>
              <c:ext xmlns:c16="http://schemas.microsoft.com/office/drawing/2014/chart" uri="{C3380CC4-5D6E-409C-BE32-E72D297353CC}">
                <c16:uniqueId val="{0000000B-B1DC-422E-A78D-F06F799726EE}"/>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input'!$L$5</c:f>
              <c:numCache>
                <c:formatCode>0</c:formatCode>
                <c:ptCount val="1"/>
                <c:pt idx="0">
                  <c:v>14</c:v>
                </c:pt>
              </c:numCache>
            </c:numRef>
          </c:val>
          <c:extLst>
            <c:ext xmlns:c16="http://schemas.microsoft.com/office/drawing/2014/chart" uri="{C3380CC4-5D6E-409C-BE32-E72D297353CC}">
              <c16:uniqueId val="{0000000C-B1DC-422E-A78D-F06F799726EE}"/>
            </c:ext>
          </c:extLst>
        </c:ser>
        <c:ser>
          <c:idx val="1"/>
          <c:order val="1"/>
          <c:tx>
            <c:strRef>
              <c:f>'2.3-Staff input'!$C$6</c:f>
              <c:strCache>
                <c:ptCount val="1"/>
                <c:pt idx="0">
                  <c:v>Nursery staff</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input'!$L$6</c:f>
              <c:numCache>
                <c:formatCode>0</c:formatCode>
                <c:ptCount val="1"/>
                <c:pt idx="0">
                  <c:v>11</c:v>
                </c:pt>
              </c:numCache>
            </c:numRef>
          </c:val>
          <c:extLst>
            <c:ext xmlns:c16="http://schemas.microsoft.com/office/drawing/2014/chart" uri="{C3380CC4-5D6E-409C-BE32-E72D297353CC}">
              <c16:uniqueId val="{0000000C-39F1-45F9-8A14-AB85F8E39AA7}"/>
            </c:ext>
          </c:extLst>
        </c:ser>
        <c:ser>
          <c:idx val="2"/>
          <c:order val="2"/>
          <c:tx>
            <c:strRef>
              <c:f>'2.3-Staff input'!$C$7</c:f>
              <c:strCache>
                <c:ptCount val="1"/>
                <c:pt idx="0">
                  <c:v>Waste units manager</c:v>
                </c:pt>
              </c:strCache>
            </c:strRef>
          </c:tx>
          <c:spPr>
            <a:solidFill>
              <a:schemeClr val="accent6">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input'!$L$7</c:f>
              <c:numCache>
                <c:formatCode>0</c:formatCode>
                <c:ptCount val="1"/>
                <c:pt idx="0">
                  <c:v>1</c:v>
                </c:pt>
              </c:numCache>
            </c:numRef>
          </c:val>
          <c:extLst>
            <c:ext xmlns:c16="http://schemas.microsoft.com/office/drawing/2014/chart" uri="{C3380CC4-5D6E-409C-BE32-E72D297353CC}">
              <c16:uniqueId val="{0000000D-39F1-45F9-8A14-AB85F8E39AA7}"/>
            </c:ext>
          </c:extLst>
        </c:ser>
        <c:ser>
          <c:idx val="3"/>
          <c:order val="3"/>
          <c:tx>
            <c:strRef>
              <c:f>'2.3-Staff input'!$C$8</c:f>
              <c:strCache>
                <c:ptCount val="1"/>
                <c:pt idx="0">
                  <c:v>Nursery manager</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input'!$L$8</c:f>
              <c:numCache>
                <c:formatCode>0</c:formatCode>
                <c:ptCount val="1"/>
                <c:pt idx="0">
                  <c:v>1</c:v>
                </c:pt>
              </c:numCache>
            </c:numRef>
          </c:val>
          <c:extLst>
            <c:ext xmlns:c16="http://schemas.microsoft.com/office/drawing/2014/chart" uri="{C3380CC4-5D6E-409C-BE32-E72D297353CC}">
              <c16:uniqueId val="{0000000E-39F1-45F9-8A14-AB85F8E39AA7}"/>
            </c:ext>
          </c:extLst>
        </c:ser>
        <c:ser>
          <c:idx val="4"/>
          <c:order val="4"/>
          <c:tx>
            <c:strRef>
              <c:f>'2.3-Staff input'!$C$9</c:f>
              <c:strCache>
                <c:ptCount val="1"/>
                <c:pt idx="0">
                  <c:v>Site manager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input'!$L$9</c:f>
              <c:numCache>
                <c:formatCode>0</c:formatCode>
                <c:ptCount val="1"/>
                <c:pt idx="0">
                  <c:v>2</c:v>
                </c:pt>
              </c:numCache>
            </c:numRef>
          </c:val>
          <c:extLst>
            <c:ext xmlns:c16="http://schemas.microsoft.com/office/drawing/2014/chart" uri="{C3380CC4-5D6E-409C-BE32-E72D297353CC}">
              <c16:uniqueId val="{0000000F-39F1-45F9-8A14-AB85F8E39AA7}"/>
            </c:ext>
          </c:extLst>
        </c:ser>
        <c:ser>
          <c:idx val="5"/>
          <c:order val="5"/>
          <c:tx>
            <c:strRef>
              <c:f>'2.3-Staff input'!$C$10</c:f>
              <c:strCache>
                <c:ptCount val="1"/>
                <c:pt idx="0">
                  <c:v>Sales manager</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input'!$L$10</c:f>
              <c:numCache>
                <c:formatCode>0</c:formatCode>
                <c:ptCount val="1"/>
                <c:pt idx="0">
                  <c:v>4</c:v>
                </c:pt>
              </c:numCache>
            </c:numRef>
          </c:val>
          <c:extLst>
            <c:ext xmlns:c16="http://schemas.microsoft.com/office/drawing/2014/chart" uri="{C3380CC4-5D6E-409C-BE32-E72D297353CC}">
              <c16:uniqueId val="{00000010-39F1-45F9-8A14-AB85F8E39AA7}"/>
            </c:ext>
          </c:extLst>
        </c:ser>
        <c:ser>
          <c:idx val="6"/>
          <c:order val="6"/>
          <c:tx>
            <c:strRef>
              <c:f>'2.3-Staff input'!$C$11</c:f>
              <c:strCache>
                <c:ptCount val="1"/>
                <c:pt idx="0">
                  <c:v>Admin &amp; Accounting</c:v>
                </c:pt>
              </c:strCache>
            </c:strRef>
          </c:tx>
          <c:spPr>
            <a:solidFill>
              <a:schemeClr val="accent6">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input'!$L$11</c:f>
              <c:numCache>
                <c:formatCode>0</c:formatCode>
                <c:ptCount val="1"/>
                <c:pt idx="0">
                  <c:v>2</c:v>
                </c:pt>
              </c:numCache>
            </c:numRef>
          </c:val>
          <c:extLst>
            <c:ext xmlns:c16="http://schemas.microsoft.com/office/drawing/2014/chart" uri="{C3380CC4-5D6E-409C-BE32-E72D297353CC}">
              <c16:uniqueId val="{00000011-39F1-45F9-8A14-AB85F8E39AA7}"/>
            </c:ext>
          </c:extLst>
        </c:ser>
        <c:ser>
          <c:idx val="7"/>
          <c:order val="7"/>
          <c:tx>
            <c:strRef>
              <c:f>'2.3-Staff input'!$C$12</c:f>
              <c:strCache>
                <c:ptCount val="1"/>
                <c:pt idx="0">
                  <c:v>Post-P. worker (Sanitizing)</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input'!$L$12</c:f>
              <c:numCache>
                <c:formatCode>0</c:formatCode>
                <c:ptCount val="1"/>
                <c:pt idx="0">
                  <c:v>0</c:v>
                </c:pt>
              </c:numCache>
            </c:numRef>
          </c:val>
          <c:extLst>
            <c:ext xmlns:c16="http://schemas.microsoft.com/office/drawing/2014/chart" uri="{C3380CC4-5D6E-409C-BE32-E72D297353CC}">
              <c16:uniqueId val="{00000012-39F1-45F9-8A14-AB85F8E39AA7}"/>
            </c:ext>
          </c:extLst>
        </c:ser>
        <c:ser>
          <c:idx val="8"/>
          <c:order val="8"/>
          <c:tx>
            <c:strRef>
              <c:f>'2.3-Staff input'!$C$13</c:f>
              <c:strCache>
                <c:ptCount val="1"/>
                <c:pt idx="0">
                  <c:v>Post-P. worker (Drying &amp; pressing)</c:v>
                </c:pt>
              </c:strCache>
            </c:strRef>
          </c:tx>
          <c:spPr>
            <a:solidFill>
              <a:schemeClr val="accent6">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'2.3-Staff input'!$L$13</c:f>
              <c:numCache>
                <c:formatCode>0</c:formatCode>
                <c:ptCount val="1"/>
                <c:pt idx="0">
                  <c:v>0</c:v>
                </c:pt>
              </c:numCache>
            </c:numRef>
          </c:val>
          <c:extLst>
            <c:ext xmlns:c16="http://schemas.microsoft.com/office/drawing/2014/chart" uri="{C3380CC4-5D6E-409C-BE32-E72D297353CC}">
              <c16:uniqueId val="{00000013-39F1-45F9-8A14-AB85F8E39AA7}"/>
            </c:ext>
          </c:extLst>
        </c:ser>
        <c:dLbls>
          <c:dLblPos val="outEnd"/>
          <c:showLegendKey val="0"/>
          <c:showVal val="1"/>
          <c:showCatName val="0"/>
          <c:showSerName val="0"/>
          <c:showPercent val="0"/>
          <c:showBubbleSize val="0"/>
        </c:dLbls>
        <c:gapWidth val="53"/>
        <c:overlap val="-38"/>
        <c:axId val="697164408"/>
        <c:axId val="697168016"/>
      </c:barChart>
      <c:catAx>
        <c:axId val="697164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Nr</a:t>
                </a:r>
                <a:r>
                  <a:rPr lang="en-GB" baseline="0"/>
                  <a:t> staff per category</a:t>
                </a:r>
                <a:endParaRPr lang="en-GB"/>
              </a:p>
            </c:rich>
          </c:tx>
          <c:layout>
            <c:manualLayout>
              <c:xMode val="edge"/>
              <c:yMode val="edge"/>
              <c:x val="1.558134798983371E-2"/>
              <c:y val="0.182652012248468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majorTickMark val="none"/>
        <c:minorTickMark val="none"/>
        <c:tickLblPos val="nextTo"/>
        <c:crossAx val="697168016"/>
        <c:crosses val="autoZero"/>
        <c:auto val="1"/>
        <c:lblAlgn val="ctr"/>
        <c:lblOffset val="100"/>
        <c:noMultiLvlLbl val="0"/>
      </c:catAx>
      <c:valAx>
        <c:axId val="697168016"/>
        <c:scaling>
          <c:orientation val="minMax"/>
        </c:scaling>
        <c:delete val="1"/>
        <c:axPos val="b"/>
        <c:numFmt formatCode="0" sourceLinked="1"/>
        <c:majorTickMark val="none"/>
        <c:minorTickMark val="none"/>
        <c:tickLblPos val="nextTo"/>
        <c:crossAx val="697164408"/>
        <c:crosses val="autoZero"/>
        <c:crossBetween val="between"/>
      </c:valAx>
      <c:spPr>
        <a:noFill/>
        <a:ln w="15875">
          <a:noFill/>
        </a:ln>
        <a:effectLst/>
      </c:spPr>
    </c:plotArea>
    <c:legend>
      <c:legendPos val="r"/>
      <c:layout>
        <c:manualLayout>
          <c:xMode val="edge"/>
          <c:yMode val="edge"/>
          <c:x val="0.42816026902887139"/>
          <c:y val="3.2130905511811018E-2"/>
          <c:w val="0.55100639763779524"/>
          <c:h val="0.94268208661417319"/>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'3.2-Results Dashboard'!$J$10</c:f>
              <c:strCache>
                <c:ptCount val="1"/>
                <c:pt idx="0">
                  <c:v>Gross Profit</c:v>
                </c:pt>
              </c:strCache>
            </c:strRef>
          </c:tx>
          <c:spPr>
            <a:solidFill>
              <a:schemeClr val="accent6">
                <a:tint val="58000"/>
              </a:schemeClr>
            </a:solidFill>
            <a:ln>
              <a:noFill/>
            </a:ln>
            <a:effectLst/>
          </c:spPr>
          <c:invertIfNegative val="0"/>
          <c:val>
            <c:numRef>
              <c:f>'3.2-Results Dashboard'!$K$10</c:f>
              <c:numCache>
                <c:formatCode>_ [$IDR]\ * #,##0.00_ ;_ [$IDR]\ * \-#,##0.00_ ;_ [$IDR]\ * "-"??_ ;_ @_ </c:formatCode>
                <c:ptCount val="1"/>
                <c:pt idx="0">
                  <c:v>219594.8238718246</c:v>
                </c:pt>
              </c:numCache>
            </c:numRef>
          </c:val>
          <c:extLst>
            <c:ext xmlns:c16="http://schemas.microsoft.com/office/drawing/2014/chart" uri="{C3380CC4-5D6E-409C-BE32-E72D297353CC}">
              <c16:uniqueId val="{00000003-A3BB-4D10-92A0-4E916775B007}"/>
            </c:ext>
          </c:extLst>
        </c:ser>
        <c:ser>
          <c:idx val="1"/>
          <c:order val="1"/>
          <c:tx>
            <c:strRef>
              <c:f>'3.2-Results Dashboard'!$J$11</c:f>
              <c:strCache>
                <c:ptCount val="1"/>
                <c:pt idx="0">
                  <c:v>EBITDA</c:v>
                </c:pt>
              </c:strCache>
            </c:strRef>
          </c:tx>
          <c:spPr>
            <a:solidFill>
              <a:schemeClr val="accent6">
                <a:tint val="86000"/>
              </a:schemeClr>
            </a:solidFill>
            <a:ln>
              <a:noFill/>
            </a:ln>
            <a:effectLst/>
          </c:spPr>
          <c:invertIfNegative val="0"/>
          <c:val>
            <c:numRef>
              <c:f>'3.2-Results Dashboard'!$K$11</c:f>
              <c:numCache>
                <c:formatCode>_ [$IDR]\ * #,##0.00_ ;_ [$IDR]\ * \-#,##0.00_ ;_ [$IDR]\ * "-"??_ ;_ @_ </c:formatCode>
                <c:ptCount val="1"/>
                <c:pt idx="0">
                  <c:v>220372.97595515792</c:v>
                </c:pt>
              </c:numCache>
            </c:numRef>
          </c:val>
          <c:extLst>
            <c:ext xmlns:c16="http://schemas.microsoft.com/office/drawing/2014/chart" uri="{C3380CC4-5D6E-409C-BE32-E72D297353CC}">
              <c16:uniqueId val="{00000004-A3BB-4D10-92A0-4E916775B007}"/>
            </c:ext>
          </c:extLst>
        </c:ser>
        <c:ser>
          <c:idx val="2"/>
          <c:order val="2"/>
          <c:tx>
            <c:strRef>
              <c:f>'3.2-Results Dashboard'!$J$12</c:f>
              <c:strCache>
                <c:ptCount val="1"/>
                <c:pt idx="0">
                  <c:v>Operating Profit (EBIT)</c:v>
                </c:pt>
              </c:strCache>
            </c:strRef>
          </c:tx>
          <c:spPr>
            <a:solidFill>
              <a:schemeClr val="accent6">
                <a:shade val="86000"/>
              </a:schemeClr>
            </a:solidFill>
            <a:ln>
              <a:noFill/>
            </a:ln>
            <a:effectLst/>
          </c:spPr>
          <c:invertIfNegative val="0"/>
          <c:val>
            <c:numRef>
              <c:f>'3.2-Results Dashboard'!$K$12</c:f>
              <c:numCache>
                <c:formatCode>_ [$IDR]\ * #,##0.00_ ;_ [$IDR]\ * \-#,##0.00_ ;_ [$IDR]\ * "-"??_ ;_ @_ </c:formatCode>
                <c:ptCount val="1"/>
                <c:pt idx="0">
                  <c:v>205809.70928849126</c:v>
                </c:pt>
              </c:numCache>
            </c:numRef>
          </c:val>
          <c:extLst>
            <c:ext xmlns:c16="http://schemas.microsoft.com/office/drawing/2014/chart" uri="{C3380CC4-5D6E-409C-BE32-E72D297353CC}">
              <c16:uniqueId val="{00000005-A3BB-4D10-92A0-4E916775B007}"/>
            </c:ext>
          </c:extLst>
        </c:ser>
        <c:ser>
          <c:idx val="3"/>
          <c:order val="3"/>
          <c:tx>
            <c:strRef>
              <c:f>'3.2-Results Dashboard'!$J$15</c:f>
              <c:strCache>
                <c:ptCount val="1"/>
                <c:pt idx="0">
                  <c:v>Net Profit (after taxes)</c:v>
                </c:pt>
              </c:strCache>
            </c:strRef>
          </c:tx>
          <c:spPr>
            <a:solidFill>
              <a:schemeClr val="accent6">
                <a:shade val="58000"/>
              </a:schemeClr>
            </a:solidFill>
            <a:ln>
              <a:noFill/>
            </a:ln>
            <a:effectLst/>
          </c:spPr>
          <c:invertIfNegative val="0"/>
          <c:val>
            <c:numRef>
              <c:f>'3.2-Results Dashboard'!$K$15</c:f>
              <c:numCache>
                <c:formatCode>_ [$IDR]\ * #,##0.00_ ;_ [$IDR]\ * \-#,##0.00_ ;_ [$IDR]\ * "-"??_ ;_ @_ </c:formatCode>
                <c:ptCount val="1"/>
                <c:pt idx="0">
                  <c:v>156688.09045657131</c:v>
                </c:pt>
              </c:numCache>
            </c:numRef>
          </c:val>
          <c:extLst>
            <c:ext xmlns:c16="http://schemas.microsoft.com/office/drawing/2014/chart" uri="{C3380CC4-5D6E-409C-BE32-E72D297353CC}">
              <c16:uniqueId val="{00000006-A3BB-4D10-92A0-4E916775B007}"/>
            </c:ext>
          </c:extLst>
        </c:ser>
        <c:dLbls>
          <c:showLegendKey val="0"/>
          <c:showVal val="0"/>
          <c:showCatName val="0"/>
          <c:showSerName val="0"/>
          <c:showPercent val="0"/>
          <c:showBubbleSize val="0"/>
        </c:dLbls>
        <c:gapWidth val="219"/>
        <c:overlap val="-27"/>
        <c:axId val="607723280"/>
        <c:axId val="607721640"/>
      </c:barChart>
      <c:catAx>
        <c:axId val="607723280"/>
        <c:scaling>
          <c:orientation val="minMax"/>
        </c:scaling>
        <c:delete val="1"/>
        <c:axPos val="b"/>
        <c:numFmt formatCode="General" sourceLinked="0"/>
        <c:majorTickMark val="out"/>
        <c:minorTickMark val="none"/>
        <c:tickLblPos val="nextTo"/>
        <c:crossAx val="607721640"/>
        <c:crosses val="autoZero"/>
        <c:auto val="1"/>
        <c:lblAlgn val="ctr"/>
        <c:lblOffset val="100"/>
        <c:noMultiLvlLbl val="0"/>
      </c:catAx>
      <c:valAx>
        <c:axId val="607721640"/>
        <c:scaling>
          <c:orientation val="minMax"/>
        </c:scaling>
        <c:delete val="0"/>
        <c:axPos val="l"/>
        <c:title>
          <c:tx>
            <c:strRef>
              <c:f>'3.2-Results Dashboard'!$F$17</c:f>
              <c:strCache>
                <c:ptCount val="1"/>
                <c:pt idx="0">
                  <c:v>Amount in USD</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72328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6060804899387"/>
          <c:y val="0.1388888888888889"/>
          <c:w val="0.3611111111111111"/>
          <c:h val="0.72222222222222221"/>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97-4A3A-80C5-0FFF739305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97-4A3A-80C5-0FFF739305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97-4A3A-80C5-0FFF739305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97-4A3A-80C5-0FFF739305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97-4A3A-80C5-0FFF739305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97-4A3A-80C5-0FFF739305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('5.1-Financial Analysis'!$B$34,'5.1-Financial Analysis'!$B$42,'5.1-Financial Analysis'!$B$53,'5.1-Financial Analysis'!$B$69,'5.1-Financial Analysis'!$B$77,'5.1-Financial Analysis'!$B$85)</c:f>
              <c:strCache>
                <c:ptCount val="6"/>
                <c:pt idx="0">
                  <c:v>Materials (direct)</c:v>
                </c:pt>
                <c:pt idx="1">
                  <c:v>Labor (direct)</c:v>
                </c:pt>
                <c:pt idx="2">
                  <c:v>Labor (indirect)</c:v>
                </c:pt>
                <c:pt idx="3">
                  <c:v>Equipment Maintenance and contingencies</c:v>
                </c:pt>
                <c:pt idx="4">
                  <c:v>Utilities</c:v>
                </c:pt>
                <c:pt idx="5">
                  <c:v>Selling, General &amp; Administration overhead</c:v>
                </c:pt>
              </c:strCache>
            </c:strRef>
          </c:cat>
          <c:val>
            <c:numRef>
              <c:f>('5.1-Financial Analysis'!$D$34,'5.1-Financial Analysis'!$D$42,'5.1-Financial Analysis'!$D$53,'5.1-Financial Analysis'!$D$69,'5.1-Financial Analysis'!$D$77,'5.1-Financial Analysis'!$D$85)</c:f>
              <c:numCache>
                <c:formatCode>_ [$IDR]\ * #,##0.00_ ;_ [$IDR]\ * \-#,##0.00_ ;_ [$IDR]\ * "-"??_ ;_ @_ </c:formatCode>
                <c:ptCount val="6"/>
                <c:pt idx="0">
                  <c:v>5780.237177151902</c:v>
                </c:pt>
                <c:pt idx="1">
                  <c:v>46619.999999999993</c:v>
                </c:pt>
                <c:pt idx="2">
                  <c:v>12096</c:v>
                </c:pt>
                <c:pt idx="3">
                  <c:v>3235.19</c:v>
                </c:pt>
                <c:pt idx="4">
                  <c:v>4425.4303630276036</c:v>
                </c:pt>
                <c:pt idx="5">
                  <c:v>13785.114583333332</c:v>
                </c:pt>
              </c:numCache>
            </c:numRef>
          </c:val>
          <c:extLst>
            <c:ext xmlns:c16="http://schemas.microsoft.com/office/drawing/2014/chart" uri="{C3380CC4-5D6E-409C-BE32-E72D297353CC}">
              <c16:uniqueId val="{0000000C-E397-4A3A-80C5-0FFF739305B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5083226953802544"/>
          <c:y val="0.11633410990037535"/>
          <c:w val="0.43323432457100558"/>
          <c:h val="0.8342098643919509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166666666667"/>
          <c:y val="0.14583333333333334"/>
          <c:w val="0.3611111111111111"/>
          <c:h val="0.72222222222222221"/>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B97-469B-8DF6-C94480F112C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B97-469B-8DF6-C94480F112C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B97-469B-8DF6-C94480F112C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B97-469B-8DF6-C94480F112CA}"/>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B97-469B-8DF6-C94480F112CA}"/>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3B97-469B-8DF6-C94480F112CA}"/>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C6C2-4746-874F-58EB3E728741}"/>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C6C2-4746-874F-58EB3E728741}"/>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C6C2-4746-874F-58EB3E7287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'5.1-Financial Analysis'!$B$20:$B$28</c:f>
              <c:strCache>
                <c:ptCount val="9"/>
                <c:pt idx="0">
                  <c:v>Land aqusition</c:v>
                </c:pt>
                <c:pt idx="1">
                  <c:v>Factory construction</c:v>
                </c:pt>
                <c:pt idx="2">
                  <c:v>Waste pre-processing</c:v>
                </c:pt>
                <c:pt idx="3">
                  <c:v>Waste treatment</c:v>
                </c:pt>
                <c:pt idx="4">
                  <c:v>Harvesting</c:v>
                </c:pt>
                <c:pt idx="5">
                  <c:v>Nursery / Rearing</c:v>
                </c:pt>
                <c:pt idx="6">
                  <c:v>Larvae Post-processing</c:v>
                </c:pt>
                <c:pt idx="7">
                  <c:v>Residue processing</c:v>
                </c:pt>
                <c:pt idx="8">
                  <c:v>Process installation &amp; integration</c:v>
                </c:pt>
              </c:strCache>
            </c:strRef>
          </c:cat>
          <c:val>
            <c:numRef>
              <c:f>'5.1-Financial Analysis'!$C$20:$C$28</c:f>
              <c:numCache>
                <c:formatCode>_ [$IDR]\ * #,##0.00_ ;_ [$IDR]\ * \-#,##0.00_ ;_ [$IDR]\ * "-"??_ ;_ @_ </c:formatCode>
                <c:ptCount val="9"/>
                <c:pt idx="0">
                  <c:v>0</c:v>
                </c:pt>
                <c:pt idx="1">
                  <c:v>0</c:v>
                </c:pt>
                <c:pt idx="2">
                  <c:v>2548</c:v>
                </c:pt>
                <c:pt idx="3">
                  <c:v>19852</c:v>
                </c:pt>
                <c:pt idx="4">
                  <c:v>28731.5</c:v>
                </c:pt>
                <c:pt idx="5">
                  <c:v>11083.1</c:v>
                </c:pt>
                <c:pt idx="6">
                  <c:v>2384.1999999999998</c:v>
                </c:pt>
                <c:pt idx="7">
                  <c:v>104.99999999999999</c:v>
                </c:pt>
                <c:pt idx="8">
                  <c:v>1617.595</c:v>
                </c:pt>
              </c:numCache>
            </c:numRef>
          </c:val>
          <c:extLst>
            <c:ext xmlns:c16="http://schemas.microsoft.com/office/drawing/2014/chart" uri="{C3380CC4-5D6E-409C-BE32-E72D297353CC}">
              <c16:uniqueId val="{0000000C-3B97-469B-8DF6-C94480F112C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021109470691163"/>
          <c:y val="3.3126640419947506E-2"/>
          <c:w val="0.47600366360454938"/>
          <c:h val="0.939095581802274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7.8793197725284342E-2"/>
          <c:y val="3.4782632511217056E-2"/>
          <c:w val="0.61871035651793527"/>
          <c:h val="0.92173907684976164"/>
        </c:manualLayout>
      </c:layout>
      <c:barChart>
        <c:barDir val="bar"/>
        <c:grouping val="clustered"/>
        <c:varyColors val="0"/>
        <c:ser>
          <c:idx val="0"/>
          <c:order val="0"/>
          <c:tx>
            <c:strRef>
              <c:f>'5.3-Unit SG&amp;A'!$B$36</c:f>
              <c:strCache>
                <c:ptCount val="1"/>
                <c:pt idx="0">
                  <c:v>Unit-W</c:v>
                </c:pt>
              </c:strCache>
            </c:strRef>
          </c:tx>
          <c:spPr>
            <a:solidFill>
              <a:schemeClr val="accent6">
                <a:tint val="48000"/>
              </a:schemeClr>
            </a:solidFill>
            <a:ln>
              <a:noFill/>
            </a:ln>
            <a:effectLst/>
          </c:spPr>
          <c:invertIfNegative val="0"/>
          <c:dPt>
            <c:idx val="0"/>
            <c:invertIfNegative val="0"/>
            <c:bubble3D val="0"/>
            <c:spPr>
              <a:solidFill>
                <a:schemeClr val="accent6">
                  <a:tint val="48000"/>
                </a:schemeClr>
              </a:solidFill>
              <a:ln>
                <a:noFill/>
              </a:ln>
              <a:effectLst/>
            </c:spPr>
            <c:extLst>
              <c:ext xmlns:c16="http://schemas.microsoft.com/office/drawing/2014/chart" uri="{C3380CC4-5D6E-409C-BE32-E72D297353CC}">
                <c16:uniqueId val="{00000001-BE6F-41B7-9707-86BE5747B0AA}"/>
              </c:ext>
            </c:extLst>
          </c:dPt>
          <c:dPt>
            <c:idx val="1"/>
            <c:invertIfNegative val="0"/>
            <c:bubble3D val="0"/>
            <c:spPr>
              <a:solidFill>
                <a:schemeClr val="accent6">
                  <a:tint val="48000"/>
                </a:schemeClr>
              </a:solidFill>
              <a:ln>
                <a:noFill/>
              </a:ln>
              <a:effectLst/>
            </c:spPr>
            <c:extLst>
              <c:ext xmlns:c16="http://schemas.microsoft.com/office/drawing/2014/chart" uri="{C3380CC4-5D6E-409C-BE32-E72D297353CC}">
                <c16:uniqueId val="{00000003-BE6F-41B7-9707-86BE5747B0AA}"/>
              </c:ext>
            </c:extLst>
          </c:dPt>
          <c:dPt>
            <c:idx val="2"/>
            <c:invertIfNegative val="0"/>
            <c:bubble3D val="0"/>
            <c:spPr>
              <a:solidFill>
                <a:schemeClr val="accent6">
                  <a:tint val="48000"/>
                </a:schemeClr>
              </a:solidFill>
              <a:ln>
                <a:noFill/>
              </a:ln>
              <a:effectLst/>
            </c:spPr>
            <c:extLst>
              <c:ext xmlns:c16="http://schemas.microsoft.com/office/drawing/2014/chart" uri="{C3380CC4-5D6E-409C-BE32-E72D297353CC}">
                <c16:uniqueId val="{00000005-BE6F-41B7-9707-86BE5747B0AA}"/>
              </c:ext>
            </c:extLst>
          </c:dPt>
          <c:dPt>
            <c:idx val="3"/>
            <c:invertIfNegative val="0"/>
            <c:bubble3D val="0"/>
            <c:spPr>
              <a:solidFill>
                <a:schemeClr val="accent6">
                  <a:tint val="48000"/>
                </a:schemeClr>
              </a:solidFill>
              <a:ln>
                <a:noFill/>
              </a:ln>
              <a:effectLst/>
            </c:spPr>
            <c:extLst>
              <c:ext xmlns:c16="http://schemas.microsoft.com/office/drawing/2014/chart" uri="{C3380CC4-5D6E-409C-BE32-E72D297353CC}">
                <c16:uniqueId val="{00000007-BE6F-41B7-9707-86BE5747B0AA}"/>
              </c:ext>
            </c:extLst>
          </c:dPt>
          <c:dPt>
            <c:idx val="4"/>
            <c:invertIfNegative val="0"/>
            <c:bubble3D val="0"/>
            <c:spPr>
              <a:solidFill>
                <a:schemeClr val="accent6">
                  <a:tint val="48000"/>
                </a:schemeClr>
              </a:solidFill>
              <a:ln>
                <a:noFill/>
              </a:ln>
              <a:effectLst/>
            </c:spPr>
            <c:extLst>
              <c:ext xmlns:c16="http://schemas.microsoft.com/office/drawing/2014/chart" uri="{C3380CC4-5D6E-409C-BE32-E72D297353CC}">
                <c16:uniqueId val="{00000009-BE6F-41B7-9707-86BE5747B0AA}"/>
              </c:ext>
            </c:extLst>
          </c:dPt>
          <c:dPt>
            <c:idx val="5"/>
            <c:invertIfNegative val="0"/>
            <c:bubble3D val="0"/>
            <c:spPr>
              <a:solidFill>
                <a:schemeClr val="accent6">
                  <a:tint val="48000"/>
                </a:schemeClr>
              </a:solidFill>
              <a:ln>
                <a:noFill/>
              </a:ln>
              <a:effectLst/>
            </c:spPr>
            <c:extLst>
              <c:ext xmlns:c16="http://schemas.microsoft.com/office/drawing/2014/chart" uri="{C3380CC4-5D6E-409C-BE32-E72D297353CC}">
                <c16:uniqueId val="{0000000B-BE6F-41B7-9707-86BE5747B0AA}"/>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SG&amp;A'!$D$36</c:f>
              <c:numCache>
                <c:formatCode>0.0</c:formatCode>
                <c:ptCount val="1"/>
                <c:pt idx="0">
                  <c:v>76.702000000000012</c:v>
                </c:pt>
              </c:numCache>
            </c:numRef>
          </c:val>
          <c:extLst>
            <c:ext xmlns:c16="http://schemas.microsoft.com/office/drawing/2014/chart" uri="{C3380CC4-5D6E-409C-BE32-E72D297353CC}">
              <c16:uniqueId val="{0000000C-BE6F-41B7-9707-86BE5747B0AA}"/>
            </c:ext>
          </c:extLst>
        </c:ser>
        <c:ser>
          <c:idx val="1"/>
          <c:order val="1"/>
          <c:tx>
            <c:strRef>
              <c:f>'5.3-Unit SG&amp;A'!$B$37</c:f>
              <c:strCache>
                <c:ptCount val="1"/>
                <c:pt idx="0">
                  <c:v>Unit-T</c:v>
                </c:pt>
              </c:strCache>
            </c:strRef>
          </c:tx>
          <c:spPr>
            <a:solidFill>
              <a:schemeClr val="accent6">
                <a:tint val="65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SG&amp;A'!$D$37</c:f>
              <c:numCache>
                <c:formatCode>0.0</c:formatCode>
                <c:ptCount val="1"/>
                <c:pt idx="0">
                  <c:v>252.22466666666674</c:v>
                </c:pt>
              </c:numCache>
            </c:numRef>
          </c:val>
          <c:extLst>
            <c:ext xmlns:c16="http://schemas.microsoft.com/office/drawing/2014/chart" uri="{C3380CC4-5D6E-409C-BE32-E72D297353CC}">
              <c16:uniqueId val="{0000000D-BE6F-41B7-9707-86BE5747B0AA}"/>
            </c:ext>
          </c:extLst>
        </c:ser>
        <c:ser>
          <c:idx val="2"/>
          <c:order val="2"/>
          <c:tx>
            <c:strRef>
              <c:f>'5.3-Unit SG&amp;A'!$B$38</c:f>
              <c:strCache>
                <c:ptCount val="1"/>
                <c:pt idx="0">
                  <c:v>Unit-H</c:v>
                </c:pt>
              </c:strCache>
            </c:strRef>
          </c:tx>
          <c:spPr>
            <a:solidFill>
              <a:schemeClr val="accent6">
                <a:tint val="83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SG&amp;A'!$D$38</c:f>
              <c:numCache>
                <c:formatCode>0.0</c:formatCode>
                <c:ptCount val="1"/>
                <c:pt idx="0">
                  <c:v>265.55800000000005</c:v>
                </c:pt>
              </c:numCache>
            </c:numRef>
          </c:val>
          <c:extLst>
            <c:ext xmlns:c16="http://schemas.microsoft.com/office/drawing/2014/chart" uri="{C3380CC4-5D6E-409C-BE32-E72D297353CC}">
              <c16:uniqueId val="{0000000E-BE6F-41B7-9707-86BE5747B0AA}"/>
            </c:ext>
          </c:extLst>
        </c:ser>
        <c:ser>
          <c:idx val="3"/>
          <c:order val="3"/>
          <c:tx>
            <c:strRef>
              <c:f>'5.3-Unit SG&amp;A'!$B$39</c:f>
              <c:strCache>
                <c:ptCount val="1"/>
                <c:pt idx="0">
                  <c:v>Unit-N</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SG&amp;A'!$D$39</c:f>
              <c:numCache>
                <c:formatCode>0.0</c:formatCode>
                <c:ptCount val="1"/>
                <c:pt idx="0">
                  <c:v>119.39166666666665</c:v>
                </c:pt>
              </c:numCache>
            </c:numRef>
          </c:val>
          <c:extLst>
            <c:ext xmlns:c16="http://schemas.microsoft.com/office/drawing/2014/chart" uri="{C3380CC4-5D6E-409C-BE32-E72D297353CC}">
              <c16:uniqueId val="{0000000F-BE6F-41B7-9707-86BE5747B0AA}"/>
            </c:ext>
          </c:extLst>
        </c:ser>
        <c:ser>
          <c:idx val="4"/>
          <c:order val="4"/>
          <c:tx>
            <c:strRef>
              <c:f>'5.3-Unit SG&amp;A'!$B$40</c:f>
              <c:strCache>
                <c:ptCount val="1"/>
                <c:pt idx="0">
                  <c:v>Unit-P</c:v>
                </c:pt>
              </c:strCache>
            </c:strRef>
          </c:tx>
          <c:spPr>
            <a:solidFill>
              <a:schemeClr val="accent6">
                <a:shade val="82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SG&amp;A'!$D$40</c:f>
              <c:numCache>
                <c:formatCode>0.0</c:formatCode>
                <c:ptCount val="1"/>
                <c:pt idx="0">
                  <c:v>63.152000000000008</c:v>
                </c:pt>
              </c:numCache>
            </c:numRef>
          </c:val>
          <c:extLst>
            <c:ext xmlns:c16="http://schemas.microsoft.com/office/drawing/2014/chart" uri="{C3380CC4-5D6E-409C-BE32-E72D297353CC}">
              <c16:uniqueId val="{00000010-BE6F-41B7-9707-86BE5747B0AA}"/>
            </c:ext>
          </c:extLst>
        </c:ser>
        <c:ser>
          <c:idx val="5"/>
          <c:order val="5"/>
          <c:tx>
            <c:strRef>
              <c:f>'5.3-Unit SG&amp;A'!$B$41</c:f>
              <c:strCache>
                <c:ptCount val="1"/>
                <c:pt idx="0">
                  <c:v>Unit-R</c:v>
                </c:pt>
              </c:strCache>
            </c:strRef>
          </c:tx>
          <c:spPr>
            <a:solidFill>
              <a:schemeClr val="accent6">
                <a:shade val="65000"/>
              </a:schemeClr>
            </a:solidFill>
            <a:ln>
              <a:noFill/>
            </a:ln>
            <a:effectLst/>
          </c:spPr>
          <c:invertIfNegative val="0"/>
          <c:dLbls>
            <c:dLbl>
              <c:idx val="0"/>
              <c:layout/>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E6F-41B7-9707-86BE5747B0A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SG&amp;A'!$D$41</c:f>
              <c:numCache>
                <c:formatCode>0.0</c:formatCode>
                <c:ptCount val="1"/>
                <c:pt idx="0">
                  <c:v>55.859999999999992</c:v>
                </c:pt>
              </c:numCache>
            </c:numRef>
          </c:val>
          <c:extLst>
            <c:ext xmlns:c16="http://schemas.microsoft.com/office/drawing/2014/chart" uri="{C3380CC4-5D6E-409C-BE32-E72D297353CC}">
              <c16:uniqueId val="{00000012-BE6F-41B7-9707-86BE5747B0AA}"/>
            </c:ext>
          </c:extLst>
        </c:ser>
        <c:ser>
          <c:idx val="6"/>
          <c:order val="6"/>
          <c:tx>
            <c:strRef>
              <c:f>'5.3-Unit SG&amp;A'!$B$42</c:f>
              <c:strCache>
                <c:ptCount val="1"/>
                <c:pt idx="0">
                  <c:v>Office space</c:v>
                </c:pt>
              </c:strCache>
            </c:strRef>
          </c:tx>
          <c:spPr>
            <a:solidFill>
              <a:schemeClr val="accent6">
                <a:shade val="47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'5.3-Unit SG&amp;A'!$D$42</c:f>
              <c:numCache>
                <c:formatCode>0.0</c:formatCode>
                <c:ptCount val="1"/>
                <c:pt idx="0">
                  <c:v>100</c:v>
                </c:pt>
              </c:numCache>
            </c:numRef>
          </c:val>
          <c:extLst>
            <c:ext xmlns:c16="http://schemas.microsoft.com/office/drawing/2014/chart" uri="{C3380CC4-5D6E-409C-BE32-E72D297353CC}">
              <c16:uniqueId val="{00000013-BE6F-41B7-9707-86BE5747B0AA}"/>
            </c:ext>
          </c:extLst>
        </c:ser>
        <c:dLbls>
          <c:dLblPos val="inBase"/>
          <c:showLegendKey val="0"/>
          <c:showVal val="1"/>
          <c:showCatName val="0"/>
          <c:showSerName val="0"/>
          <c:showPercent val="0"/>
          <c:showBubbleSize val="0"/>
        </c:dLbls>
        <c:gapWidth val="53"/>
        <c:overlap val="-38"/>
        <c:axId val="697164408"/>
        <c:axId val="697168016"/>
      </c:barChart>
      <c:catAx>
        <c:axId val="697164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Space per unit in m2</a:t>
                </a:r>
              </a:p>
            </c:rich>
          </c:tx>
          <c:layout>
            <c:manualLayout>
              <c:xMode val="edge"/>
              <c:yMode val="edge"/>
              <c:x val="1.5581255468066491E-2"/>
              <c:y val="0.203485345581802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majorTickMark val="none"/>
        <c:minorTickMark val="none"/>
        <c:tickLblPos val="nextTo"/>
        <c:crossAx val="697168016"/>
        <c:crosses val="autoZero"/>
        <c:auto val="1"/>
        <c:lblAlgn val="ctr"/>
        <c:lblOffset val="100"/>
        <c:noMultiLvlLbl val="0"/>
      </c:catAx>
      <c:valAx>
        <c:axId val="697168016"/>
        <c:scaling>
          <c:orientation val="minMax"/>
        </c:scaling>
        <c:delete val="1"/>
        <c:axPos val="b"/>
        <c:numFmt formatCode="0.0" sourceLinked="1"/>
        <c:majorTickMark val="none"/>
        <c:minorTickMark val="none"/>
        <c:tickLblPos val="nextTo"/>
        <c:crossAx val="697164408"/>
        <c:crosses val="autoZero"/>
        <c:crossBetween val="between"/>
      </c:valAx>
      <c:spPr>
        <a:noFill/>
        <a:ln w="15875">
          <a:noFill/>
        </a:ln>
        <a:effectLst/>
      </c:spPr>
    </c:plotArea>
    <c:legend>
      <c:legendPos val="r"/>
      <c:layout>
        <c:manualLayout>
          <c:xMode val="edge"/>
          <c:yMode val="edge"/>
          <c:x val="0.70295179121930473"/>
          <c:y val="4.7004837991158906E-2"/>
          <c:w val="0.27975709577973851"/>
          <c:h val="0.92181519683739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63.png"/><Relationship Id="rId1" Type="http://schemas.openxmlformats.org/officeDocument/2006/relationships/image" Target="../media/image4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hyperlink" Target="#'4.1-Settings Database'!A1"/></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18" Type="http://schemas.openxmlformats.org/officeDocument/2006/relationships/image" Target="../media/image51.png"/><Relationship Id="rId3" Type="http://schemas.openxmlformats.org/officeDocument/2006/relationships/image" Target="../media/image37.png"/><Relationship Id="rId21" Type="http://schemas.openxmlformats.org/officeDocument/2006/relationships/image" Target="../media/image25.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0.png"/><Relationship Id="rId2" Type="http://schemas.openxmlformats.org/officeDocument/2006/relationships/image" Target="../media/image36.png"/><Relationship Id="rId16" Type="http://schemas.openxmlformats.org/officeDocument/2006/relationships/image" Target="../media/image49.png"/><Relationship Id="rId20" Type="http://schemas.openxmlformats.org/officeDocument/2006/relationships/image" Target="../media/image53.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24" Type="http://schemas.openxmlformats.org/officeDocument/2006/relationships/image" Target="../media/image21.png"/><Relationship Id="rId5" Type="http://schemas.openxmlformats.org/officeDocument/2006/relationships/image" Target="../media/image39.png"/><Relationship Id="rId15" Type="http://schemas.openxmlformats.org/officeDocument/2006/relationships/image" Target="../media/image48.png"/><Relationship Id="rId23" Type="http://schemas.openxmlformats.org/officeDocument/2006/relationships/image" Target="../media/image20.png"/><Relationship Id="rId10" Type="http://schemas.openxmlformats.org/officeDocument/2006/relationships/image" Target="../media/image44.png"/><Relationship Id="rId19" Type="http://schemas.openxmlformats.org/officeDocument/2006/relationships/image" Target="../media/image52.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3.png"/><Relationship Id="rId22"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hyperlink" Target="#'1.0-General input'!A55"/></Relationships>
</file>

<file path=xl/drawings/_rels/drawing7.xml.rels><?xml version="1.0" encoding="UTF-8" standalone="yes"?>
<Relationships xmlns="http://schemas.openxmlformats.org/package/2006/relationships"><Relationship Id="rId1" Type="http://schemas.openxmlformats.org/officeDocument/2006/relationships/image" Target="../media/image5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6</xdr:row>
      <xdr:rowOff>123826</xdr:rowOff>
    </xdr:from>
    <xdr:to>
      <xdr:col>4</xdr:col>
      <xdr:colOff>370762</xdr:colOff>
      <xdr:row>13</xdr:row>
      <xdr:rowOff>161926</xdr:rowOff>
    </xdr:to>
    <xdr:pic>
      <xdr:nvPicPr>
        <xdr:cNvPr id="116" name="Picture 1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6" y="552451"/>
          <a:ext cx="2104311"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9686</xdr:colOff>
      <xdr:row>35</xdr:row>
      <xdr:rowOff>105559</xdr:rowOff>
    </xdr:from>
    <xdr:to>
      <xdr:col>9</xdr:col>
      <xdr:colOff>607554</xdr:colOff>
      <xdr:row>52</xdr:row>
      <xdr:rowOff>0</xdr:rowOff>
    </xdr:to>
    <xdr:grpSp>
      <xdr:nvGrpSpPr>
        <xdr:cNvPr id="7" name="Group 6"/>
        <xdr:cNvGrpSpPr/>
      </xdr:nvGrpSpPr>
      <xdr:grpSpPr>
        <a:xfrm>
          <a:off x="66836" y="7830334"/>
          <a:ext cx="5217493" cy="3132941"/>
          <a:chOff x="55044" y="6727702"/>
          <a:chExt cx="5460153" cy="3102479"/>
        </a:xfrm>
      </xdr:grpSpPr>
      <xdr:grpSp>
        <xdr:nvGrpSpPr>
          <xdr:cNvPr id="110" name="Group 109"/>
          <xdr:cNvGrpSpPr/>
        </xdr:nvGrpSpPr>
        <xdr:grpSpPr>
          <a:xfrm>
            <a:off x="156690" y="7156615"/>
            <a:ext cx="5358507" cy="1895845"/>
            <a:chOff x="219770" y="1510452"/>
            <a:chExt cx="11472003" cy="4109852"/>
          </a:xfrm>
        </xdr:grpSpPr>
        <xdr:pic>
          <xdr:nvPicPr>
            <xdr:cNvPr id="222" name="Picture 221">
              <a:extLst>
                <a:ext uri="{FF2B5EF4-FFF2-40B4-BE49-F238E27FC236}">
                  <a16:creationId xmlns:a16="http://schemas.microsoft.com/office/drawing/2014/main" id="{E946E1E5-E9E3-488A-8FB6-D63FD3B4C511}"/>
                </a:ext>
              </a:extLst>
            </xdr:cNvPr>
            <xdr:cNvPicPr>
              <a:picLocks noChangeAspect="1"/>
            </xdr:cNvPicPr>
          </xdr:nvPicPr>
          <xdr:blipFill rotWithShape="1">
            <a:blip xmlns:r="http://schemas.openxmlformats.org/officeDocument/2006/relationships" r:embed="rId2" cstate="hqprint">
              <a:lum bright="70000" contrast="-70000"/>
              <a:extLst>
                <a:ext uri="{28A0092B-C50C-407E-A947-70E740481C1C}">
                  <a14:useLocalDpi xmlns:a14="http://schemas.microsoft.com/office/drawing/2010/main" val="0"/>
                </a:ext>
              </a:extLst>
            </a:blip>
            <a:srcRect l="12485" t="16790" r="13672" b="9366"/>
            <a:stretch/>
          </xdr:blipFill>
          <xdr:spPr>
            <a:xfrm>
              <a:off x="10783276" y="3044788"/>
              <a:ext cx="902548" cy="902546"/>
            </a:xfrm>
            <a:prstGeom prst="rect">
              <a:avLst/>
            </a:prstGeom>
          </xdr:spPr>
        </xdr:pic>
        <xdr:pic>
          <xdr:nvPicPr>
            <xdr:cNvPr id="111" name="Picture 110"/>
            <xdr:cNvPicPr>
              <a:picLocks noChangeAspect="1"/>
            </xdr:cNvPicPr>
          </xdr:nvPicPr>
          <xdr:blipFill>
            <a:blip xmlns:r="http://schemas.openxmlformats.org/officeDocument/2006/relationships" r:embed="rId3"/>
            <a:stretch>
              <a:fillRect/>
            </a:stretch>
          </xdr:blipFill>
          <xdr:spPr>
            <a:xfrm rot="20611499">
              <a:off x="3656518" y="2504346"/>
              <a:ext cx="393649" cy="521703"/>
            </a:xfrm>
            <a:prstGeom prst="rect">
              <a:avLst/>
            </a:prstGeom>
          </xdr:spPr>
        </xdr:pic>
        <xdr:pic>
          <xdr:nvPicPr>
            <xdr:cNvPr id="112" name="Picture 111"/>
            <xdr:cNvPicPr>
              <a:picLocks noChangeAspect="1"/>
            </xdr:cNvPicPr>
          </xdr:nvPicPr>
          <xdr:blipFill>
            <a:blip xmlns:r="http://schemas.openxmlformats.org/officeDocument/2006/relationships" r:embed="rId3"/>
            <a:stretch>
              <a:fillRect/>
            </a:stretch>
          </xdr:blipFill>
          <xdr:spPr>
            <a:xfrm rot="17223842">
              <a:off x="3182154" y="1636948"/>
              <a:ext cx="393649" cy="521703"/>
            </a:xfrm>
            <a:prstGeom prst="rect">
              <a:avLst/>
            </a:prstGeom>
          </xdr:spPr>
        </xdr:pic>
        <xdr:pic>
          <xdr:nvPicPr>
            <xdr:cNvPr id="114" name="Picture 113"/>
            <xdr:cNvPicPr>
              <a:picLocks noChangeAspect="1"/>
            </xdr:cNvPicPr>
          </xdr:nvPicPr>
          <xdr:blipFill>
            <a:blip xmlns:r="http://schemas.openxmlformats.org/officeDocument/2006/relationships" r:embed="rId3"/>
            <a:stretch>
              <a:fillRect/>
            </a:stretch>
          </xdr:blipFill>
          <xdr:spPr>
            <a:xfrm rot="9890820">
              <a:off x="1471367" y="2553323"/>
              <a:ext cx="393649" cy="521703"/>
            </a:xfrm>
            <a:prstGeom prst="rect">
              <a:avLst/>
            </a:prstGeom>
          </xdr:spPr>
        </xdr:pic>
        <xdr:pic>
          <xdr:nvPicPr>
            <xdr:cNvPr id="119" name="Picture 118"/>
            <xdr:cNvPicPr>
              <a:picLocks noChangeAspect="1"/>
            </xdr:cNvPicPr>
          </xdr:nvPicPr>
          <xdr:blipFill>
            <a:blip xmlns:r="http://schemas.openxmlformats.org/officeDocument/2006/relationships" r:embed="rId3"/>
            <a:stretch>
              <a:fillRect/>
            </a:stretch>
          </xdr:blipFill>
          <xdr:spPr>
            <a:xfrm rot="6033419">
              <a:off x="2025032" y="3397988"/>
              <a:ext cx="393649" cy="521703"/>
            </a:xfrm>
            <a:prstGeom prst="rect">
              <a:avLst/>
            </a:prstGeom>
          </xdr:spPr>
        </xdr:pic>
        <xdr:pic>
          <xdr:nvPicPr>
            <xdr:cNvPr id="120" name="Picture 119"/>
            <xdr:cNvPicPr>
              <a:picLocks noChangeAspect="1"/>
            </xdr:cNvPicPr>
          </xdr:nvPicPr>
          <xdr:blipFill>
            <a:blip xmlns:r="http://schemas.openxmlformats.org/officeDocument/2006/relationships" r:embed="rId3"/>
            <a:stretch>
              <a:fillRect/>
            </a:stretch>
          </xdr:blipFill>
          <xdr:spPr>
            <a:xfrm rot="2909305">
              <a:off x="3125479" y="3385311"/>
              <a:ext cx="393649" cy="521703"/>
            </a:xfrm>
            <a:prstGeom prst="rect">
              <a:avLst/>
            </a:prstGeom>
          </xdr:spPr>
        </xdr:pic>
        <xdr:pic>
          <xdr:nvPicPr>
            <xdr:cNvPr id="121" name="Picture 120"/>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178248" y="2144191"/>
              <a:ext cx="1109250" cy="1097280"/>
            </a:xfrm>
            <a:prstGeom prst="rect">
              <a:avLst/>
            </a:prstGeom>
          </xdr:spPr>
        </xdr:pic>
        <xdr:cxnSp macro="">
          <xdr:nvCxnSpPr>
            <xdr:cNvPr id="122" name="Straight Arrow Connector 121"/>
            <xdr:cNvCxnSpPr>
              <a:stCxn id="129" idx="2"/>
              <a:endCxn id="123" idx="0"/>
            </xdr:cNvCxnSpPr>
          </xdr:nvCxnSpPr>
          <xdr:spPr>
            <a:xfrm flipH="1">
              <a:off x="2732655" y="3964405"/>
              <a:ext cx="2081" cy="552209"/>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23" name="Picture 122"/>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178030" y="4516614"/>
              <a:ext cx="1109250" cy="1097280"/>
            </a:xfrm>
            <a:prstGeom prst="rect">
              <a:avLst/>
            </a:prstGeom>
          </xdr:spPr>
        </xdr:pic>
        <xdr:pic>
          <xdr:nvPicPr>
            <xdr:cNvPr id="124" name="Picture 123"/>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24456" y="2300471"/>
              <a:ext cx="1109250" cy="1097280"/>
            </a:xfrm>
            <a:prstGeom prst="rect">
              <a:avLst/>
            </a:prstGeom>
          </xdr:spPr>
        </xdr:pic>
        <xdr:pic>
          <xdr:nvPicPr>
            <xdr:cNvPr id="126" name="Picture 125"/>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3544573" y="4516614"/>
              <a:ext cx="1109250" cy="1097280"/>
            </a:xfrm>
            <a:prstGeom prst="rect">
              <a:avLst/>
            </a:prstGeom>
          </xdr:spPr>
        </xdr:pic>
        <xdr:pic>
          <xdr:nvPicPr>
            <xdr:cNvPr id="129" name="Picture 128"/>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val="0"/>
                </a:ext>
              </a:extLst>
            </a:blip>
            <a:stretch>
              <a:fillRect/>
            </a:stretch>
          </xdr:blipFill>
          <xdr:spPr>
            <a:xfrm>
              <a:off x="2506136" y="3507205"/>
              <a:ext cx="457200" cy="457200"/>
            </a:xfrm>
            <a:prstGeom prst="rect">
              <a:avLst/>
            </a:prstGeom>
          </xdr:spPr>
        </xdr:pic>
        <xdr:cxnSp macro="">
          <xdr:nvCxnSpPr>
            <xdr:cNvPr id="132" name="Straight Arrow Connector 131"/>
            <xdr:cNvCxnSpPr>
              <a:cxnSpLocks/>
              <a:stCxn id="124" idx="2"/>
            </xdr:cNvCxnSpPr>
          </xdr:nvCxnSpPr>
          <xdr:spPr>
            <a:xfrm>
              <a:off x="779081" y="3397751"/>
              <a:ext cx="0" cy="1118863"/>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35" name="Picture 134"/>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val="0"/>
                </a:ext>
              </a:extLst>
            </a:blip>
            <a:stretch>
              <a:fillRect/>
            </a:stretch>
          </xdr:blipFill>
          <xdr:spPr>
            <a:xfrm>
              <a:off x="3488936" y="3060634"/>
              <a:ext cx="458863" cy="457200"/>
            </a:xfrm>
            <a:prstGeom prst="rect">
              <a:avLst/>
            </a:prstGeom>
          </xdr:spPr>
        </xdr:pic>
        <xdr:pic>
          <xdr:nvPicPr>
            <xdr:cNvPr id="136" name="Picture 135"/>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val="0"/>
                </a:ext>
              </a:extLst>
            </a:blip>
            <a:stretch>
              <a:fillRect/>
            </a:stretch>
          </xdr:blipFill>
          <xdr:spPr>
            <a:xfrm>
              <a:off x="1554324" y="3060634"/>
              <a:ext cx="462188" cy="457200"/>
            </a:xfrm>
            <a:prstGeom prst="rect">
              <a:avLst/>
            </a:prstGeom>
          </xdr:spPr>
        </xdr:pic>
        <xdr:pic>
          <xdr:nvPicPr>
            <xdr:cNvPr id="151" name="Picture 150"/>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val="0"/>
                </a:ext>
              </a:extLst>
            </a:blip>
            <a:stretch>
              <a:fillRect/>
            </a:stretch>
          </xdr:blipFill>
          <xdr:spPr>
            <a:xfrm>
              <a:off x="1554591" y="2058214"/>
              <a:ext cx="462188" cy="457200"/>
            </a:xfrm>
            <a:prstGeom prst="rect">
              <a:avLst/>
            </a:prstGeom>
          </xdr:spPr>
        </xdr:pic>
        <xdr:pic>
          <xdr:nvPicPr>
            <xdr:cNvPr id="154" name="Picture 153"/>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val="0"/>
                </a:ext>
              </a:extLst>
            </a:blip>
            <a:stretch>
              <a:fillRect/>
            </a:stretch>
          </xdr:blipFill>
          <xdr:spPr>
            <a:xfrm>
              <a:off x="2573284" y="1602571"/>
              <a:ext cx="462188" cy="457200"/>
            </a:xfrm>
            <a:prstGeom prst="rect">
              <a:avLst/>
            </a:prstGeom>
          </xdr:spPr>
        </xdr:pic>
        <xdr:pic>
          <xdr:nvPicPr>
            <xdr:cNvPr id="181" name="Picture 180"/>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val="0"/>
                </a:ext>
              </a:extLst>
            </a:blip>
            <a:stretch>
              <a:fillRect/>
            </a:stretch>
          </xdr:blipFill>
          <xdr:spPr>
            <a:xfrm>
              <a:off x="3488936" y="2111137"/>
              <a:ext cx="462188" cy="457200"/>
            </a:xfrm>
            <a:prstGeom prst="rect">
              <a:avLst/>
            </a:prstGeom>
          </xdr:spPr>
        </xdr:pic>
        <xdr:cxnSp macro="">
          <xdr:nvCxnSpPr>
            <xdr:cNvPr id="182" name="Straight Arrow Connector 181"/>
            <xdr:cNvCxnSpPr>
              <a:cxnSpLocks/>
              <a:endCxn id="123" idx="1"/>
            </xdr:cNvCxnSpPr>
          </xdr:nvCxnSpPr>
          <xdr:spPr>
            <a:xfrm>
              <a:off x="1333706" y="5065254"/>
              <a:ext cx="844324"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Straight Arrow Connector 182"/>
            <xdr:cNvCxnSpPr>
              <a:stCxn id="123" idx="3"/>
              <a:endCxn id="126" idx="1"/>
            </xdr:cNvCxnSpPr>
          </xdr:nvCxnSpPr>
          <xdr:spPr>
            <a:xfrm>
              <a:off x="3287280" y="5065254"/>
              <a:ext cx="257293"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Straight Arrow Connector 183"/>
            <xdr:cNvCxnSpPr>
              <a:cxnSpLocks/>
              <a:endCxn id="218" idx="2"/>
            </xdr:cNvCxnSpPr>
          </xdr:nvCxnSpPr>
          <xdr:spPr>
            <a:xfrm flipH="1" flipV="1">
              <a:off x="4712885" y="2241972"/>
              <a:ext cx="16072" cy="300616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5" name="Straight Arrow Connector 184"/>
            <xdr:cNvCxnSpPr>
              <a:cxnSpLocks/>
              <a:stCxn id="218" idx="3"/>
            </xdr:cNvCxnSpPr>
          </xdr:nvCxnSpPr>
          <xdr:spPr>
            <a:xfrm>
              <a:off x="5078645" y="1876212"/>
              <a:ext cx="4521679" cy="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86" name="Picture 185"/>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val="0"/>
                </a:ext>
              </a:extLst>
            </a:blip>
            <a:stretch>
              <a:fillRect/>
            </a:stretch>
          </xdr:blipFill>
          <xdr:spPr>
            <a:xfrm>
              <a:off x="5116954" y="4882374"/>
              <a:ext cx="739500" cy="731520"/>
            </a:xfrm>
            <a:prstGeom prst="rect">
              <a:avLst/>
            </a:prstGeom>
          </xdr:spPr>
        </xdr:pic>
        <xdr:pic>
          <xdr:nvPicPr>
            <xdr:cNvPr id="187" name="Picture 186"/>
            <xdr:cNvPicPr>
              <a:picLocks noChangeAspect="1"/>
            </xdr:cNvPicPr>
          </xdr:nvPicPr>
          <xdr:blipFill>
            <a:blip xmlns:r="http://schemas.openxmlformats.org/officeDocument/2006/relationships" r:embed="rId15" cstate="hqprint">
              <a:lum bright="70000" contrast="-70000"/>
              <a:extLst>
                <a:ext uri="{28A0092B-C50C-407E-A947-70E740481C1C}">
                  <a14:useLocalDpi xmlns:a14="http://schemas.microsoft.com/office/drawing/2010/main" val="0"/>
                </a:ext>
              </a:extLst>
            </a:blip>
            <a:stretch>
              <a:fillRect/>
            </a:stretch>
          </xdr:blipFill>
          <xdr:spPr>
            <a:xfrm>
              <a:off x="6147005" y="3964405"/>
              <a:ext cx="739500" cy="731520"/>
            </a:xfrm>
            <a:prstGeom prst="rect">
              <a:avLst/>
            </a:prstGeom>
          </xdr:spPr>
        </xdr:pic>
        <xdr:cxnSp macro="">
          <xdr:nvCxnSpPr>
            <xdr:cNvPr id="188" name="Straight Arrow Connector 187"/>
            <xdr:cNvCxnSpPr>
              <a:endCxn id="186" idx="1"/>
            </xdr:cNvCxnSpPr>
          </xdr:nvCxnSpPr>
          <xdr:spPr>
            <a:xfrm>
              <a:off x="4709120" y="5248134"/>
              <a:ext cx="407834"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89" name="Picture 188"/>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val="0"/>
                </a:ext>
              </a:extLst>
            </a:blip>
            <a:stretch>
              <a:fillRect/>
            </a:stretch>
          </xdr:blipFill>
          <xdr:spPr>
            <a:xfrm>
              <a:off x="5258104" y="4103349"/>
              <a:ext cx="457200" cy="457200"/>
            </a:xfrm>
            <a:prstGeom prst="rect">
              <a:avLst/>
            </a:prstGeom>
          </xdr:spPr>
        </xdr:pic>
        <xdr:pic>
          <xdr:nvPicPr>
            <xdr:cNvPr id="190" name="Picture 189"/>
            <xdr:cNvPicPr>
              <a:picLocks noChangeAspect="1"/>
            </xdr:cNvPicPr>
          </xdr:nvPicPr>
          <xdr:blipFill>
            <a:blip xmlns:r="http://schemas.openxmlformats.org/officeDocument/2006/relationships" r:embed="rId3"/>
            <a:stretch>
              <a:fillRect/>
            </a:stretch>
          </xdr:blipFill>
          <xdr:spPr>
            <a:xfrm rot="13242932">
              <a:off x="1971131" y="1681000"/>
              <a:ext cx="393649" cy="521703"/>
            </a:xfrm>
            <a:prstGeom prst="rect">
              <a:avLst/>
            </a:prstGeom>
          </xdr:spPr>
        </xdr:pic>
        <xdr:cxnSp macro="">
          <xdr:nvCxnSpPr>
            <xdr:cNvPr id="191" name="Straight Arrow Connector 190"/>
            <xdr:cNvCxnSpPr>
              <a:stCxn id="186" idx="0"/>
              <a:endCxn id="189" idx="2"/>
            </xdr:cNvCxnSpPr>
          </xdr:nvCxnSpPr>
          <xdr:spPr>
            <a:xfrm flipV="1">
              <a:off x="5486704" y="4560549"/>
              <a:ext cx="0" cy="32182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2" name="Straight Arrow Connector 191"/>
            <xdr:cNvCxnSpPr>
              <a:cxnSpLocks/>
              <a:stCxn id="189" idx="3"/>
            </xdr:cNvCxnSpPr>
          </xdr:nvCxnSpPr>
          <xdr:spPr>
            <a:xfrm flipV="1">
              <a:off x="5715304" y="3507205"/>
              <a:ext cx="431701" cy="82474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3" name="Straight Arrow Connector 192"/>
            <xdr:cNvCxnSpPr>
              <a:stCxn id="189" idx="3"/>
              <a:endCxn id="187" idx="1"/>
            </xdr:cNvCxnSpPr>
          </xdr:nvCxnSpPr>
          <xdr:spPr>
            <a:xfrm flipV="1">
              <a:off x="5715304" y="4330165"/>
              <a:ext cx="431701"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4" name="Straight Arrow Connector 193"/>
            <xdr:cNvCxnSpPr>
              <a:cxnSpLocks/>
              <a:stCxn id="187" idx="3"/>
            </xdr:cNvCxnSpPr>
          </xdr:nvCxnSpPr>
          <xdr:spPr>
            <a:xfrm>
              <a:off x="6886505" y="4330165"/>
              <a:ext cx="480313"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5" name="Straight Arrow Connector 194"/>
            <xdr:cNvCxnSpPr>
              <a:cxnSpLocks/>
            </xdr:cNvCxnSpPr>
          </xdr:nvCxnSpPr>
          <xdr:spPr>
            <a:xfrm>
              <a:off x="6886505" y="3507205"/>
              <a:ext cx="480313"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96" name="Picture 195"/>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val="0"/>
                </a:ext>
              </a:extLst>
            </a:blip>
            <a:stretch>
              <a:fillRect/>
            </a:stretch>
          </xdr:blipFill>
          <xdr:spPr>
            <a:xfrm flipH="1">
              <a:off x="8304331" y="3964405"/>
              <a:ext cx="739500" cy="731520"/>
            </a:xfrm>
            <a:prstGeom prst="rect">
              <a:avLst/>
            </a:prstGeom>
          </xdr:spPr>
        </xdr:pic>
        <xdr:cxnSp macro="">
          <xdr:nvCxnSpPr>
            <xdr:cNvPr id="197" name="Straight Arrow Connector 196"/>
            <xdr:cNvCxnSpPr>
              <a:cxnSpLocks/>
            </xdr:cNvCxnSpPr>
          </xdr:nvCxnSpPr>
          <xdr:spPr>
            <a:xfrm>
              <a:off x="7824018" y="3507205"/>
              <a:ext cx="474861" cy="592575"/>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8" name="Straight Arrow Connector 197"/>
            <xdr:cNvCxnSpPr>
              <a:cxnSpLocks/>
              <a:endCxn id="196" idx="3"/>
            </xdr:cNvCxnSpPr>
          </xdr:nvCxnSpPr>
          <xdr:spPr>
            <a:xfrm flipV="1">
              <a:off x="7824018" y="4330165"/>
              <a:ext cx="480313"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9" name="Straight Arrow Connector 198"/>
            <xdr:cNvCxnSpPr>
              <a:cxnSpLocks/>
              <a:stCxn id="189" idx="3"/>
            </xdr:cNvCxnSpPr>
          </xdr:nvCxnSpPr>
          <xdr:spPr>
            <a:xfrm>
              <a:off x="5715304" y="4331949"/>
              <a:ext cx="431701" cy="821176"/>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0" name="Straight Arrow Connector 199"/>
            <xdr:cNvCxnSpPr>
              <a:cxnSpLocks/>
              <a:stCxn id="214" idx="3"/>
              <a:endCxn id="215" idx="1"/>
            </xdr:cNvCxnSpPr>
          </xdr:nvCxnSpPr>
          <xdr:spPr>
            <a:xfrm>
              <a:off x="6872953" y="5142496"/>
              <a:ext cx="493865" cy="1381"/>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1" name="Straight Arrow Connector 200"/>
            <xdr:cNvCxnSpPr>
              <a:cxnSpLocks/>
              <a:stCxn id="215" idx="3"/>
            </xdr:cNvCxnSpPr>
          </xdr:nvCxnSpPr>
          <xdr:spPr>
            <a:xfrm flipV="1">
              <a:off x="7824018" y="4556981"/>
              <a:ext cx="482528" cy="586896"/>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2" name="Picture 201"/>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val="0"/>
                </a:ext>
              </a:extLst>
            </a:blip>
            <a:stretch>
              <a:fillRect/>
            </a:stretch>
          </xdr:blipFill>
          <xdr:spPr>
            <a:xfrm>
              <a:off x="9678847" y="4681592"/>
              <a:ext cx="548640" cy="548640"/>
            </a:xfrm>
            <a:prstGeom prst="rect">
              <a:avLst/>
            </a:prstGeom>
          </xdr:spPr>
        </xdr:pic>
        <xdr:cxnSp macro="">
          <xdr:nvCxnSpPr>
            <xdr:cNvPr id="203" name="Straight Arrow Connector 202"/>
            <xdr:cNvCxnSpPr>
              <a:cxnSpLocks/>
            </xdr:cNvCxnSpPr>
          </xdr:nvCxnSpPr>
          <xdr:spPr>
            <a:xfrm flipV="1">
              <a:off x="7824018" y="3501217"/>
              <a:ext cx="1784288" cy="5988"/>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4" name="Picture 203"/>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9600043" y="2325949"/>
              <a:ext cx="739502" cy="731520"/>
            </a:xfrm>
            <a:prstGeom prst="rect">
              <a:avLst/>
            </a:prstGeom>
          </xdr:spPr>
        </xdr:pic>
        <xdr:cxnSp macro="">
          <xdr:nvCxnSpPr>
            <xdr:cNvPr id="205" name="Straight Arrow Connector 204"/>
            <xdr:cNvCxnSpPr>
              <a:endCxn id="204" idx="1"/>
            </xdr:cNvCxnSpPr>
          </xdr:nvCxnSpPr>
          <xdr:spPr>
            <a:xfrm flipV="1">
              <a:off x="4709120" y="2691709"/>
              <a:ext cx="4890923" cy="36472"/>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6" name="Picture 205">
              <a:extLst>
                <a:ext uri="{FF2B5EF4-FFF2-40B4-BE49-F238E27FC236}">
                  <a16:creationId xmlns:a16="http://schemas.microsoft.com/office/drawing/2014/main" id="{CB0D96A3-7169-4FCA-8526-001F3CEE600C}"/>
                </a:ext>
              </a:extLst>
            </xdr:cNvPr>
            <xdr:cNvPicPr>
              <a:picLocks noChangeAspect="1"/>
            </xdr:cNvPicPr>
          </xdr:nvPicPr>
          <xdr:blipFill rotWithShape="1">
            <a:blip xmlns:r="http://schemas.openxmlformats.org/officeDocument/2006/relationships" r:embed="rId20" cstate="hqprint">
              <a:extLst>
                <a:ext uri="{28A0092B-C50C-407E-A947-70E740481C1C}">
                  <a14:useLocalDpi xmlns:a14="http://schemas.microsoft.com/office/drawing/2010/main" val="0"/>
                </a:ext>
              </a:extLst>
            </a:blip>
            <a:srcRect l="8722" t="10944" r="14523" b="13508"/>
            <a:stretch/>
          </xdr:blipFill>
          <xdr:spPr>
            <a:xfrm>
              <a:off x="219770" y="4523024"/>
              <a:ext cx="1117583" cy="1097280"/>
            </a:xfrm>
            <a:prstGeom prst="rect">
              <a:avLst/>
            </a:prstGeom>
          </xdr:spPr>
        </xdr:pic>
        <xdr:pic>
          <xdr:nvPicPr>
            <xdr:cNvPr id="207" name="Picture 206">
              <a:extLst>
                <a:ext uri="{FF2B5EF4-FFF2-40B4-BE49-F238E27FC236}">
                  <a16:creationId xmlns:a16="http://schemas.microsoft.com/office/drawing/2014/main" id="{823A0C24-9465-4D17-BCA3-495A7F18DB9E}"/>
                </a:ext>
              </a:extLst>
            </xdr:cNvPr>
            <xdr:cNvPicPr>
              <a:picLocks noChangeAspect="1"/>
            </xdr:cNvPicPr>
          </xdr:nvPicPr>
          <xdr:blipFill rotWithShape="1">
            <a:blip xmlns:r="http://schemas.openxmlformats.org/officeDocument/2006/relationships" r:embed="rId21" cstate="hqprint">
              <a:extLst>
                <a:ext uri="{28A0092B-C50C-407E-A947-70E740481C1C}">
                  <a14:useLocalDpi xmlns:a14="http://schemas.microsoft.com/office/drawing/2010/main" val="0"/>
                </a:ext>
              </a:extLst>
            </a:blip>
            <a:srcRect l="17041" t="15588" r="17401" b="18821"/>
            <a:stretch/>
          </xdr:blipFill>
          <xdr:spPr>
            <a:xfrm>
              <a:off x="6147005" y="3152074"/>
              <a:ext cx="731520" cy="731520"/>
            </a:xfrm>
            <a:prstGeom prst="rect">
              <a:avLst/>
            </a:prstGeom>
          </xdr:spPr>
        </xdr:pic>
        <xdr:pic>
          <xdr:nvPicPr>
            <xdr:cNvPr id="208" name="Picture 207">
              <a:extLst>
                <a:ext uri="{FF2B5EF4-FFF2-40B4-BE49-F238E27FC236}">
                  <a16:creationId xmlns:a16="http://schemas.microsoft.com/office/drawing/2014/main" id="{0A454ABD-A9AC-42E8-9BF4-9FF2E66AC2E2}"/>
                </a:ext>
              </a:extLst>
            </xdr:cNvPr>
            <xdr:cNvPicPr>
              <a:picLocks noChangeAspect="1"/>
            </xdr:cNvPicPr>
          </xdr:nvPicPr>
          <xdr:blipFill rotWithShape="1">
            <a:blip xmlns:r="http://schemas.openxmlformats.org/officeDocument/2006/relationships" r:embed="rId22" cstate="hqprint">
              <a:extLst>
                <a:ext uri="{28A0092B-C50C-407E-A947-70E740481C1C}">
                  <a14:useLocalDpi xmlns:a14="http://schemas.microsoft.com/office/drawing/2010/main" val="0"/>
                </a:ext>
              </a:extLst>
            </a:blip>
            <a:srcRect l="18108" t="21157" r="19423" b="16341"/>
            <a:stretch/>
          </xdr:blipFill>
          <xdr:spPr>
            <a:xfrm>
              <a:off x="7358838" y="3287853"/>
              <a:ext cx="457200" cy="457200"/>
            </a:xfrm>
            <a:prstGeom prst="rect">
              <a:avLst/>
            </a:prstGeom>
          </xdr:spPr>
        </xdr:pic>
        <xdr:pic>
          <xdr:nvPicPr>
            <xdr:cNvPr id="209" name="Picture 208">
              <a:extLst>
                <a:ext uri="{FF2B5EF4-FFF2-40B4-BE49-F238E27FC236}">
                  <a16:creationId xmlns:a16="http://schemas.microsoft.com/office/drawing/2014/main" id="{7896D306-5541-421C-B3EA-AE11434C4A11}"/>
                </a:ext>
              </a:extLst>
            </xdr:cNvPr>
            <xdr:cNvPicPr>
              <a:picLocks noChangeAspect="1"/>
            </xdr:cNvPicPr>
          </xdr:nvPicPr>
          <xdr:blipFill rotWithShape="1">
            <a:blip xmlns:r="http://schemas.openxmlformats.org/officeDocument/2006/relationships" r:embed="rId22" cstate="hqprint">
              <a:lum bright="70000" contrast="-70000"/>
              <a:extLst>
                <a:ext uri="{28A0092B-C50C-407E-A947-70E740481C1C}">
                  <a14:useLocalDpi xmlns:a14="http://schemas.microsoft.com/office/drawing/2010/main" val="0"/>
                </a:ext>
              </a:extLst>
            </a:blip>
            <a:srcRect l="18108" t="21157" r="19423" b="16341"/>
            <a:stretch/>
          </xdr:blipFill>
          <xdr:spPr>
            <a:xfrm>
              <a:off x="7378375" y="4101565"/>
              <a:ext cx="457200" cy="457200"/>
            </a:xfrm>
            <a:prstGeom prst="rect">
              <a:avLst/>
            </a:prstGeom>
          </xdr:spPr>
        </xdr:pic>
        <xdr:pic>
          <xdr:nvPicPr>
            <xdr:cNvPr id="210" name="Picture 209">
              <a:extLst>
                <a:ext uri="{FF2B5EF4-FFF2-40B4-BE49-F238E27FC236}">
                  <a16:creationId xmlns:a16="http://schemas.microsoft.com/office/drawing/2014/main" id="{41411BDE-6BFF-463C-BD38-57BADECDE93E}"/>
                </a:ext>
              </a:extLst>
            </xdr:cNvPr>
            <xdr:cNvPicPr>
              <a:picLocks noChangeAspect="1"/>
            </xdr:cNvPicPr>
          </xdr:nvPicPr>
          <xdr:blipFill rotWithShape="1">
            <a:blip xmlns:r="http://schemas.openxmlformats.org/officeDocument/2006/relationships" r:embed="rId23" cstate="hqprint">
              <a:extLst>
                <a:ext uri="{28A0092B-C50C-407E-A947-70E740481C1C}">
                  <a14:useLocalDpi xmlns:a14="http://schemas.microsoft.com/office/drawing/2010/main" val="0"/>
                </a:ext>
              </a:extLst>
            </a:blip>
            <a:srcRect l="18108" t="21157" r="19423" b="16341"/>
            <a:stretch/>
          </xdr:blipFill>
          <xdr:spPr>
            <a:xfrm>
              <a:off x="9600043" y="3141444"/>
              <a:ext cx="731520" cy="731520"/>
            </a:xfrm>
            <a:prstGeom prst="rect">
              <a:avLst/>
            </a:prstGeom>
          </xdr:spPr>
        </xdr:pic>
        <xdr:pic>
          <xdr:nvPicPr>
            <xdr:cNvPr id="211" name="Picture 210">
              <a:extLst>
                <a:ext uri="{FF2B5EF4-FFF2-40B4-BE49-F238E27FC236}">
                  <a16:creationId xmlns:a16="http://schemas.microsoft.com/office/drawing/2014/main" id="{BC9ECDE9-D0F0-4380-9094-72D31DA1169B}"/>
                </a:ext>
              </a:extLst>
            </xdr:cNvPr>
            <xdr:cNvPicPr>
              <a:picLocks noChangeAspect="1"/>
            </xdr:cNvPicPr>
          </xdr:nvPicPr>
          <xdr:blipFill rotWithShape="1">
            <a:blip xmlns:r="http://schemas.openxmlformats.org/officeDocument/2006/relationships" r:embed="rId24" cstate="hqprint">
              <a:extLst>
                <a:ext uri="{28A0092B-C50C-407E-A947-70E740481C1C}">
                  <a14:useLocalDpi xmlns:a14="http://schemas.microsoft.com/office/drawing/2010/main" val="0"/>
                </a:ext>
              </a:extLst>
            </a:blip>
            <a:srcRect l="17494" t="17946" r="17599" b="17115"/>
            <a:stretch/>
          </xdr:blipFill>
          <xdr:spPr>
            <a:xfrm>
              <a:off x="9645763" y="3957238"/>
              <a:ext cx="640080" cy="640080"/>
            </a:xfrm>
            <a:prstGeom prst="rect">
              <a:avLst/>
            </a:prstGeom>
          </xdr:spPr>
        </xdr:pic>
        <xdr:pic>
          <xdr:nvPicPr>
            <xdr:cNvPr id="212" name="Picture 211">
              <a:extLst>
                <a:ext uri="{FF2B5EF4-FFF2-40B4-BE49-F238E27FC236}">
                  <a16:creationId xmlns:a16="http://schemas.microsoft.com/office/drawing/2014/main" id="{0CEAC210-D0F0-42B2-86A6-63C657034019}"/>
                </a:ext>
              </a:extLst>
            </xdr:cNvPr>
            <xdr:cNvPicPr>
              <a:picLocks noChangeAspect="1"/>
            </xdr:cNvPicPr>
          </xdr:nvPicPr>
          <xdr:blipFill rotWithShape="1">
            <a:blip xmlns:r="http://schemas.openxmlformats.org/officeDocument/2006/relationships" r:embed="rId25" cstate="hqprint">
              <a:extLst>
                <a:ext uri="{28A0092B-C50C-407E-A947-70E740481C1C}">
                  <a14:useLocalDpi xmlns:a14="http://schemas.microsoft.com/office/drawing/2010/main" val="0"/>
                </a:ext>
              </a:extLst>
            </a:blip>
            <a:srcRect l="11368" t="10180" r="13055" b="14243"/>
            <a:stretch/>
          </xdr:blipFill>
          <xdr:spPr>
            <a:xfrm>
              <a:off x="8575957" y="4882152"/>
              <a:ext cx="731520" cy="731520"/>
            </a:xfrm>
            <a:prstGeom prst="rect">
              <a:avLst/>
            </a:prstGeom>
          </xdr:spPr>
        </xdr:pic>
        <xdr:pic>
          <xdr:nvPicPr>
            <xdr:cNvPr id="213" name="Picture 212">
              <a:extLst>
                <a:ext uri="{FF2B5EF4-FFF2-40B4-BE49-F238E27FC236}">
                  <a16:creationId xmlns:a16="http://schemas.microsoft.com/office/drawing/2014/main" id="{8D1EDCA2-6265-435D-BBFD-5E72032DFB94}"/>
                </a:ext>
              </a:extLst>
            </xdr:cNvPr>
            <xdr:cNvPicPr>
              <a:picLocks noChangeAspect="1"/>
            </xdr:cNvPicPr>
          </xdr:nvPicPr>
          <xdr:blipFill rotWithShape="1">
            <a:blip xmlns:r="http://schemas.openxmlformats.org/officeDocument/2006/relationships" r:embed="rId26" cstate="hqprint">
              <a:extLst>
                <a:ext uri="{28A0092B-C50C-407E-A947-70E740481C1C}">
                  <a14:useLocalDpi xmlns:a14="http://schemas.microsoft.com/office/drawing/2010/main" val="0"/>
                </a:ext>
              </a:extLst>
            </a:blip>
            <a:srcRect l="10531" t="11551" r="13894" b="12872"/>
            <a:stretch/>
          </xdr:blipFill>
          <xdr:spPr>
            <a:xfrm>
              <a:off x="8061448" y="4882152"/>
              <a:ext cx="731519" cy="731520"/>
            </a:xfrm>
            <a:prstGeom prst="rect">
              <a:avLst/>
            </a:prstGeom>
          </xdr:spPr>
        </xdr:pic>
        <xdr:pic>
          <xdr:nvPicPr>
            <xdr:cNvPr id="214" name="Picture 213">
              <a:extLst>
                <a:ext uri="{FF2B5EF4-FFF2-40B4-BE49-F238E27FC236}">
                  <a16:creationId xmlns:a16="http://schemas.microsoft.com/office/drawing/2014/main" id="{24FBC642-51B3-43D1-942C-EFACF01E310E}"/>
                </a:ext>
              </a:extLst>
            </xdr:cNvPr>
            <xdr:cNvPicPr>
              <a:picLocks noChangeAspect="1"/>
            </xdr:cNvPicPr>
          </xdr:nvPicPr>
          <xdr:blipFill rotWithShape="1">
            <a:blip xmlns:r="http://schemas.openxmlformats.org/officeDocument/2006/relationships" r:embed="rId27" cstate="hqprint">
              <a:lum bright="70000" contrast="-70000"/>
              <a:extLst>
                <a:ext uri="{28A0092B-C50C-407E-A947-70E740481C1C}">
                  <a14:useLocalDpi xmlns:a14="http://schemas.microsoft.com/office/drawing/2010/main" val="0"/>
                </a:ext>
              </a:extLst>
            </a:blip>
            <a:srcRect l="10563" t="11831" r="13861" b="12594"/>
            <a:stretch/>
          </xdr:blipFill>
          <xdr:spPr>
            <a:xfrm>
              <a:off x="6141434" y="4776736"/>
              <a:ext cx="731519" cy="731520"/>
            </a:xfrm>
            <a:prstGeom prst="rect">
              <a:avLst/>
            </a:prstGeom>
          </xdr:spPr>
        </xdr:pic>
        <xdr:pic>
          <xdr:nvPicPr>
            <xdr:cNvPr id="215" name="Picture 214">
              <a:extLst>
                <a:ext uri="{FF2B5EF4-FFF2-40B4-BE49-F238E27FC236}">
                  <a16:creationId xmlns:a16="http://schemas.microsoft.com/office/drawing/2014/main" id="{5DAEB345-55A6-40D4-AA22-60540992B560}"/>
                </a:ext>
              </a:extLst>
            </xdr:cNvPr>
            <xdr:cNvPicPr>
              <a:picLocks noChangeAspect="1"/>
            </xdr:cNvPicPr>
          </xdr:nvPicPr>
          <xdr:blipFill rotWithShape="1">
            <a:blip xmlns:r="http://schemas.openxmlformats.org/officeDocument/2006/relationships" r:embed="rId28" cstate="hqprint">
              <a:lum bright="70000" contrast="-70000"/>
              <a:extLst>
                <a:ext uri="{28A0092B-C50C-407E-A947-70E740481C1C}">
                  <a14:useLocalDpi xmlns:a14="http://schemas.microsoft.com/office/drawing/2010/main" val="0"/>
                </a:ext>
              </a:extLst>
            </a:blip>
            <a:srcRect l="17351" t="23784" r="15297" b="8863"/>
            <a:stretch/>
          </xdr:blipFill>
          <xdr:spPr>
            <a:xfrm>
              <a:off x="7366818" y="4915277"/>
              <a:ext cx="457200" cy="457200"/>
            </a:xfrm>
            <a:prstGeom prst="rect">
              <a:avLst/>
            </a:prstGeom>
          </xdr:spPr>
        </xdr:pic>
        <xdr:cxnSp macro="">
          <xdr:nvCxnSpPr>
            <xdr:cNvPr id="216" name="Straight Arrow Connector 215">
              <a:extLst>
                <a:ext uri="{FF2B5EF4-FFF2-40B4-BE49-F238E27FC236}">
                  <a16:creationId xmlns:a16="http://schemas.microsoft.com/office/drawing/2014/main" id="{3021109E-5DD9-4BE6-8594-F74E1EA2381B}"/>
                </a:ext>
              </a:extLst>
            </xdr:cNvPr>
            <xdr:cNvCxnSpPr>
              <a:cxnSpLocks/>
              <a:stCxn id="196" idx="2"/>
              <a:endCxn id="213" idx="0"/>
            </xdr:cNvCxnSpPr>
          </xdr:nvCxnSpPr>
          <xdr:spPr>
            <a:xfrm flipH="1">
              <a:off x="8427208" y="4695925"/>
              <a:ext cx="246873" cy="18622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7" name="Straight Arrow Connector 216">
              <a:extLst>
                <a:ext uri="{FF2B5EF4-FFF2-40B4-BE49-F238E27FC236}">
                  <a16:creationId xmlns:a16="http://schemas.microsoft.com/office/drawing/2014/main" id="{61EF35DE-323B-467B-B6F6-2298A73CEFA9}"/>
                </a:ext>
              </a:extLst>
            </xdr:cNvPr>
            <xdr:cNvCxnSpPr>
              <a:cxnSpLocks/>
              <a:stCxn id="196" idx="2"/>
              <a:endCxn id="212" idx="0"/>
            </xdr:cNvCxnSpPr>
          </xdr:nvCxnSpPr>
          <xdr:spPr>
            <a:xfrm>
              <a:off x="8674081" y="4695925"/>
              <a:ext cx="267636" cy="18622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18" name="Picture 217">
              <a:extLst>
                <a:ext uri="{FF2B5EF4-FFF2-40B4-BE49-F238E27FC236}">
                  <a16:creationId xmlns:a16="http://schemas.microsoft.com/office/drawing/2014/main" id="{446DB73C-B48E-47BA-9366-6CD4D5BE9A8F}"/>
                </a:ext>
              </a:extLst>
            </xdr:cNvPr>
            <xdr:cNvPicPr>
              <a:picLocks noChangeAspect="1"/>
            </xdr:cNvPicPr>
          </xdr:nvPicPr>
          <xdr:blipFill rotWithShape="1">
            <a:blip xmlns:r="http://schemas.openxmlformats.org/officeDocument/2006/relationships" r:embed="rId29" cstate="hqprint">
              <a:extLst>
                <a:ext uri="{28A0092B-C50C-407E-A947-70E740481C1C}">
                  <a14:useLocalDpi xmlns:a14="http://schemas.microsoft.com/office/drawing/2010/main" val="0"/>
                </a:ext>
              </a:extLst>
            </a:blip>
            <a:srcRect l="17478" t="16896" r="19286" b="19866"/>
            <a:stretch/>
          </xdr:blipFill>
          <xdr:spPr>
            <a:xfrm>
              <a:off x="4347125" y="1510452"/>
              <a:ext cx="731520" cy="731520"/>
            </a:xfrm>
            <a:prstGeom prst="rect">
              <a:avLst/>
            </a:prstGeom>
          </xdr:spPr>
        </xdr:pic>
        <xdr:pic>
          <xdr:nvPicPr>
            <xdr:cNvPr id="219" name="Picture 218">
              <a:extLst>
                <a:ext uri="{FF2B5EF4-FFF2-40B4-BE49-F238E27FC236}">
                  <a16:creationId xmlns:a16="http://schemas.microsoft.com/office/drawing/2014/main" id="{A7429416-BB66-4FCC-B3AA-D2CC9F9E0BEF}"/>
                </a:ext>
              </a:extLst>
            </xdr:cNvPr>
            <xdr:cNvPicPr>
              <a:picLocks noChangeAspect="1"/>
            </xdr:cNvPicPr>
          </xdr:nvPicPr>
          <xdr:blipFill rotWithShape="1">
            <a:blip xmlns:r="http://schemas.openxmlformats.org/officeDocument/2006/relationships" r:embed="rId30" cstate="hqprint">
              <a:extLst>
                <a:ext uri="{28A0092B-C50C-407E-A947-70E740481C1C}">
                  <a14:useLocalDpi xmlns:a14="http://schemas.microsoft.com/office/drawing/2010/main" val="0"/>
                </a:ext>
              </a:extLst>
            </a:blip>
            <a:srcRect l="18988" t="21239" r="19955" b="17674"/>
            <a:stretch/>
          </xdr:blipFill>
          <xdr:spPr>
            <a:xfrm>
              <a:off x="9587407" y="1510452"/>
              <a:ext cx="731520" cy="731520"/>
            </a:xfrm>
            <a:prstGeom prst="rect">
              <a:avLst/>
            </a:prstGeom>
          </xdr:spPr>
        </xdr:pic>
        <xdr:pic>
          <xdr:nvPicPr>
            <xdr:cNvPr id="220" name="Picture 219">
              <a:extLst>
                <a:ext uri="{FF2B5EF4-FFF2-40B4-BE49-F238E27FC236}">
                  <a16:creationId xmlns:a16="http://schemas.microsoft.com/office/drawing/2014/main" id="{C65C1C5A-ABFF-4A8A-A18E-CB5A9843760D}"/>
                </a:ext>
              </a:extLst>
            </xdr:cNvPr>
            <xdr:cNvPicPr>
              <a:picLocks noChangeAspect="1"/>
            </xdr:cNvPicPr>
          </xdr:nvPicPr>
          <xdr:blipFill rotWithShape="1">
            <a:blip xmlns:r="http://schemas.openxmlformats.org/officeDocument/2006/relationships" r:embed="rId31" cstate="hqprint">
              <a:lum bright="70000" contrast="-70000"/>
              <a:extLst>
                <a:ext uri="{28A0092B-C50C-407E-A947-70E740481C1C}">
                  <a14:useLocalDpi xmlns:a14="http://schemas.microsoft.com/office/drawing/2010/main" val="0"/>
                </a:ext>
              </a:extLst>
            </a:blip>
            <a:srcRect l="12743" t="15047" r="13414" b="11109"/>
            <a:stretch/>
          </xdr:blipFill>
          <xdr:spPr>
            <a:xfrm>
              <a:off x="10783276" y="4469931"/>
              <a:ext cx="902546" cy="902546"/>
            </a:xfrm>
            <a:prstGeom prst="rect">
              <a:avLst/>
            </a:prstGeom>
          </xdr:spPr>
        </xdr:pic>
        <xdr:pic>
          <xdr:nvPicPr>
            <xdr:cNvPr id="221" name="Picture 220">
              <a:extLst>
                <a:ext uri="{FF2B5EF4-FFF2-40B4-BE49-F238E27FC236}">
                  <a16:creationId xmlns:a16="http://schemas.microsoft.com/office/drawing/2014/main" id="{D3D6D2D6-AC45-4877-9337-336344E2DBB1}"/>
                </a:ext>
              </a:extLst>
            </xdr:cNvPr>
            <xdr:cNvPicPr>
              <a:picLocks noChangeAspect="1"/>
            </xdr:cNvPicPr>
          </xdr:nvPicPr>
          <xdr:blipFill rotWithShape="1">
            <a:blip xmlns:r="http://schemas.openxmlformats.org/officeDocument/2006/relationships" r:embed="rId32" cstate="hqprint">
              <a:lum bright="70000" contrast="-70000"/>
              <a:extLst>
                <a:ext uri="{28A0092B-C50C-407E-A947-70E740481C1C}">
                  <a14:useLocalDpi xmlns:a14="http://schemas.microsoft.com/office/drawing/2010/main" val="0"/>
                </a:ext>
              </a:extLst>
            </a:blip>
            <a:srcRect l="12422" t="21134" r="13736" b="5022"/>
            <a:stretch/>
          </xdr:blipFill>
          <xdr:spPr>
            <a:xfrm>
              <a:off x="10789227" y="1817156"/>
              <a:ext cx="902546" cy="902546"/>
            </a:xfrm>
            <a:prstGeom prst="rect">
              <a:avLst/>
            </a:prstGeom>
          </xdr:spPr>
        </xdr:pic>
        <xdr:cxnSp macro="">
          <xdr:nvCxnSpPr>
            <xdr:cNvPr id="223" name="Straight Arrow Connector 222">
              <a:extLst>
                <a:ext uri="{FF2B5EF4-FFF2-40B4-BE49-F238E27FC236}">
                  <a16:creationId xmlns:a16="http://schemas.microsoft.com/office/drawing/2014/main" id="{EE360899-9874-43E9-93A7-F26FCD0D9DE7}"/>
                </a:ext>
              </a:extLst>
            </xdr:cNvPr>
            <xdr:cNvCxnSpPr>
              <a:cxnSpLocks/>
              <a:stCxn id="204" idx="3"/>
              <a:endCxn id="221" idx="1"/>
            </xdr:cNvCxnSpPr>
          </xdr:nvCxnSpPr>
          <xdr:spPr>
            <a:xfrm flipV="1">
              <a:off x="10339545" y="2268429"/>
              <a:ext cx="449682" cy="42328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4" name="Straight Arrow Connector 223">
              <a:extLst>
                <a:ext uri="{FF2B5EF4-FFF2-40B4-BE49-F238E27FC236}">
                  <a16:creationId xmlns:a16="http://schemas.microsoft.com/office/drawing/2014/main" id="{E959A73F-4F7A-4AC6-9800-BA35DAA74A7E}"/>
                </a:ext>
              </a:extLst>
            </xdr:cNvPr>
            <xdr:cNvCxnSpPr>
              <a:cxnSpLocks/>
              <a:stCxn id="219" idx="3"/>
              <a:endCxn id="221" idx="1"/>
            </xdr:cNvCxnSpPr>
          </xdr:nvCxnSpPr>
          <xdr:spPr>
            <a:xfrm>
              <a:off x="10318927" y="1876212"/>
              <a:ext cx="470300" cy="39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5" name="Straight Arrow Connector 224">
              <a:extLst>
                <a:ext uri="{FF2B5EF4-FFF2-40B4-BE49-F238E27FC236}">
                  <a16:creationId xmlns:a16="http://schemas.microsoft.com/office/drawing/2014/main" id="{0C3C66CB-AEC7-4A60-A2A9-98BFD142F955}"/>
                </a:ext>
              </a:extLst>
            </xdr:cNvPr>
            <xdr:cNvCxnSpPr>
              <a:cxnSpLocks/>
              <a:stCxn id="222" idx="2"/>
              <a:endCxn id="220" idx="0"/>
            </xdr:cNvCxnSpPr>
          </xdr:nvCxnSpPr>
          <xdr:spPr>
            <a:xfrm>
              <a:off x="11234549" y="3947334"/>
              <a:ext cx="0" cy="522597"/>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6" name="Elbow Connector 225"/>
            <xdr:cNvCxnSpPr>
              <a:endCxn id="211" idx="1"/>
            </xdr:cNvCxnSpPr>
          </xdr:nvCxnSpPr>
          <xdr:spPr>
            <a:xfrm rot="5400000" flipH="1" flipV="1">
              <a:off x="8810696" y="4717835"/>
              <a:ext cx="1275624" cy="394510"/>
            </a:xfrm>
            <a:prstGeom prst="bentConnector2">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7" name="Elbow Connector 226"/>
            <xdr:cNvCxnSpPr>
              <a:stCxn id="213" idx="2"/>
              <a:endCxn id="202" idx="1"/>
            </xdr:cNvCxnSpPr>
          </xdr:nvCxnSpPr>
          <xdr:spPr>
            <a:xfrm rot="5400000" flipH="1" flipV="1">
              <a:off x="8724147" y="4658972"/>
              <a:ext cx="657760" cy="1251639"/>
            </a:xfrm>
            <a:prstGeom prst="bentConnector4">
              <a:avLst>
                <a:gd name="adj1" fmla="val -34754"/>
                <a:gd name="adj2" fmla="val 6461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8" name="Straight Connector 227"/>
            <xdr:cNvCxnSpPr/>
          </xdr:nvCxnSpPr>
          <xdr:spPr>
            <a:xfrm>
              <a:off x="9061384" y="5552902"/>
              <a:ext cx="1898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9" name="Elbow Connector 228"/>
            <xdr:cNvCxnSpPr>
              <a:stCxn id="202" idx="3"/>
              <a:endCxn id="222" idx="1"/>
            </xdr:cNvCxnSpPr>
          </xdr:nvCxnSpPr>
          <xdr:spPr>
            <a:xfrm flipV="1">
              <a:off x="10227487" y="3496061"/>
              <a:ext cx="555788" cy="1459851"/>
            </a:xfrm>
            <a:prstGeom prst="bentConnector3">
              <a:avLst>
                <a:gd name="adj1" fmla="val 50000"/>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0" name="Straight Connector 229"/>
            <xdr:cNvCxnSpPr/>
          </xdr:nvCxnSpPr>
          <xdr:spPr>
            <a:xfrm>
              <a:off x="10331563" y="3496061"/>
              <a:ext cx="1898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Straight Connector 230"/>
            <xdr:cNvCxnSpPr/>
          </xdr:nvCxnSpPr>
          <xdr:spPr>
            <a:xfrm>
              <a:off x="10309969" y="4277278"/>
              <a:ext cx="18986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18716" y="6736406"/>
            <a:ext cx="685238" cy="4182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Nursery</a:t>
            </a:r>
          </a:p>
          <a:p>
            <a:pPr marL="0" marR="0" lvl="0" indent="0" algn="ctr" defTabSz="914400" eaLnBrk="1" fontAlgn="auto" latinLnBrk="0" hangingPunct="1">
              <a:lnSpc>
                <a:spcPct val="100000"/>
              </a:lnSpc>
              <a:spcBef>
                <a:spcPts val="0"/>
              </a:spcBef>
              <a:spcAft>
                <a:spcPts val="0"/>
              </a:spcAft>
              <a:buClrTx/>
              <a:buSzTx/>
              <a:buFontTx/>
              <a:buNone/>
              <a:tabLst/>
              <a:defRPr/>
            </a:pPr>
            <a:r>
              <a:rPr lang="de-CH" sz="900" b="0">
                <a:solidFill>
                  <a:schemeClr val="tx1"/>
                </a:solidFill>
                <a:effectLst/>
                <a:latin typeface="+mn-lt"/>
                <a:ea typeface="+mn-ea"/>
                <a:cs typeface="+mn-cs"/>
              </a:rPr>
              <a:t>Unit N</a:t>
            </a:r>
            <a:endParaRPr lang="en-GB" sz="900">
              <a:effectLst/>
            </a:endParaRPr>
          </a:p>
          <a:p>
            <a:pPr algn="ctr"/>
            <a:endParaRPr lang="de-CH" sz="900" b="1"/>
          </a:p>
        </xdr:txBody>
      </xdr:sp>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5044" y="6727702"/>
            <a:ext cx="819919" cy="445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Waste Sourcing</a:t>
            </a:r>
          </a:p>
          <a:p>
            <a:pPr algn="ctr"/>
            <a:r>
              <a:rPr lang="de-CH" sz="900" b="0"/>
              <a:t>Feestock</a:t>
            </a:r>
          </a:p>
        </xdr:txBody>
      </xdr:sp>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59872" y="9239384"/>
            <a:ext cx="858198" cy="590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Waste </a:t>
            </a:r>
          </a:p>
          <a:p>
            <a:pPr algn="ctr"/>
            <a:r>
              <a:rPr lang="de-CH" sz="900" b="1"/>
              <a:t>Pre-Processing</a:t>
            </a:r>
          </a:p>
          <a:p>
            <a:pPr algn="ctr"/>
            <a:r>
              <a:rPr lang="de-CH" sz="900" b="0"/>
              <a:t>Unit W</a:t>
            </a:r>
          </a:p>
        </xdr:txBody>
      </xdr:sp>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946020" y="9224228"/>
            <a:ext cx="709983" cy="423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900" b="1"/>
              <a:t>Treatment</a:t>
            </a:r>
          </a:p>
          <a:p>
            <a:pPr algn="ctr"/>
            <a:r>
              <a:rPr lang="de-CH" sz="900" b="0"/>
              <a:t>Unit T</a:t>
            </a:r>
          </a:p>
        </xdr:txBody>
      </xdr:sp>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684028" y="9202895"/>
            <a:ext cx="668058" cy="532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Product </a:t>
            </a:r>
          </a:p>
          <a:p>
            <a:pPr algn="ctr"/>
            <a:r>
              <a:rPr lang="de-CH" sz="900" b="1"/>
              <a:t>Harvesting</a:t>
            </a:r>
          </a:p>
          <a:p>
            <a:pPr algn="ctr"/>
            <a:r>
              <a:rPr lang="de-CH" sz="900" b="0"/>
              <a:t>Unit H</a:t>
            </a:r>
          </a:p>
        </xdr:txBody>
      </xdr:sp>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2985111" y="9238245"/>
            <a:ext cx="978593" cy="399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Post</a:t>
            </a:r>
            <a:r>
              <a:rPr lang="de-CH" sz="900" b="1" baseline="0"/>
              <a:t> Processing</a:t>
            </a:r>
          </a:p>
          <a:p>
            <a:pPr algn="ctr"/>
            <a:r>
              <a:rPr lang="de-CH" sz="900" b="0" baseline="0"/>
              <a:t>Unit P</a:t>
            </a:r>
            <a:endParaRPr lang="de-CH" sz="900" b="0"/>
          </a:p>
        </xdr:txBody>
      </xdr:sp>
      <xdr:sp macro="" textlink="">
        <xdr:nvSpPr>
          <xdr:cNvPr id="155" name="TextBox 154">
            <a:extLst>
              <a:ext uri="{FF2B5EF4-FFF2-40B4-BE49-F238E27FC236}">
                <a16:creationId xmlns:a16="http://schemas.microsoft.com/office/drawing/2014/main" id="{00000000-0008-0000-0100-000022000000}"/>
              </a:ext>
            </a:extLst>
          </xdr:cNvPr>
          <xdr:cNvSpPr txBox="1"/>
        </xdr:nvSpPr>
        <xdr:spPr>
          <a:xfrm>
            <a:off x="2388495" y="9046384"/>
            <a:ext cx="561884" cy="2406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t>Sanitisng</a:t>
            </a:r>
          </a:p>
        </xdr:txBody>
      </xdr:sp>
      <xdr:sp macro="" textlink="">
        <xdr:nvSpPr>
          <xdr:cNvPr id="157" name="TextBox 156">
            <a:extLst>
              <a:ext uri="{FF2B5EF4-FFF2-40B4-BE49-F238E27FC236}">
                <a16:creationId xmlns:a16="http://schemas.microsoft.com/office/drawing/2014/main" id="{00000000-0008-0000-0100-000022000000}"/>
              </a:ext>
            </a:extLst>
          </xdr:cNvPr>
          <xdr:cNvSpPr txBox="1"/>
        </xdr:nvSpPr>
        <xdr:spPr>
          <a:xfrm>
            <a:off x="2938088" y="7753151"/>
            <a:ext cx="561885" cy="238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t>Drying</a:t>
            </a:r>
          </a:p>
        </xdr:txBody>
      </xdr:sp>
      <xdr:sp macro="" textlink="">
        <xdr:nvSpPr>
          <xdr:cNvPr id="158" name="TextBox 157">
            <a:extLst>
              <a:ext uri="{FF2B5EF4-FFF2-40B4-BE49-F238E27FC236}">
                <a16:creationId xmlns:a16="http://schemas.microsoft.com/office/drawing/2014/main" id="{00000000-0008-0000-0100-000022000000}"/>
              </a:ext>
            </a:extLst>
          </xdr:cNvPr>
          <xdr:cNvSpPr txBox="1"/>
        </xdr:nvSpPr>
        <xdr:spPr>
          <a:xfrm>
            <a:off x="3883394" y="8115510"/>
            <a:ext cx="561884" cy="212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t>Pressing</a:t>
            </a:r>
          </a:p>
        </xdr:txBody>
      </xdr:sp>
      <xdr:sp macro="" textlink="">
        <xdr:nvSpPr>
          <xdr:cNvPr id="160" name="TextBox 159">
            <a:extLst>
              <a:ext uri="{FF2B5EF4-FFF2-40B4-BE49-F238E27FC236}">
                <a16:creationId xmlns:a16="http://schemas.microsoft.com/office/drawing/2014/main" id="{00000000-0008-0000-0100-000022000000}"/>
              </a:ext>
            </a:extLst>
          </xdr:cNvPr>
          <xdr:cNvSpPr txBox="1"/>
        </xdr:nvSpPr>
        <xdr:spPr>
          <a:xfrm>
            <a:off x="4153347" y="7763258"/>
            <a:ext cx="355153" cy="437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t>Dried </a:t>
            </a:r>
          </a:p>
          <a:p>
            <a:pPr algn="ctr"/>
            <a:r>
              <a:rPr lang="de-CH" sz="700" b="0"/>
              <a:t>Larvae</a:t>
            </a:r>
          </a:p>
        </xdr:txBody>
      </xdr:sp>
      <xdr:sp macro="" textlink="">
        <xdr:nvSpPr>
          <xdr:cNvPr id="161" name="TextBox 160">
            <a:extLst>
              <a:ext uri="{FF2B5EF4-FFF2-40B4-BE49-F238E27FC236}">
                <a16:creationId xmlns:a16="http://schemas.microsoft.com/office/drawing/2014/main" id="{00000000-0008-0000-0100-000022000000}"/>
              </a:ext>
            </a:extLst>
          </xdr:cNvPr>
          <xdr:cNvSpPr txBox="1"/>
        </xdr:nvSpPr>
        <xdr:spPr>
          <a:xfrm>
            <a:off x="4152356" y="7401322"/>
            <a:ext cx="355267" cy="346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t>Fresh </a:t>
            </a:r>
          </a:p>
          <a:p>
            <a:pPr algn="ctr"/>
            <a:r>
              <a:rPr lang="de-CH" sz="700" b="0"/>
              <a:t>Larvae</a:t>
            </a:r>
          </a:p>
        </xdr:txBody>
      </xdr:sp>
      <xdr:sp macro="" textlink="">
        <xdr:nvSpPr>
          <xdr:cNvPr id="165" name="TextBox 164">
            <a:extLst>
              <a:ext uri="{FF2B5EF4-FFF2-40B4-BE49-F238E27FC236}">
                <a16:creationId xmlns:a16="http://schemas.microsoft.com/office/drawing/2014/main" id="{00000000-0008-0000-0100-000022000000}"/>
              </a:ext>
            </a:extLst>
          </xdr:cNvPr>
          <xdr:cNvSpPr txBox="1"/>
        </xdr:nvSpPr>
        <xdr:spPr>
          <a:xfrm>
            <a:off x="4435929" y="8153012"/>
            <a:ext cx="534483" cy="31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t>Larvae</a:t>
            </a:r>
            <a:r>
              <a:rPr lang="de-CH" sz="700" b="0" baseline="0"/>
              <a:t> </a:t>
            </a:r>
            <a:r>
              <a:rPr lang="de-CH" sz="700" b="0"/>
              <a:t>meal</a:t>
            </a:r>
          </a:p>
        </xdr:txBody>
      </xdr:sp>
      <xdr:sp macro="" textlink="">
        <xdr:nvSpPr>
          <xdr:cNvPr id="166" name="TextBox 165">
            <a:extLst>
              <a:ext uri="{FF2B5EF4-FFF2-40B4-BE49-F238E27FC236}">
                <a16:creationId xmlns:a16="http://schemas.microsoft.com/office/drawing/2014/main" id="{00000000-0008-0000-0100-000022000000}"/>
              </a:ext>
            </a:extLst>
          </xdr:cNvPr>
          <xdr:cNvSpPr txBox="1"/>
        </xdr:nvSpPr>
        <xdr:spPr>
          <a:xfrm>
            <a:off x="4430717" y="8866833"/>
            <a:ext cx="513212" cy="386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t>Larvae</a:t>
            </a:r>
            <a:r>
              <a:rPr lang="de-CH" sz="700" b="0" baseline="0"/>
              <a:t> </a:t>
            </a:r>
            <a:r>
              <a:rPr lang="de-CH" sz="700" b="0"/>
              <a:t>oil</a:t>
            </a:r>
          </a:p>
        </xdr:txBody>
      </xdr:sp>
      <xdr:sp macro="" textlink="">
        <xdr:nvSpPr>
          <xdr:cNvPr id="167" name="TextBox 166">
            <a:extLst>
              <a:ext uri="{FF2B5EF4-FFF2-40B4-BE49-F238E27FC236}">
                <a16:creationId xmlns:a16="http://schemas.microsoft.com/office/drawing/2014/main" id="{00000000-0008-0000-0100-000022000000}"/>
              </a:ext>
            </a:extLst>
          </xdr:cNvPr>
          <xdr:cNvSpPr txBox="1"/>
        </xdr:nvSpPr>
        <xdr:spPr>
          <a:xfrm>
            <a:off x="4195868" y="7020707"/>
            <a:ext cx="355267" cy="269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t>Compost</a:t>
            </a:r>
          </a:p>
        </xdr:txBody>
      </xdr:sp>
      <xdr:sp macro="" textlink="">
        <xdr:nvSpPr>
          <xdr:cNvPr id="168" name="TextBox 167">
            <a:extLst>
              <a:ext uri="{FF2B5EF4-FFF2-40B4-BE49-F238E27FC236}">
                <a16:creationId xmlns:a16="http://schemas.microsoft.com/office/drawing/2014/main" id="{00000000-0008-0000-0100-000022000000}"/>
              </a:ext>
            </a:extLst>
          </xdr:cNvPr>
          <xdr:cNvSpPr txBox="1"/>
        </xdr:nvSpPr>
        <xdr:spPr>
          <a:xfrm>
            <a:off x="1910209" y="6730246"/>
            <a:ext cx="1021501" cy="3931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Residue Processing</a:t>
            </a:r>
          </a:p>
          <a:p>
            <a:pPr marL="0" marR="0" lvl="0" indent="0" algn="ctr" defTabSz="914400" eaLnBrk="1" fontAlgn="auto" latinLnBrk="0" hangingPunct="1">
              <a:lnSpc>
                <a:spcPct val="100000"/>
              </a:lnSpc>
              <a:spcBef>
                <a:spcPts val="0"/>
              </a:spcBef>
              <a:spcAft>
                <a:spcPts val="0"/>
              </a:spcAft>
              <a:buClrTx/>
              <a:buSzTx/>
              <a:buFontTx/>
              <a:buNone/>
              <a:tabLst/>
              <a:defRPr/>
            </a:pPr>
            <a:r>
              <a:rPr lang="de-CH" sz="900" b="0">
                <a:solidFill>
                  <a:schemeClr val="tx1"/>
                </a:solidFill>
                <a:effectLst/>
                <a:latin typeface="+mn-lt"/>
                <a:ea typeface="+mn-ea"/>
                <a:cs typeface="+mn-cs"/>
              </a:rPr>
              <a:t>Unit R</a:t>
            </a:r>
            <a:endParaRPr lang="en-GB" sz="600">
              <a:effectLst/>
            </a:endParaRPr>
          </a:p>
        </xdr:txBody>
      </xdr:sp>
    </xdr:grpSp>
    <xdr:clientData/>
  </xdr:twoCellAnchor>
  <xdr:twoCellAnchor editAs="oneCell">
    <xdr:from>
      <xdr:col>7</xdr:col>
      <xdr:colOff>61730</xdr:colOff>
      <xdr:row>1</xdr:row>
      <xdr:rowOff>54792</xdr:rowOff>
    </xdr:from>
    <xdr:to>
      <xdr:col>9</xdr:col>
      <xdr:colOff>571500</xdr:colOff>
      <xdr:row>2</xdr:row>
      <xdr:rowOff>170751</xdr:rowOff>
    </xdr:to>
    <xdr:pic>
      <xdr:nvPicPr>
        <xdr:cNvPr id="125" name="Picture 124" descr="https://www.internal.eawag.ch/fileadmin_intranet/intranet/kommunikation/mittel/vorlagen/ealogo05-pos.png"/>
        <xdr:cNvPicPr>
          <a:picLocks noChangeAspect="1" noChangeArrowheads="1"/>
        </xdr:cNvPicPr>
      </xdr:nvPicPr>
      <xdr:blipFill>
        <a:blip xmlns:r="http://schemas.openxmlformats.org/officeDocument/2006/relationships" r:embed="rId33" cstate="hqprint">
          <a:extLst>
            <a:ext uri="{28A0092B-C50C-407E-A947-70E740481C1C}">
              <a14:useLocalDpi xmlns:a14="http://schemas.microsoft.com/office/drawing/2010/main" val="0"/>
            </a:ext>
          </a:extLst>
        </a:blip>
        <a:srcRect/>
        <a:stretch>
          <a:fillRect/>
        </a:stretch>
      </xdr:blipFill>
      <xdr:spPr bwMode="auto">
        <a:xfrm>
          <a:off x="3598404" y="104488"/>
          <a:ext cx="1669335" cy="356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489856</xdr:colOff>
      <xdr:row>6</xdr:row>
      <xdr:rowOff>108856</xdr:rowOff>
    </xdr:from>
    <xdr:to>
      <xdr:col>9</xdr:col>
      <xdr:colOff>557893</xdr:colOff>
      <xdr:row>13</xdr:row>
      <xdr:rowOff>176893</xdr:rowOff>
    </xdr:to>
    <xdr:pic>
      <xdr:nvPicPr>
        <xdr:cNvPr id="127" name="Picture 126" descr="https://www.eawag.ch/fileadmin/Domain1/Abteilungen/sandec/publikationen/SWM/BSF/bsf_picture_2.jpg"/>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b="15819"/>
        <a:stretch/>
      </xdr:blipFill>
      <xdr:spPr bwMode="auto">
        <a:xfrm>
          <a:off x="2299606" y="843642"/>
          <a:ext cx="2993573" cy="140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217714</xdr:colOff>
      <xdr:row>3</xdr:row>
      <xdr:rowOff>27213</xdr:rowOff>
    </xdr:from>
    <xdr:to>
      <xdr:col>5</xdr:col>
      <xdr:colOff>1486035</xdr:colOff>
      <xdr:row>10</xdr:row>
      <xdr:rowOff>49228</xdr:rowOff>
    </xdr:to>
    <xdr:grpSp>
      <xdr:nvGrpSpPr>
        <xdr:cNvPr id="2" name="Group 1"/>
        <xdr:cNvGrpSpPr/>
      </xdr:nvGrpSpPr>
      <xdr:grpSpPr>
        <a:xfrm>
          <a:off x="5116285" y="1102177"/>
          <a:ext cx="1268321" cy="1396337"/>
          <a:chOff x="9212036" y="10055679"/>
          <a:chExt cx="2368330" cy="2607372"/>
        </a:xfrm>
      </xdr:grpSpPr>
      <xdr:pic>
        <xdr:nvPicPr>
          <xdr:cNvPr id="14" name="Picture 13"/>
          <xdr:cNvPicPr>
            <a:picLocks noChangeAspect="1"/>
          </xdr:cNvPicPr>
        </xdr:nvPicPr>
        <xdr:blipFill>
          <a:blip xmlns:r="http://schemas.openxmlformats.org/officeDocument/2006/relationships" r:embed="rId1"/>
          <a:stretch>
            <a:fillRect/>
          </a:stretch>
        </xdr:blipFill>
        <xdr:spPr>
          <a:xfrm rot="6211499">
            <a:off x="9566958" y="12140348"/>
            <a:ext cx="521703" cy="393649"/>
          </a:xfrm>
          <a:prstGeom prst="rect">
            <a:avLst/>
          </a:prstGeom>
        </xdr:spPr>
      </xdr:pic>
      <xdr:pic>
        <xdr:nvPicPr>
          <xdr:cNvPr id="15" name="Picture 14"/>
          <xdr:cNvPicPr>
            <a:picLocks noChangeAspect="1"/>
          </xdr:cNvPicPr>
        </xdr:nvPicPr>
        <xdr:blipFill>
          <a:blip xmlns:r="http://schemas.openxmlformats.org/officeDocument/2006/relationships" r:embed="rId1"/>
          <a:stretch>
            <a:fillRect/>
          </a:stretch>
        </xdr:blipFill>
        <xdr:spPr>
          <a:xfrm rot="2823842">
            <a:off x="10555328" y="12163236"/>
            <a:ext cx="521703" cy="393649"/>
          </a:xfrm>
          <a:prstGeom prst="rect">
            <a:avLst/>
          </a:prstGeom>
        </xdr:spPr>
      </xdr:pic>
      <xdr:pic>
        <xdr:nvPicPr>
          <xdr:cNvPr id="16" name="Picture 15"/>
          <xdr:cNvPicPr>
            <a:picLocks noChangeAspect="1"/>
          </xdr:cNvPicPr>
        </xdr:nvPicPr>
        <xdr:blipFill>
          <a:blip xmlns:r="http://schemas.openxmlformats.org/officeDocument/2006/relationships" r:embed="rId1"/>
          <a:stretch>
            <a:fillRect/>
          </a:stretch>
        </xdr:blipFill>
        <xdr:spPr>
          <a:xfrm rot="17090820">
            <a:off x="10617118" y="10223463"/>
            <a:ext cx="521703" cy="393649"/>
          </a:xfrm>
          <a:prstGeom prst="rect">
            <a:avLst/>
          </a:prstGeom>
        </xdr:spPr>
      </xdr:pic>
      <xdr:pic>
        <xdr:nvPicPr>
          <xdr:cNvPr id="17" name="Picture 16"/>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rot="7200000">
            <a:off x="9212868" y="11728830"/>
            <a:ext cx="457200" cy="458863"/>
          </a:xfrm>
          <a:prstGeom prst="rect">
            <a:avLst/>
          </a:prstGeom>
        </xdr:spPr>
      </xdr:pic>
      <xdr:pic>
        <xdr:nvPicPr>
          <xdr:cNvPr id="18" name="Picture 17"/>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rot="7200000">
            <a:off x="10179343" y="10053185"/>
            <a:ext cx="457200" cy="462188"/>
          </a:xfrm>
          <a:prstGeom prst="rect">
            <a:avLst/>
          </a:prstGeom>
        </xdr:spPr>
      </xdr:pic>
      <xdr:pic>
        <xdr:nvPicPr>
          <xdr:cNvPr id="19" name="Picture 18"/>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rot="7200000">
            <a:off x="11047330" y="10554626"/>
            <a:ext cx="457200" cy="462188"/>
          </a:xfrm>
          <a:prstGeom prst="rect">
            <a:avLst/>
          </a:prstGeom>
        </xdr:spPr>
      </xdr:pic>
      <xdr:pic>
        <xdr:nvPicPr>
          <xdr:cNvPr id="20" name="Picture 19"/>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rot="7200000">
            <a:off x="10932582" y="11664662"/>
            <a:ext cx="457200" cy="462188"/>
          </a:xfrm>
          <a:prstGeom prst="rect">
            <a:avLst/>
          </a:prstGeom>
        </xdr:spPr>
      </xdr:pic>
      <xdr:pic>
        <xdr:nvPicPr>
          <xdr:cNvPr id="21" name="Picture 20"/>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rot="7200000">
            <a:off x="10034325" y="12203357"/>
            <a:ext cx="457200" cy="462188"/>
          </a:xfrm>
          <a:prstGeom prst="rect">
            <a:avLst/>
          </a:prstGeom>
        </xdr:spPr>
      </xdr:pic>
      <xdr:pic>
        <xdr:nvPicPr>
          <xdr:cNvPr id="22" name="Picture 21"/>
          <xdr:cNvPicPr>
            <a:picLocks noChangeAspect="1"/>
          </xdr:cNvPicPr>
        </xdr:nvPicPr>
        <xdr:blipFill>
          <a:blip xmlns:r="http://schemas.openxmlformats.org/officeDocument/2006/relationships" r:embed="rId1"/>
          <a:stretch>
            <a:fillRect/>
          </a:stretch>
        </xdr:blipFill>
        <xdr:spPr>
          <a:xfrm rot="20442932">
            <a:off x="11186717" y="11028406"/>
            <a:ext cx="393649" cy="521703"/>
          </a:xfrm>
          <a:prstGeom prst="rect">
            <a:avLst/>
          </a:prstGeom>
        </xdr:spPr>
      </xdr:pic>
    </xdr:grpSp>
    <xdr:clientData/>
  </xdr:twoCellAnchor>
  <xdr:twoCellAnchor>
    <xdr:from>
      <xdr:col>4</xdr:col>
      <xdr:colOff>312964</xdr:colOff>
      <xdr:row>3</xdr:row>
      <xdr:rowOff>0</xdr:rowOff>
    </xdr:from>
    <xdr:to>
      <xdr:col>5</xdr:col>
      <xdr:colOff>330190</xdr:colOff>
      <xdr:row>5</xdr:row>
      <xdr:rowOff>68034</xdr:rowOff>
    </xdr:to>
    <xdr:sp macro="" textlink="">
      <xdr:nvSpPr>
        <xdr:cNvPr id="23" name="TextBox 22">
          <a:extLst>
            <a:ext uri="{FF2B5EF4-FFF2-40B4-BE49-F238E27FC236}">
              <a16:creationId xmlns:a16="http://schemas.microsoft.com/office/drawing/2014/main" id="{00000000-0008-0000-0100-000020000000}"/>
            </a:ext>
          </a:extLst>
        </xdr:cNvPr>
        <xdr:cNvSpPr txBox="1"/>
      </xdr:nvSpPr>
      <xdr:spPr>
        <a:xfrm>
          <a:off x="4014107" y="1074964"/>
          <a:ext cx="1214654"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N</a:t>
          </a:r>
        </a:p>
        <a:p>
          <a:pPr algn="ctr"/>
          <a:r>
            <a:rPr lang="de-CH" sz="1050" b="0"/>
            <a:t>(U-N-Egg)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707570</xdr:colOff>
      <xdr:row>2</xdr:row>
      <xdr:rowOff>204106</xdr:rowOff>
    </xdr:from>
    <xdr:to>
      <xdr:col>5</xdr:col>
      <xdr:colOff>1337653</xdr:colOff>
      <xdr:row>9</xdr:row>
      <xdr:rowOff>106089</xdr:rowOff>
    </xdr:to>
    <xdr:grpSp>
      <xdr:nvGrpSpPr>
        <xdr:cNvPr id="3" name="Group 2"/>
        <xdr:cNvGrpSpPr/>
      </xdr:nvGrpSpPr>
      <xdr:grpSpPr>
        <a:xfrm>
          <a:off x="5333999" y="1034142"/>
          <a:ext cx="630083" cy="1330733"/>
          <a:chOff x="8572500" y="9946821"/>
          <a:chExt cx="932894" cy="1970270"/>
        </a:xfrm>
      </xdr:grpSpPr>
      <xdr:pic>
        <xdr:nvPicPr>
          <xdr:cNvPr id="8" name="Picture 7"/>
          <xdr:cNvPicPr>
            <a:picLocks noChangeAspect="1"/>
          </xdr:cNvPicPr>
        </xdr:nvPicPr>
        <xdr:blipFill>
          <a:blip xmlns:r="http://schemas.openxmlformats.org/officeDocument/2006/relationships" r:embed="rId1"/>
          <a:stretch>
            <a:fillRect/>
          </a:stretch>
        </xdr:blipFill>
        <xdr:spPr>
          <a:xfrm rot="13233419">
            <a:off x="9111745" y="9946821"/>
            <a:ext cx="393649" cy="521703"/>
          </a:xfrm>
          <a:prstGeom prst="rect">
            <a:avLst/>
          </a:prstGeom>
        </xdr:spPr>
      </xdr:pic>
      <xdr:pic>
        <xdr:nvPicPr>
          <xdr:cNvPr id="9" name="Picture 8"/>
          <xdr:cNvPicPr>
            <a:picLocks noChangeAspect="1"/>
          </xdr:cNvPicPr>
        </xdr:nvPicPr>
        <xdr:blipFill>
          <a:blip xmlns:r="http://schemas.openxmlformats.org/officeDocument/2006/relationships" r:embed="rId1"/>
          <a:stretch>
            <a:fillRect/>
          </a:stretch>
        </xdr:blipFill>
        <xdr:spPr>
          <a:xfrm rot="10109305">
            <a:off x="8572500" y="10906174"/>
            <a:ext cx="393649" cy="521703"/>
          </a:xfrm>
          <a:prstGeom prst="rect">
            <a:avLst/>
          </a:prstGeom>
        </xdr:spPr>
      </xdr:pic>
      <xdr:pic>
        <xdr:nvPicPr>
          <xdr:cNvPr id="10" name="Picture 9"/>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rot="7200000">
            <a:off x="8756876" y="10384756"/>
            <a:ext cx="457200" cy="457200"/>
          </a:xfrm>
          <a:prstGeom prst="rect">
            <a:avLst/>
          </a:prstGeom>
        </xdr:spPr>
      </xdr:pic>
      <xdr:pic>
        <xdr:nvPicPr>
          <xdr:cNvPr id="11" name="Picture 10"/>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rot="7200000">
            <a:off x="8651802" y="11459059"/>
            <a:ext cx="457200" cy="458863"/>
          </a:xfrm>
          <a:prstGeom prst="rect">
            <a:avLst/>
          </a:prstGeom>
        </xdr:spPr>
      </xdr:pic>
    </xdr:grpSp>
    <xdr:clientData/>
  </xdr:twoCellAnchor>
  <xdr:twoCellAnchor>
    <xdr:from>
      <xdr:col>4</xdr:col>
      <xdr:colOff>762000</xdr:colOff>
      <xdr:row>3</xdr:row>
      <xdr:rowOff>40822</xdr:rowOff>
    </xdr:from>
    <xdr:to>
      <xdr:col>5</xdr:col>
      <xdr:colOff>779225</xdr:colOff>
      <xdr:row>5</xdr:row>
      <xdr:rowOff>108856</xdr:rowOff>
    </xdr:to>
    <xdr:sp macro="" textlink="">
      <xdr:nvSpPr>
        <xdr:cNvPr id="12" name="TextBox 11">
          <a:extLst>
            <a:ext uri="{FF2B5EF4-FFF2-40B4-BE49-F238E27FC236}">
              <a16:creationId xmlns:a16="http://schemas.microsoft.com/office/drawing/2014/main" id="{00000000-0008-0000-0100-000020000000}"/>
            </a:ext>
          </a:extLst>
        </xdr:cNvPr>
        <xdr:cNvSpPr txBox="1"/>
      </xdr:nvSpPr>
      <xdr:spPr>
        <a:xfrm>
          <a:off x="4191000" y="1115786"/>
          <a:ext cx="1214654"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N</a:t>
          </a:r>
        </a:p>
        <a:p>
          <a:pPr algn="ctr"/>
          <a:r>
            <a:rPr lang="de-CH" sz="1050" b="0"/>
            <a:t>(U-N-5DOL)</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449032</xdr:colOff>
      <xdr:row>6</xdr:row>
      <xdr:rowOff>48843</xdr:rowOff>
    </xdr:from>
    <xdr:to>
      <xdr:col>5</xdr:col>
      <xdr:colOff>982196</xdr:colOff>
      <xdr:row>8</xdr:row>
      <xdr:rowOff>168040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5973532" y="1382343"/>
          <a:ext cx="533164" cy="527411"/>
        </a:xfrm>
        <a:prstGeom prst="rect">
          <a:avLst/>
        </a:prstGeom>
      </xdr:spPr>
    </xdr:pic>
    <xdr:clientData/>
  </xdr:twoCellAnchor>
  <xdr:twoCellAnchor editAs="oneCell">
    <xdr:from>
      <xdr:col>4</xdr:col>
      <xdr:colOff>231323</xdr:colOff>
      <xdr:row>6</xdr:row>
      <xdr:rowOff>7286</xdr:rowOff>
    </xdr:from>
    <xdr:to>
      <xdr:col>4</xdr:col>
      <xdr:colOff>789215</xdr:colOff>
      <xdr:row>8</xdr:row>
      <xdr:rowOff>150944</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8394" y="1340786"/>
          <a:ext cx="557892" cy="551872"/>
        </a:xfrm>
        <a:prstGeom prst="rect">
          <a:avLst/>
        </a:prstGeom>
      </xdr:spPr>
    </xdr:pic>
    <xdr:clientData/>
  </xdr:twoCellAnchor>
  <xdr:twoCellAnchor editAs="oneCell">
    <xdr:from>
      <xdr:col>3</xdr:col>
      <xdr:colOff>108857</xdr:colOff>
      <xdr:row>6</xdr:row>
      <xdr:rowOff>13607</xdr:rowOff>
    </xdr:from>
    <xdr:to>
      <xdr:col>3</xdr:col>
      <xdr:colOff>612322</xdr:colOff>
      <xdr:row>8</xdr:row>
      <xdr:rowOff>103425</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0" y="1347107"/>
          <a:ext cx="503465" cy="498032"/>
        </a:xfrm>
        <a:prstGeom prst="rect">
          <a:avLst/>
        </a:prstGeom>
      </xdr:spPr>
    </xdr:pic>
    <xdr:clientData/>
  </xdr:twoCellAnchor>
  <xdr:twoCellAnchor>
    <xdr:from>
      <xdr:col>2</xdr:col>
      <xdr:colOff>707572</xdr:colOff>
      <xdr:row>4</xdr:row>
      <xdr:rowOff>190499</xdr:rowOff>
    </xdr:from>
    <xdr:to>
      <xdr:col>2</xdr:col>
      <xdr:colOff>1922226</xdr:colOff>
      <xdr:row>7</xdr:row>
      <xdr:rowOff>40821</xdr:rowOff>
    </xdr:to>
    <xdr:sp macro="" textlink="">
      <xdr:nvSpPr>
        <xdr:cNvPr id="10" name="TextBox 9">
          <a:extLst>
            <a:ext uri="{FF2B5EF4-FFF2-40B4-BE49-F238E27FC236}">
              <a16:creationId xmlns:a16="http://schemas.microsoft.com/office/drawing/2014/main" id="{00000000-0008-0000-0100-000020000000}"/>
            </a:ext>
          </a:extLst>
        </xdr:cNvPr>
        <xdr:cNvSpPr txBox="1"/>
      </xdr:nvSpPr>
      <xdr:spPr>
        <a:xfrm>
          <a:off x="1687286" y="1115785"/>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P</a:t>
          </a:r>
        </a:p>
        <a:p>
          <a:pPr algn="ctr"/>
          <a:r>
            <a:rPr lang="de-CH" sz="1050" b="0"/>
            <a:t>(U-P)</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830036</xdr:colOff>
      <xdr:row>5</xdr:row>
      <xdr:rowOff>149679</xdr:rowOff>
    </xdr:from>
    <xdr:to>
      <xdr:col>3</xdr:col>
      <xdr:colOff>1428750</xdr:colOff>
      <xdr:row>8</xdr:row>
      <xdr:rowOff>143219</xdr:rowOff>
    </xdr:to>
    <xdr:pic>
      <xdr:nvPicPr>
        <xdr:cNvPr id="6" name="Picture 5"/>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4393" y="1279072"/>
          <a:ext cx="598714" cy="592254"/>
        </a:xfrm>
        <a:prstGeom prst="rect">
          <a:avLst/>
        </a:prstGeom>
      </xdr:spPr>
    </xdr:pic>
    <xdr:clientData/>
  </xdr:twoCellAnchor>
  <xdr:twoCellAnchor>
    <xdr:from>
      <xdr:col>3</xdr:col>
      <xdr:colOff>557893</xdr:colOff>
      <xdr:row>3</xdr:row>
      <xdr:rowOff>13607</xdr:rowOff>
    </xdr:from>
    <xdr:to>
      <xdr:col>4</xdr:col>
      <xdr:colOff>330190</xdr:colOff>
      <xdr:row>5</xdr:row>
      <xdr:rowOff>68036</xdr:rowOff>
    </xdr:to>
    <xdr:sp macro="" textlink="">
      <xdr:nvSpPr>
        <xdr:cNvPr id="7" name="TextBox 6">
          <a:extLst>
            <a:ext uri="{FF2B5EF4-FFF2-40B4-BE49-F238E27FC236}">
              <a16:creationId xmlns:a16="http://schemas.microsoft.com/office/drawing/2014/main" id="{00000000-0008-0000-0100-000020000000}"/>
            </a:ext>
          </a:extLst>
        </xdr:cNvPr>
        <xdr:cNvSpPr txBox="1"/>
      </xdr:nvSpPr>
      <xdr:spPr>
        <a:xfrm>
          <a:off x="2762250" y="734786"/>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R</a:t>
          </a:r>
        </a:p>
        <a:p>
          <a:pPr algn="ctr"/>
          <a:r>
            <a:rPr lang="de-CH" sz="1050" b="0"/>
            <a:t>(U-R)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979712</xdr:colOff>
      <xdr:row>42</xdr:row>
      <xdr:rowOff>99787</xdr:rowOff>
    </xdr:from>
    <xdr:to>
      <xdr:col>5</xdr:col>
      <xdr:colOff>19957</xdr:colOff>
      <xdr:row>43</xdr:row>
      <xdr:rowOff>172359</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8354783" y="9284608"/>
          <a:ext cx="741138" cy="263072"/>
        </a:xfrm>
        <a:prstGeom prst="flowChartAlternateProcess">
          <a:avLst/>
        </a:prstGeom>
        <a:solidFill>
          <a:schemeClr val="bg1"/>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800">
              <a:solidFill>
                <a:schemeClr val="tx1"/>
              </a:solidFill>
            </a:rPr>
            <a:t>&gt; Database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11545</xdr:colOff>
      <xdr:row>8</xdr:row>
      <xdr:rowOff>11545</xdr:rowOff>
    </xdr:from>
    <xdr:to>
      <xdr:col>5</xdr:col>
      <xdr:colOff>565727</xdr:colOff>
      <xdr:row>8</xdr:row>
      <xdr:rowOff>11545</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a:off x="3059545" y="1300595"/>
          <a:ext cx="55418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25399</xdr:colOff>
      <xdr:row>8</xdr:row>
      <xdr:rowOff>13854</xdr:rowOff>
    </xdr:from>
    <xdr:to>
      <xdr:col>9</xdr:col>
      <xdr:colOff>579581</xdr:colOff>
      <xdr:row>8</xdr:row>
      <xdr:rowOff>13854</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a:off x="5682672" y="1306945"/>
          <a:ext cx="55418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27708</xdr:colOff>
      <xdr:row>8</xdr:row>
      <xdr:rowOff>16163</xdr:rowOff>
    </xdr:from>
    <xdr:to>
      <xdr:col>13</xdr:col>
      <xdr:colOff>581890</xdr:colOff>
      <xdr:row>8</xdr:row>
      <xdr:rowOff>16163</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7952508" y="1305213"/>
          <a:ext cx="55418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18471</xdr:colOff>
      <xdr:row>8</xdr:row>
      <xdr:rowOff>6927</xdr:rowOff>
    </xdr:from>
    <xdr:to>
      <xdr:col>17</xdr:col>
      <xdr:colOff>572653</xdr:colOff>
      <xdr:row>8</xdr:row>
      <xdr:rowOff>6927</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a:off x="10381671" y="1295977"/>
          <a:ext cx="55418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32327</xdr:colOff>
      <xdr:row>7</xdr:row>
      <xdr:rowOff>182418</xdr:rowOff>
    </xdr:from>
    <xdr:to>
      <xdr:col>24</xdr:col>
      <xdr:colOff>762000</xdr:colOff>
      <xdr:row>7</xdr:row>
      <xdr:rowOff>182418</xdr:rowOff>
    </xdr:to>
    <xdr:cxnSp macro="">
      <xdr:nvCxnSpPr>
        <xdr:cNvPr id="12" name="Straight Arrow Connector 11">
          <a:extLst>
            <a:ext uri="{FF2B5EF4-FFF2-40B4-BE49-F238E27FC236}">
              <a16:creationId xmlns:a16="http://schemas.microsoft.com/office/drawing/2014/main" id="{00000000-0008-0000-0600-00000C000000}"/>
            </a:ext>
          </a:extLst>
        </xdr:cNvPr>
        <xdr:cNvCxnSpPr/>
      </xdr:nvCxnSpPr>
      <xdr:spPr>
        <a:xfrm>
          <a:off x="14170148" y="1325418"/>
          <a:ext cx="729673"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25152</xdr:colOff>
      <xdr:row>8</xdr:row>
      <xdr:rowOff>95251</xdr:rowOff>
    </xdr:from>
    <xdr:to>
      <xdr:col>40</xdr:col>
      <xdr:colOff>571500</xdr:colOff>
      <xdr:row>8</xdr:row>
      <xdr:rowOff>95251</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a:off x="18939081" y="1428751"/>
          <a:ext cx="6547098"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272143</xdr:colOff>
      <xdr:row>39</xdr:row>
      <xdr:rowOff>146390</xdr:rowOff>
    </xdr:from>
    <xdr:to>
      <xdr:col>40</xdr:col>
      <xdr:colOff>530678</xdr:colOff>
      <xdr:row>39</xdr:row>
      <xdr:rowOff>146390</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19771179" y="7398997"/>
          <a:ext cx="5674178"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649</xdr:colOff>
      <xdr:row>10</xdr:row>
      <xdr:rowOff>164354</xdr:rowOff>
    </xdr:from>
    <xdr:to>
      <xdr:col>16</xdr:col>
      <xdr:colOff>582707</xdr:colOff>
      <xdr:row>12</xdr:row>
      <xdr:rowOff>59443</xdr:rowOff>
    </xdr:to>
    <xdr:sp macro="" textlink="">
      <xdr:nvSpPr>
        <xdr:cNvPr id="37" name="Right Brace 36">
          <a:extLst>
            <a:ext uri="{FF2B5EF4-FFF2-40B4-BE49-F238E27FC236}">
              <a16:creationId xmlns:a16="http://schemas.microsoft.com/office/drawing/2014/main" id="{00000000-0008-0000-0600-000025000000}"/>
            </a:ext>
          </a:extLst>
        </xdr:cNvPr>
        <xdr:cNvSpPr/>
      </xdr:nvSpPr>
      <xdr:spPr>
        <a:xfrm rot="5400000">
          <a:off x="7045251" y="-1374425"/>
          <a:ext cx="268619" cy="6707941"/>
        </a:xfrm>
        <a:prstGeom prst="rightBrace">
          <a:avLst>
            <a:gd name="adj1" fmla="val 14536"/>
            <a:gd name="adj2" fmla="val 49485"/>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18</xdr:col>
      <xdr:colOff>17656</xdr:colOff>
      <xdr:row>12</xdr:row>
      <xdr:rowOff>122883</xdr:rowOff>
    </xdr:from>
    <xdr:to>
      <xdr:col>24</xdr:col>
      <xdr:colOff>13608</xdr:colOff>
      <xdr:row>14</xdr:row>
      <xdr:rowOff>2326</xdr:rowOff>
    </xdr:to>
    <xdr:sp macro="" textlink="">
      <xdr:nvSpPr>
        <xdr:cNvPr id="38" name="Right Brace 37">
          <a:extLst>
            <a:ext uri="{FF2B5EF4-FFF2-40B4-BE49-F238E27FC236}">
              <a16:creationId xmlns:a16="http://schemas.microsoft.com/office/drawing/2014/main" id="{00000000-0008-0000-0600-000026000000}"/>
            </a:ext>
          </a:extLst>
        </xdr:cNvPr>
        <xdr:cNvSpPr/>
      </xdr:nvSpPr>
      <xdr:spPr>
        <a:xfrm rot="5400000">
          <a:off x="11954947" y="377592"/>
          <a:ext cx="274050" cy="3955631"/>
        </a:xfrm>
        <a:prstGeom prst="rightBrace">
          <a:avLst>
            <a:gd name="adj1" fmla="val 14536"/>
            <a:gd name="adj2" fmla="val 49485"/>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25</xdr:col>
      <xdr:colOff>3475</xdr:colOff>
      <xdr:row>10</xdr:row>
      <xdr:rowOff>127001</xdr:rowOff>
    </xdr:from>
    <xdr:to>
      <xdr:col>31</xdr:col>
      <xdr:colOff>25980</xdr:colOff>
      <xdr:row>12</xdr:row>
      <xdr:rowOff>34636</xdr:rowOff>
    </xdr:to>
    <xdr:sp macro="" textlink="">
      <xdr:nvSpPr>
        <xdr:cNvPr id="39" name="Right Brace 38">
          <a:extLst>
            <a:ext uri="{FF2B5EF4-FFF2-40B4-BE49-F238E27FC236}">
              <a16:creationId xmlns:a16="http://schemas.microsoft.com/office/drawing/2014/main" id="{00000000-0008-0000-0600-000027000000}"/>
            </a:ext>
          </a:extLst>
        </xdr:cNvPr>
        <xdr:cNvSpPr/>
      </xdr:nvSpPr>
      <xdr:spPr>
        <a:xfrm rot="5400000">
          <a:off x="17269410" y="-89184"/>
          <a:ext cx="288635" cy="4150005"/>
        </a:xfrm>
        <a:prstGeom prst="rightBrace">
          <a:avLst>
            <a:gd name="adj1" fmla="val 14536"/>
            <a:gd name="adj2" fmla="val 49485"/>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44</xdr:col>
      <xdr:colOff>158752</xdr:colOff>
      <xdr:row>7</xdr:row>
      <xdr:rowOff>13606</xdr:rowOff>
    </xdr:from>
    <xdr:to>
      <xdr:col>44</xdr:col>
      <xdr:colOff>394607</xdr:colOff>
      <xdr:row>33</xdr:row>
      <xdr:rowOff>0</xdr:rowOff>
    </xdr:to>
    <xdr:sp macro="" textlink="">
      <xdr:nvSpPr>
        <xdr:cNvPr id="48" name="Right Brace 47">
          <a:extLst>
            <a:ext uri="{FF2B5EF4-FFF2-40B4-BE49-F238E27FC236}">
              <a16:creationId xmlns:a16="http://schemas.microsoft.com/office/drawing/2014/main" id="{00000000-0008-0000-0600-000030000000}"/>
            </a:ext>
          </a:extLst>
        </xdr:cNvPr>
        <xdr:cNvSpPr/>
      </xdr:nvSpPr>
      <xdr:spPr>
        <a:xfrm>
          <a:off x="27228802" y="1213756"/>
          <a:ext cx="235855" cy="4948919"/>
        </a:xfrm>
        <a:prstGeom prst="rightBrace">
          <a:avLst>
            <a:gd name="adj1" fmla="val 14536"/>
            <a:gd name="adj2" fmla="val 49485"/>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41</xdr:col>
      <xdr:colOff>13607</xdr:colOff>
      <xdr:row>43</xdr:row>
      <xdr:rowOff>21732</xdr:rowOff>
    </xdr:from>
    <xdr:to>
      <xdr:col>44</xdr:col>
      <xdr:colOff>27214</xdr:colOff>
      <xdr:row>43</xdr:row>
      <xdr:rowOff>139411</xdr:rowOff>
    </xdr:to>
    <xdr:sp macro="" textlink="">
      <xdr:nvSpPr>
        <xdr:cNvPr id="49" name="Right Brace 48">
          <a:extLst>
            <a:ext uri="{FF2B5EF4-FFF2-40B4-BE49-F238E27FC236}">
              <a16:creationId xmlns:a16="http://schemas.microsoft.com/office/drawing/2014/main" id="{00000000-0008-0000-0600-000031000000}"/>
            </a:ext>
          </a:extLst>
        </xdr:cNvPr>
        <xdr:cNvSpPr/>
      </xdr:nvSpPr>
      <xdr:spPr>
        <a:xfrm rot="5400000">
          <a:off x="26339017" y="7210715"/>
          <a:ext cx="117679" cy="1768928"/>
        </a:xfrm>
        <a:prstGeom prst="rightBrace">
          <a:avLst>
            <a:gd name="adj1" fmla="val 14536"/>
            <a:gd name="adj2" fmla="val 49485"/>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editAs="oneCell">
    <xdr:from>
      <xdr:col>2</xdr:col>
      <xdr:colOff>367393</xdr:colOff>
      <xdr:row>3</xdr:row>
      <xdr:rowOff>108857</xdr:rowOff>
    </xdr:from>
    <xdr:to>
      <xdr:col>3</xdr:col>
      <xdr:colOff>312964</xdr:colOff>
      <xdr:row>6</xdr:row>
      <xdr:rowOff>62309</xdr:rowOff>
    </xdr:to>
    <xdr:pic>
      <xdr:nvPicPr>
        <xdr:cNvPr id="82" name="Picture 81"/>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1102179" y="489857"/>
          <a:ext cx="530678" cy="524952"/>
        </a:xfrm>
        <a:prstGeom prst="rect">
          <a:avLst/>
        </a:prstGeom>
      </xdr:spPr>
    </xdr:pic>
    <xdr:clientData/>
  </xdr:twoCellAnchor>
  <xdr:twoCellAnchor editAs="oneCell">
    <xdr:from>
      <xdr:col>20</xdr:col>
      <xdr:colOff>544286</xdr:colOff>
      <xdr:row>3</xdr:row>
      <xdr:rowOff>163286</xdr:rowOff>
    </xdr:from>
    <xdr:to>
      <xdr:col>21</xdr:col>
      <xdr:colOff>386492</xdr:colOff>
      <xdr:row>6</xdr:row>
      <xdr:rowOff>95250</xdr:rowOff>
    </xdr:to>
    <xdr:pic>
      <xdr:nvPicPr>
        <xdr:cNvPr id="84" name="Picture 83"/>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a:off x="11811000" y="544286"/>
          <a:ext cx="508956" cy="503464"/>
        </a:xfrm>
        <a:prstGeom prst="rect">
          <a:avLst/>
        </a:prstGeom>
      </xdr:spPr>
    </xdr:pic>
    <xdr:clientData/>
  </xdr:twoCellAnchor>
  <xdr:twoCellAnchor editAs="oneCell">
    <xdr:from>
      <xdr:col>27</xdr:col>
      <xdr:colOff>204107</xdr:colOff>
      <xdr:row>3</xdr:row>
      <xdr:rowOff>27214</xdr:rowOff>
    </xdr:from>
    <xdr:to>
      <xdr:col>28</xdr:col>
      <xdr:colOff>340178</xdr:colOff>
      <xdr:row>6</xdr:row>
      <xdr:rowOff>169110</xdr:rowOff>
    </xdr:to>
    <xdr:pic>
      <xdr:nvPicPr>
        <xdr:cNvPr id="85" name="Picture 84"/>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16546286" y="408214"/>
          <a:ext cx="721178" cy="713396"/>
        </a:xfrm>
        <a:prstGeom prst="rect">
          <a:avLst/>
        </a:prstGeom>
      </xdr:spPr>
    </xdr:pic>
    <xdr:clientData/>
  </xdr:twoCellAnchor>
  <xdr:twoCellAnchor editAs="oneCell">
    <xdr:from>
      <xdr:col>36</xdr:col>
      <xdr:colOff>108857</xdr:colOff>
      <xdr:row>36</xdr:row>
      <xdr:rowOff>168768</xdr:rowOff>
    </xdr:from>
    <xdr:to>
      <xdr:col>36</xdr:col>
      <xdr:colOff>585107</xdr:colOff>
      <xdr:row>39</xdr:row>
      <xdr:rowOff>68379</xdr:rowOff>
    </xdr:to>
    <xdr:pic>
      <xdr:nvPicPr>
        <xdr:cNvPr id="86" name="Picture 85"/>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2438178" y="6904304"/>
          <a:ext cx="476250" cy="471111"/>
        </a:xfrm>
        <a:prstGeom prst="rect">
          <a:avLst/>
        </a:prstGeom>
      </xdr:spPr>
    </xdr:pic>
    <xdr:clientData/>
  </xdr:twoCellAnchor>
  <xdr:twoCellAnchor editAs="oneCell">
    <xdr:from>
      <xdr:col>31</xdr:col>
      <xdr:colOff>381001</xdr:colOff>
      <xdr:row>5</xdr:row>
      <xdr:rowOff>81642</xdr:rowOff>
    </xdr:from>
    <xdr:to>
      <xdr:col>32</xdr:col>
      <xdr:colOff>285750</xdr:colOff>
      <xdr:row>7</xdr:row>
      <xdr:rowOff>178133</xdr:rowOff>
    </xdr:to>
    <xdr:pic>
      <xdr:nvPicPr>
        <xdr:cNvPr id="92" name="Picture 91"/>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18907126" y="891267"/>
          <a:ext cx="476249" cy="477491"/>
        </a:xfrm>
        <a:prstGeom prst="rect">
          <a:avLst/>
        </a:prstGeom>
      </xdr:spPr>
    </xdr:pic>
    <xdr:clientData/>
  </xdr:twoCellAnchor>
  <xdr:twoCellAnchor editAs="oneCell">
    <xdr:from>
      <xdr:col>42</xdr:col>
      <xdr:colOff>84365</xdr:colOff>
      <xdr:row>4</xdr:row>
      <xdr:rowOff>16328</xdr:rowOff>
    </xdr:from>
    <xdr:to>
      <xdr:col>42</xdr:col>
      <xdr:colOff>546553</xdr:colOff>
      <xdr:row>6</xdr:row>
      <xdr:rowOff>92528</xdr:rowOff>
    </xdr:to>
    <xdr:pic>
      <xdr:nvPicPr>
        <xdr:cNvPr id="99" name="Picture 98"/>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6169258" y="587828"/>
          <a:ext cx="462188" cy="457200"/>
        </a:xfrm>
        <a:prstGeom prst="rect">
          <a:avLst/>
        </a:prstGeom>
      </xdr:spPr>
    </xdr:pic>
    <xdr:clientData/>
  </xdr:twoCellAnchor>
  <xdr:twoCellAnchor>
    <xdr:from>
      <xdr:col>32</xdr:col>
      <xdr:colOff>462643</xdr:colOff>
      <xdr:row>11</xdr:row>
      <xdr:rowOff>18483</xdr:rowOff>
    </xdr:from>
    <xdr:to>
      <xdr:col>33</xdr:col>
      <xdr:colOff>272143</xdr:colOff>
      <xdr:row>11</xdr:row>
      <xdr:rowOff>18483</xdr:rowOff>
    </xdr:to>
    <xdr:cxnSp macro="">
      <xdr:nvCxnSpPr>
        <xdr:cNvPr id="102" name="Straight Arrow Connector 101">
          <a:extLst>
            <a:ext uri="{FF2B5EF4-FFF2-40B4-BE49-F238E27FC236}">
              <a16:creationId xmlns:a16="http://schemas.microsoft.com/office/drawing/2014/main" id="{00000000-0008-0000-0600-000017000000}"/>
            </a:ext>
          </a:extLst>
        </xdr:cNvPr>
        <xdr:cNvCxnSpPr/>
      </xdr:nvCxnSpPr>
      <xdr:spPr>
        <a:xfrm>
          <a:off x="19920857" y="1977912"/>
          <a:ext cx="394607"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401731</xdr:colOff>
      <xdr:row>20</xdr:row>
      <xdr:rowOff>187435</xdr:rowOff>
    </xdr:from>
    <xdr:to>
      <xdr:col>37</xdr:col>
      <xdr:colOff>358588</xdr:colOff>
      <xdr:row>20</xdr:row>
      <xdr:rowOff>187435</xdr:rowOff>
    </xdr:to>
    <xdr:cxnSp macro="">
      <xdr:nvCxnSpPr>
        <xdr:cNvPr id="101" name="Straight Arrow Connector 100">
          <a:extLst>
            <a:ext uri="{FF2B5EF4-FFF2-40B4-BE49-F238E27FC236}">
              <a16:creationId xmlns:a16="http://schemas.microsoft.com/office/drawing/2014/main" id="{00000000-0008-0000-0600-000017000000}"/>
            </a:ext>
          </a:extLst>
        </xdr:cNvPr>
        <xdr:cNvCxnSpPr/>
      </xdr:nvCxnSpPr>
      <xdr:spPr>
        <a:xfrm>
          <a:off x="22541144" y="3873196"/>
          <a:ext cx="785118"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35369</xdr:colOff>
      <xdr:row>26</xdr:row>
      <xdr:rowOff>134471</xdr:rowOff>
    </xdr:from>
    <xdr:to>
      <xdr:col>38</xdr:col>
      <xdr:colOff>35369</xdr:colOff>
      <xdr:row>31</xdr:row>
      <xdr:rowOff>56030</xdr:rowOff>
    </xdr:to>
    <xdr:cxnSp macro="">
      <xdr:nvCxnSpPr>
        <xdr:cNvPr id="103" name="Straight Arrow Connector 102">
          <a:extLst>
            <a:ext uri="{FF2B5EF4-FFF2-40B4-BE49-F238E27FC236}">
              <a16:creationId xmlns:a16="http://schemas.microsoft.com/office/drawing/2014/main" id="{00000000-0008-0000-0600-000016000000}"/>
            </a:ext>
          </a:extLst>
        </xdr:cNvPr>
        <xdr:cNvCxnSpPr/>
      </xdr:nvCxnSpPr>
      <xdr:spPr>
        <a:xfrm>
          <a:off x="23679781" y="4964206"/>
          <a:ext cx="0" cy="874059"/>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44823</xdr:colOff>
      <xdr:row>31</xdr:row>
      <xdr:rowOff>40446</xdr:rowOff>
    </xdr:from>
    <xdr:to>
      <xdr:col>41</xdr:col>
      <xdr:colOff>13607</xdr:colOff>
      <xdr:row>31</xdr:row>
      <xdr:rowOff>40446</xdr:rowOff>
    </xdr:to>
    <xdr:cxnSp macro="">
      <xdr:nvCxnSpPr>
        <xdr:cNvPr id="104" name="Straight Arrow Connector 103">
          <a:extLst>
            <a:ext uri="{FF2B5EF4-FFF2-40B4-BE49-F238E27FC236}">
              <a16:creationId xmlns:a16="http://schemas.microsoft.com/office/drawing/2014/main" id="{00000000-0008-0000-0600-000017000000}"/>
            </a:ext>
          </a:extLst>
        </xdr:cNvPr>
        <xdr:cNvCxnSpPr/>
      </xdr:nvCxnSpPr>
      <xdr:spPr>
        <a:xfrm>
          <a:off x="23689235" y="5822681"/>
          <a:ext cx="1716901"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518108</xdr:colOff>
      <xdr:row>19</xdr:row>
      <xdr:rowOff>114259</xdr:rowOff>
    </xdr:from>
    <xdr:to>
      <xdr:col>38</xdr:col>
      <xdr:colOff>466165</xdr:colOff>
      <xdr:row>22</xdr:row>
      <xdr:rowOff>70170</xdr:rowOff>
    </xdr:to>
    <xdr:pic>
      <xdr:nvPicPr>
        <xdr:cNvPr id="105" name="Picture 10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flipH="1">
          <a:off x="23485782" y="3609520"/>
          <a:ext cx="527840" cy="527411"/>
        </a:xfrm>
        <a:prstGeom prst="rect">
          <a:avLst/>
        </a:prstGeom>
      </xdr:spPr>
    </xdr:pic>
    <xdr:clientData/>
  </xdr:twoCellAnchor>
  <xdr:twoCellAnchor>
    <xdr:from>
      <xdr:col>39</xdr:col>
      <xdr:colOff>373673</xdr:colOff>
      <xdr:row>24</xdr:row>
      <xdr:rowOff>20035</xdr:rowOff>
    </xdr:from>
    <xdr:to>
      <xdr:col>41</xdr:col>
      <xdr:colOff>16329</xdr:colOff>
      <xdr:row>24</xdr:row>
      <xdr:rowOff>20035</xdr:rowOff>
    </xdr:to>
    <xdr:cxnSp macro="">
      <xdr:nvCxnSpPr>
        <xdr:cNvPr id="108" name="Straight Arrow Connector 107">
          <a:extLst>
            <a:ext uri="{FF2B5EF4-FFF2-40B4-BE49-F238E27FC236}">
              <a16:creationId xmlns:a16="http://schemas.microsoft.com/office/drawing/2014/main" id="{00000000-0008-0000-0600-000017000000}"/>
            </a:ext>
          </a:extLst>
        </xdr:cNvPr>
        <xdr:cNvCxnSpPr/>
      </xdr:nvCxnSpPr>
      <xdr:spPr>
        <a:xfrm>
          <a:off x="24479250" y="4467477"/>
          <a:ext cx="800310"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608832</xdr:colOff>
      <xdr:row>19</xdr:row>
      <xdr:rowOff>26815</xdr:rowOff>
    </xdr:from>
    <xdr:to>
      <xdr:col>37</xdr:col>
      <xdr:colOff>58616</xdr:colOff>
      <xdr:row>20</xdr:row>
      <xdr:rowOff>113982</xdr:rowOff>
    </xdr:to>
    <xdr:pic>
      <xdr:nvPicPr>
        <xdr:cNvPr id="109" name="Picture 108"/>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22728813" y="3521757"/>
          <a:ext cx="277726" cy="277667"/>
        </a:xfrm>
        <a:prstGeom prst="rect">
          <a:avLst/>
        </a:prstGeom>
      </xdr:spPr>
    </xdr:pic>
    <xdr:clientData/>
  </xdr:twoCellAnchor>
  <xdr:twoCellAnchor editAs="oneCell">
    <xdr:from>
      <xdr:col>42</xdr:col>
      <xdr:colOff>40822</xdr:colOff>
      <xdr:row>19</xdr:row>
      <xdr:rowOff>149677</xdr:rowOff>
    </xdr:from>
    <xdr:to>
      <xdr:col>42</xdr:col>
      <xdr:colOff>568234</xdr:colOff>
      <xdr:row>22</xdr:row>
      <xdr:rowOff>105589</xdr:rowOff>
    </xdr:to>
    <xdr:pic>
      <xdr:nvPicPr>
        <xdr:cNvPr id="110" name="Picture 10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084893" y="3646713"/>
          <a:ext cx="527412" cy="527412"/>
        </a:xfrm>
        <a:prstGeom prst="rect">
          <a:avLst/>
        </a:prstGeom>
      </xdr:spPr>
    </xdr:pic>
    <xdr:clientData/>
  </xdr:twoCellAnchor>
  <xdr:twoCellAnchor editAs="oneCell">
    <xdr:from>
      <xdr:col>42</xdr:col>
      <xdr:colOff>13606</xdr:colOff>
      <xdr:row>27</xdr:row>
      <xdr:rowOff>0</xdr:rowOff>
    </xdr:from>
    <xdr:to>
      <xdr:col>42</xdr:col>
      <xdr:colOff>513803</xdr:colOff>
      <xdr:row>29</xdr:row>
      <xdr:rowOff>119197</xdr:rowOff>
    </xdr:to>
    <xdr:pic>
      <xdr:nvPicPr>
        <xdr:cNvPr id="111" name="Picture 1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057677" y="5021036"/>
          <a:ext cx="500197" cy="500197"/>
        </a:xfrm>
        <a:prstGeom prst="rect">
          <a:avLst/>
        </a:prstGeom>
      </xdr:spPr>
    </xdr:pic>
    <xdr:clientData/>
  </xdr:twoCellAnchor>
  <xdr:twoCellAnchor>
    <xdr:from>
      <xdr:col>31</xdr:col>
      <xdr:colOff>13361</xdr:colOff>
      <xdr:row>9</xdr:row>
      <xdr:rowOff>72911</xdr:rowOff>
    </xdr:from>
    <xdr:to>
      <xdr:col>32</xdr:col>
      <xdr:colOff>285750</xdr:colOff>
      <xdr:row>9</xdr:row>
      <xdr:rowOff>72911</xdr:rowOff>
    </xdr:to>
    <xdr:cxnSp macro="">
      <xdr:nvCxnSpPr>
        <xdr:cNvPr id="112" name="Straight Arrow Connector 111">
          <a:extLst>
            <a:ext uri="{FF2B5EF4-FFF2-40B4-BE49-F238E27FC236}">
              <a16:creationId xmlns:a16="http://schemas.microsoft.com/office/drawing/2014/main" id="{00000000-0008-0000-0600-000017000000}"/>
            </a:ext>
          </a:extLst>
        </xdr:cNvPr>
        <xdr:cNvCxnSpPr/>
      </xdr:nvCxnSpPr>
      <xdr:spPr>
        <a:xfrm>
          <a:off x="18927290" y="1596911"/>
          <a:ext cx="857496"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282699</xdr:colOff>
      <xdr:row>9</xdr:row>
      <xdr:rowOff>57150</xdr:rowOff>
    </xdr:from>
    <xdr:to>
      <xdr:col>32</xdr:col>
      <xdr:colOff>282699</xdr:colOff>
      <xdr:row>39</xdr:row>
      <xdr:rowOff>149679</xdr:rowOff>
    </xdr:to>
    <xdr:cxnSp macro="">
      <xdr:nvCxnSpPr>
        <xdr:cNvPr id="115" name="Straight Arrow Connector 114">
          <a:extLst>
            <a:ext uri="{FF2B5EF4-FFF2-40B4-BE49-F238E27FC236}">
              <a16:creationId xmlns:a16="http://schemas.microsoft.com/office/drawing/2014/main" id="{00000000-0008-0000-0600-000016000000}"/>
            </a:ext>
          </a:extLst>
        </xdr:cNvPr>
        <xdr:cNvCxnSpPr/>
      </xdr:nvCxnSpPr>
      <xdr:spPr>
        <a:xfrm>
          <a:off x="19781735" y="1581150"/>
          <a:ext cx="0" cy="5821136"/>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338016</xdr:colOff>
      <xdr:row>44</xdr:row>
      <xdr:rowOff>47625</xdr:rowOff>
    </xdr:from>
    <xdr:to>
      <xdr:col>25</xdr:col>
      <xdr:colOff>167116</xdr:colOff>
      <xdr:row>47</xdr:row>
      <xdr:rowOff>87003</xdr:rowOff>
    </xdr:to>
    <xdr:pic>
      <xdr:nvPicPr>
        <xdr:cNvPr id="126" name="Picture 125"/>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val="0"/>
            </a:ext>
          </a:extLst>
        </a:blip>
        <a:stretch>
          <a:fillRect/>
        </a:stretch>
      </xdr:blipFill>
      <xdr:spPr>
        <a:xfrm>
          <a:off x="14173079" y="8239125"/>
          <a:ext cx="614911" cy="610878"/>
        </a:xfrm>
        <a:prstGeom prst="rect">
          <a:avLst/>
        </a:prstGeom>
      </xdr:spPr>
    </xdr:pic>
    <xdr:clientData/>
  </xdr:twoCellAnchor>
  <xdr:twoCellAnchor editAs="oneCell">
    <xdr:from>
      <xdr:col>33</xdr:col>
      <xdr:colOff>353785</xdr:colOff>
      <xdr:row>9</xdr:row>
      <xdr:rowOff>128050</xdr:rowOff>
    </xdr:from>
    <xdr:to>
      <xdr:col>34</xdr:col>
      <xdr:colOff>68035</xdr:colOff>
      <xdr:row>12</xdr:row>
      <xdr:rowOff>54582</xdr:rowOff>
    </xdr:to>
    <xdr:pic>
      <xdr:nvPicPr>
        <xdr:cNvPr id="149" name="Picture 14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397106" y="1706479"/>
          <a:ext cx="503465" cy="498032"/>
        </a:xfrm>
        <a:prstGeom prst="rect">
          <a:avLst/>
        </a:prstGeom>
      </xdr:spPr>
    </xdr:pic>
    <xdr:clientData/>
  </xdr:twoCellAnchor>
  <xdr:twoCellAnchor>
    <xdr:from>
      <xdr:col>34</xdr:col>
      <xdr:colOff>125185</xdr:colOff>
      <xdr:row>10</xdr:row>
      <xdr:rowOff>187213</xdr:rowOff>
    </xdr:from>
    <xdr:to>
      <xdr:col>35</xdr:col>
      <xdr:colOff>2721</xdr:colOff>
      <xdr:row>10</xdr:row>
      <xdr:rowOff>187213</xdr:rowOff>
    </xdr:to>
    <xdr:cxnSp macro="">
      <xdr:nvCxnSpPr>
        <xdr:cNvPr id="171" name="Straight Arrow Connector 170">
          <a:extLst>
            <a:ext uri="{FF2B5EF4-FFF2-40B4-BE49-F238E27FC236}">
              <a16:creationId xmlns:a16="http://schemas.microsoft.com/office/drawing/2014/main" id="{00000000-0008-0000-0600-000017000000}"/>
            </a:ext>
          </a:extLst>
        </xdr:cNvPr>
        <xdr:cNvCxnSpPr/>
      </xdr:nvCxnSpPr>
      <xdr:spPr>
        <a:xfrm>
          <a:off x="20957721" y="1956142"/>
          <a:ext cx="462643"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391556</xdr:colOff>
      <xdr:row>18</xdr:row>
      <xdr:rowOff>0</xdr:rowOff>
    </xdr:from>
    <xdr:to>
      <xdr:col>36</xdr:col>
      <xdr:colOff>391556</xdr:colOff>
      <xdr:row>21</xdr:row>
      <xdr:rowOff>17522</xdr:rowOff>
    </xdr:to>
    <xdr:cxnSp macro="">
      <xdr:nvCxnSpPr>
        <xdr:cNvPr id="180" name="Straight Arrow Connector 179">
          <a:extLst>
            <a:ext uri="{FF2B5EF4-FFF2-40B4-BE49-F238E27FC236}">
              <a16:creationId xmlns:a16="http://schemas.microsoft.com/office/drawing/2014/main" id="{00000000-0008-0000-0600-000016000000}"/>
            </a:ext>
          </a:extLst>
        </xdr:cNvPr>
        <xdr:cNvCxnSpPr/>
      </xdr:nvCxnSpPr>
      <xdr:spPr>
        <a:xfrm>
          <a:off x="22530969" y="3304761"/>
          <a:ext cx="0" cy="589022"/>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530678</xdr:colOff>
      <xdr:row>35</xdr:row>
      <xdr:rowOff>68036</xdr:rowOff>
    </xdr:from>
    <xdr:to>
      <xdr:col>42</xdr:col>
      <xdr:colOff>547516</xdr:colOff>
      <xdr:row>38</xdr:row>
      <xdr:rowOff>91984</xdr:rowOff>
    </xdr:to>
    <xdr:pic>
      <xdr:nvPicPr>
        <xdr:cNvPr id="186" name="Picture 18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030464" y="6558643"/>
          <a:ext cx="601945" cy="595448"/>
        </a:xfrm>
        <a:prstGeom prst="rect">
          <a:avLst/>
        </a:prstGeom>
      </xdr:spPr>
    </xdr:pic>
    <xdr:clientData/>
  </xdr:twoCellAnchor>
  <xdr:twoCellAnchor>
    <xdr:from>
      <xdr:col>32</xdr:col>
      <xdr:colOff>455634</xdr:colOff>
      <xdr:row>8</xdr:row>
      <xdr:rowOff>112059</xdr:rowOff>
    </xdr:from>
    <xdr:to>
      <xdr:col>32</xdr:col>
      <xdr:colOff>455634</xdr:colOff>
      <xdr:row>49</xdr:row>
      <xdr:rowOff>34637</xdr:rowOff>
    </xdr:to>
    <xdr:cxnSp macro="">
      <xdr:nvCxnSpPr>
        <xdr:cNvPr id="188" name="Straight Arrow Connector 187">
          <a:extLst>
            <a:ext uri="{FF2B5EF4-FFF2-40B4-BE49-F238E27FC236}">
              <a16:creationId xmlns:a16="http://schemas.microsoft.com/office/drawing/2014/main" id="{00000000-0008-0000-0600-000016000000}"/>
            </a:ext>
          </a:extLst>
        </xdr:cNvPr>
        <xdr:cNvCxnSpPr/>
      </xdr:nvCxnSpPr>
      <xdr:spPr>
        <a:xfrm>
          <a:off x="20025179" y="1445559"/>
          <a:ext cx="0" cy="7750396"/>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204622</xdr:colOff>
      <xdr:row>8</xdr:row>
      <xdr:rowOff>12690</xdr:rowOff>
    </xdr:from>
    <xdr:to>
      <xdr:col>17</xdr:col>
      <xdr:colOff>204622</xdr:colOff>
      <xdr:row>49</xdr:row>
      <xdr:rowOff>17318</xdr:rowOff>
    </xdr:to>
    <xdr:cxnSp macro="">
      <xdr:nvCxnSpPr>
        <xdr:cNvPr id="194" name="Straight Arrow Connector 193">
          <a:extLst>
            <a:ext uri="{FF2B5EF4-FFF2-40B4-BE49-F238E27FC236}">
              <a16:creationId xmlns:a16="http://schemas.microsoft.com/office/drawing/2014/main" id="{00000000-0008-0000-0600-000016000000}"/>
            </a:ext>
          </a:extLst>
        </xdr:cNvPr>
        <xdr:cNvCxnSpPr/>
      </xdr:nvCxnSpPr>
      <xdr:spPr>
        <a:xfrm>
          <a:off x="9764258" y="1346190"/>
          <a:ext cx="0" cy="7832446"/>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346363</xdr:colOff>
      <xdr:row>46</xdr:row>
      <xdr:rowOff>27214</xdr:rowOff>
    </xdr:from>
    <xdr:to>
      <xdr:col>20</xdr:col>
      <xdr:colOff>214745</xdr:colOff>
      <xdr:row>48</xdr:row>
      <xdr:rowOff>103414</xdr:rowOff>
    </xdr:to>
    <xdr:pic>
      <xdr:nvPicPr>
        <xdr:cNvPr id="207" name="Picture 206"/>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val="0"/>
            </a:ext>
          </a:extLst>
        </a:blip>
        <a:stretch>
          <a:fillRect/>
        </a:stretch>
      </xdr:blipFill>
      <xdr:spPr>
        <a:xfrm>
          <a:off x="11027970" y="8613321"/>
          <a:ext cx="453489" cy="457200"/>
        </a:xfrm>
        <a:prstGeom prst="rect">
          <a:avLst/>
        </a:prstGeom>
      </xdr:spPr>
    </xdr:pic>
    <xdr:clientData/>
  </xdr:twoCellAnchor>
  <xdr:twoCellAnchor>
    <xdr:from>
      <xdr:col>28</xdr:col>
      <xdr:colOff>10391</xdr:colOff>
      <xdr:row>49</xdr:row>
      <xdr:rowOff>19632</xdr:rowOff>
    </xdr:from>
    <xdr:to>
      <xdr:col>32</xdr:col>
      <xdr:colOff>450273</xdr:colOff>
      <xdr:row>49</xdr:row>
      <xdr:rowOff>19632</xdr:rowOff>
    </xdr:to>
    <xdr:cxnSp macro="">
      <xdr:nvCxnSpPr>
        <xdr:cNvPr id="209" name="Straight Arrow Connector 208">
          <a:extLst>
            <a:ext uri="{FF2B5EF4-FFF2-40B4-BE49-F238E27FC236}">
              <a16:creationId xmlns:a16="http://schemas.microsoft.com/office/drawing/2014/main" id="{00000000-0008-0000-0600-00002E000000}"/>
            </a:ext>
          </a:extLst>
        </xdr:cNvPr>
        <xdr:cNvCxnSpPr/>
      </xdr:nvCxnSpPr>
      <xdr:spPr>
        <a:xfrm>
          <a:off x="17086118" y="9180950"/>
          <a:ext cx="2933700" cy="0"/>
        </a:xfrm>
        <a:prstGeom prst="straightConnector1">
          <a:avLst/>
        </a:prstGeom>
        <a:ln w="38100">
          <a:solidFill>
            <a:schemeClr val="accent6">
              <a:lumMod val="7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207819</xdr:colOff>
      <xdr:row>49</xdr:row>
      <xdr:rowOff>20956</xdr:rowOff>
    </xdr:from>
    <xdr:to>
      <xdr:col>21</xdr:col>
      <xdr:colOff>582634</xdr:colOff>
      <xdr:row>49</xdr:row>
      <xdr:rowOff>20956</xdr:rowOff>
    </xdr:to>
    <xdr:cxnSp macro="">
      <xdr:nvCxnSpPr>
        <xdr:cNvPr id="215" name="Straight Arrow Connector 214">
          <a:extLst>
            <a:ext uri="{FF2B5EF4-FFF2-40B4-BE49-F238E27FC236}">
              <a16:creationId xmlns:a16="http://schemas.microsoft.com/office/drawing/2014/main" id="{00000000-0008-0000-0600-000017000000}"/>
            </a:ext>
          </a:extLst>
        </xdr:cNvPr>
        <xdr:cNvCxnSpPr/>
      </xdr:nvCxnSpPr>
      <xdr:spPr>
        <a:xfrm>
          <a:off x="9767455" y="9182274"/>
          <a:ext cx="2816679"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462267</xdr:colOff>
      <xdr:row>53</xdr:row>
      <xdr:rowOff>177267</xdr:rowOff>
    </xdr:from>
    <xdr:to>
      <xdr:col>26</xdr:col>
      <xdr:colOff>415637</xdr:colOff>
      <xdr:row>67</xdr:row>
      <xdr:rowOff>89067</xdr:rowOff>
    </xdr:to>
    <xdr:grpSp>
      <xdr:nvGrpSpPr>
        <xdr:cNvPr id="245" name="Group 244"/>
        <xdr:cNvGrpSpPr/>
      </xdr:nvGrpSpPr>
      <xdr:grpSpPr>
        <a:xfrm rot="7200000">
          <a:off x="13375420" y="10258584"/>
          <a:ext cx="2578800" cy="2362635"/>
          <a:chOff x="14001750" y="11375572"/>
          <a:chExt cx="2578800" cy="2361834"/>
        </a:xfrm>
      </xdr:grpSpPr>
      <xdr:pic>
        <xdr:nvPicPr>
          <xdr:cNvPr id="233" name="Picture 232"/>
          <xdr:cNvPicPr>
            <a:picLocks noChangeAspect="1"/>
          </xdr:cNvPicPr>
        </xdr:nvPicPr>
        <xdr:blipFill>
          <a:blip xmlns:r="http://schemas.openxmlformats.org/officeDocument/2006/relationships" r:embed="rId14"/>
          <a:stretch>
            <a:fillRect/>
          </a:stretch>
        </xdr:blipFill>
        <xdr:spPr>
          <a:xfrm rot="20611499">
            <a:off x="16186901" y="12277347"/>
            <a:ext cx="393649" cy="521703"/>
          </a:xfrm>
          <a:prstGeom prst="rect">
            <a:avLst/>
          </a:prstGeom>
        </xdr:spPr>
      </xdr:pic>
      <xdr:pic>
        <xdr:nvPicPr>
          <xdr:cNvPr id="234" name="Picture 233"/>
          <xdr:cNvPicPr>
            <a:picLocks noChangeAspect="1"/>
          </xdr:cNvPicPr>
        </xdr:nvPicPr>
        <xdr:blipFill>
          <a:blip xmlns:r="http://schemas.openxmlformats.org/officeDocument/2006/relationships" r:embed="rId14"/>
          <a:stretch>
            <a:fillRect/>
          </a:stretch>
        </xdr:blipFill>
        <xdr:spPr>
          <a:xfrm rot="17223842">
            <a:off x="15712537" y="11409949"/>
            <a:ext cx="393649" cy="521703"/>
          </a:xfrm>
          <a:prstGeom prst="rect">
            <a:avLst/>
          </a:prstGeom>
        </xdr:spPr>
      </xdr:pic>
      <xdr:pic>
        <xdr:nvPicPr>
          <xdr:cNvPr id="235" name="Picture 234"/>
          <xdr:cNvPicPr>
            <a:picLocks noChangeAspect="1"/>
          </xdr:cNvPicPr>
        </xdr:nvPicPr>
        <xdr:blipFill>
          <a:blip xmlns:r="http://schemas.openxmlformats.org/officeDocument/2006/relationships" r:embed="rId14"/>
          <a:stretch>
            <a:fillRect/>
          </a:stretch>
        </xdr:blipFill>
        <xdr:spPr>
          <a:xfrm rot="9890820">
            <a:off x="14001750" y="12326324"/>
            <a:ext cx="393649" cy="521703"/>
          </a:xfrm>
          <a:prstGeom prst="rect">
            <a:avLst/>
          </a:prstGeom>
        </xdr:spPr>
      </xdr:pic>
      <xdr:pic>
        <xdr:nvPicPr>
          <xdr:cNvPr id="236" name="Picture 235"/>
          <xdr:cNvPicPr>
            <a:picLocks noChangeAspect="1"/>
          </xdr:cNvPicPr>
        </xdr:nvPicPr>
        <xdr:blipFill>
          <a:blip xmlns:r="http://schemas.openxmlformats.org/officeDocument/2006/relationships" r:embed="rId14"/>
          <a:stretch>
            <a:fillRect/>
          </a:stretch>
        </xdr:blipFill>
        <xdr:spPr>
          <a:xfrm rot="6033419">
            <a:off x="14555415" y="13170989"/>
            <a:ext cx="393649" cy="521703"/>
          </a:xfrm>
          <a:prstGeom prst="rect">
            <a:avLst/>
          </a:prstGeom>
        </xdr:spPr>
      </xdr:pic>
      <xdr:pic>
        <xdr:nvPicPr>
          <xdr:cNvPr id="237" name="Picture 236"/>
          <xdr:cNvPicPr>
            <a:picLocks noChangeAspect="1"/>
          </xdr:cNvPicPr>
        </xdr:nvPicPr>
        <xdr:blipFill>
          <a:blip xmlns:r="http://schemas.openxmlformats.org/officeDocument/2006/relationships" r:embed="rId14"/>
          <a:stretch>
            <a:fillRect/>
          </a:stretch>
        </xdr:blipFill>
        <xdr:spPr>
          <a:xfrm rot="2909305">
            <a:off x="15655862" y="13158312"/>
            <a:ext cx="393649" cy="521703"/>
          </a:xfrm>
          <a:prstGeom prst="rect">
            <a:avLst/>
          </a:prstGeom>
        </xdr:spPr>
      </xdr:pic>
      <xdr:pic>
        <xdr:nvPicPr>
          <xdr:cNvPr id="238" name="Picture 237"/>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val="0"/>
              </a:ext>
            </a:extLst>
          </a:blip>
          <a:stretch>
            <a:fillRect/>
          </a:stretch>
        </xdr:blipFill>
        <xdr:spPr>
          <a:xfrm>
            <a:off x="15036519" y="13280206"/>
            <a:ext cx="457200" cy="457200"/>
          </a:xfrm>
          <a:prstGeom prst="rect">
            <a:avLst/>
          </a:prstGeom>
        </xdr:spPr>
      </xdr:pic>
      <xdr:pic>
        <xdr:nvPicPr>
          <xdr:cNvPr id="239" name="Picture 238"/>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val="0"/>
              </a:ext>
            </a:extLst>
          </a:blip>
          <a:stretch>
            <a:fillRect/>
          </a:stretch>
        </xdr:blipFill>
        <xdr:spPr>
          <a:xfrm>
            <a:off x="16019319" y="12833635"/>
            <a:ext cx="458863" cy="457200"/>
          </a:xfrm>
          <a:prstGeom prst="rect">
            <a:avLst/>
          </a:prstGeom>
        </xdr:spPr>
      </xdr:pic>
      <xdr:pic>
        <xdr:nvPicPr>
          <xdr:cNvPr id="240" name="Picture 239"/>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14084707" y="12833635"/>
            <a:ext cx="462188" cy="457200"/>
          </a:xfrm>
          <a:prstGeom prst="rect">
            <a:avLst/>
          </a:prstGeom>
        </xdr:spPr>
      </xdr:pic>
      <xdr:pic>
        <xdr:nvPicPr>
          <xdr:cNvPr id="241" name="Picture 240"/>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val="0"/>
              </a:ext>
            </a:extLst>
          </a:blip>
          <a:stretch>
            <a:fillRect/>
          </a:stretch>
        </xdr:blipFill>
        <xdr:spPr>
          <a:xfrm>
            <a:off x="14084974" y="11831215"/>
            <a:ext cx="462188" cy="457200"/>
          </a:xfrm>
          <a:prstGeom prst="rect">
            <a:avLst/>
          </a:prstGeom>
        </xdr:spPr>
      </xdr:pic>
      <xdr:pic>
        <xdr:nvPicPr>
          <xdr:cNvPr id="242" name="Picture 241"/>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val="0"/>
              </a:ext>
            </a:extLst>
          </a:blip>
          <a:stretch>
            <a:fillRect/>
          </a:stretch>
        </xdr:blipFill>
        <xdr:spPr>
          <a:xfrm>
            <a:off x="15103667" y="11375572"/>
            <a:ext cx="462188" cy="457200"/>
          </a:xfrm>
          <a:prstGeom prst="rect">
            <a:avLst/>
          </a:prstGeom>
        </xdr:spPr>
      </xdr:pic>
      <xdr:pic>
        <xdr:nvPicPr>
          <xdr:cNvPr id="243" name="Picture 242"/>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val="0"/>
              </a:ext>
            </a:extLst>
          </a:blip>
          <a:stretch>
            <a:fillRect/>
          </a:stretch>
        </xdr:blipFill>
        <xdr:spPr>
          <a:xfrm>
            <a:off x="16019319" y="11884138"/>
            <a:ext cx="462188" cy="457200"/>
          </a:xfrm>
          <a:prstGeom prst="rect">
            <a:avLst/>
          </a:prstGeom>
        </xdr:spPr>
      </xdr:pic>
      <xdr:pic>
        <xdr:nvPicPr>
          <xdr:cNvPr id="244" name="Picture 243"/>
          <xdr:cNvPicPr>
            <a:picLocks noChangeAspect="1"/>
          </xdr:cNvPicPr>
        </xdr:nvPicPr>
        <xdr:blipFill>
          <a:blip xmlns:r="http://schemas.openxmlformats.org/officeDocument/2006/relationships" r:embed="rId14"/>
          <a:stretch>
            <a:fillRect/>
          </a:stretch>
        </xdr:blipFill>
        <xdr:spPr>
          <a:xfrm rot="13242932">
            <a:off x="14501514" y="11454001"/>
            <a:ext cx="393649" cy="521703"/>
          </a:xfrm>
          <a:prstGeom prst="rect">
            <a:avLst/>
          </a:prstGeom>
        </xdr:spPr>
      </xdr:pic>
    </xdr:grpSp>
    <xdr:clientData/>
  </xdr:twoCellAnchor>
  <xdr:twoCellAnchor>
    <xdr:from>
      <xdr:col>26</xdr:col>
      <xdr:colOff>557740</xdr:colOff>
      <xdr:row>54</xdr:row>
      <xdr:rowOff>87350</xdr:rowOff>
    </xdr:from>
    <xdr:to>
      <xdr:col>26</xdr:col>
      <xdr:colOff>780917</xdr:colOff>
      <xdr:row>67</xdr:row>
      <xdr:rowOff>30202</xdr:rowOff>
    </xdr:to>
    <xdr:sp macro="" textlink="">
      <xdr:nvSpPr>
        <xdr:cNvPr id="250" name="Right Brace 249">
          <a:extLst>
            <a:ext uri="{FF2B5EF4-FFF2-40B4-BE49-F238E27FC236}">
              <a16:creationId xmlns:a16="http://schemas.microsoft.com/office/drawing/2014/main" id="{00000000-0008-0000-0600-000030000000}"/>
            </a:ext>
          </a:extLst>
        </xdr:cNvPr>
        <xdr:cNvSpPr/>
      </xdr:nvSpPr>
      <xdr:spPr>
        <a:xfrm>
          <a:off x="16069883" y="10197457"/>
          <a:ext cx="223177" cy="2419352"/>
        </a:xfrm>
        <a:prstGeom prst="rightBrace">
          <a:avLst>
            <a:gd name="adj1" fmla="val 31191"/>
            <a:gd name="adj2" fmla="val 47948"/>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23</xdr:col>
      <xdr:colOff>160835</xdr:colOff>
      <xdr:row>54</xdr:row>
      <xdr:rowOff>140605</xdr:rowOff>
    </xdr:from>
    <xdr:to>
      <xdr:col>23</xdr:col>
      <xdr:colOff>384012</xdr:colOff>
      <xdr:row>67</xdr:row>
      <xdr:rowOff>83457</xdr:rowOff>
    </xdr:to>
    <xdr:sp macro="" textlink="">
      <xdr:nvSpPr>
        <xdr:cNvPr id="251" name="Right Brace 250">
          <a:extLst>
            <a:ext uri="{FF2B5EF4-FFF2-40B4-BE49-F238E27FC236}">
              <a16:creationId xmlns:a16="http://schemas.microsoft.com/office/drawing/2014/main" id="{00000000-0008-0000-0600-000030000000}"/>
            </a:ext>
          </a:extLst>
        </xdr:cNvPr>
        <xdr:cNvSpPr/>
      </xdr:nvSpPr>
      <xdr:spPr>
        <a:xfrm flipH="1">
          <a:off x="13264514" y="10250712"/>
          <a:ext cx="223177" cy="2419352"/>
        </a:xfrm>
        <a:prstGeom prst="rightBrace">
          <a:avLst>
            <a:gd name="adj1" fmla="val 31191"/>
            <a:gd name="adj2" fmla="val 47948"/>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24</xdr:col>
      <xdr:colOff>734786</xdr:colOff>
      <xdr:row>51</xdr:row>
      <xdr:rowOff>27214</xdr:rowOff>
    </xdr:from>
    <xdr:to>
      <xdr:col>24</xdr:col>
      <xdr:colOff>734786</xdr:colOff>
      <xdr:row>53</xdr:row>
      <xdr:rowOff>27214</xdr:rowOff>
    </xdr:to>
    <xdr:cxnSp macro="">
      <xdr:nvCxnSpPr>
        <xdr:cNvPr id="253" name="Straight Arrow Connector 252">
          <a:extLst>
            <a:ext uri="{FF2B5EF4-FFF2-40B4-BE49-F238E27FC236}">
              <a16:creationId xmlns:a16="http://schemas.microsoft.com/office/drawing/2014/main" id="{00000000-0008-0000-0600-00000C000000}"/>
            </a:ext>
          </a:extLst>
        </xdr:cNvPr>
        <xdr:cNvCxnSpPr/>
      </xdr:nvCxnSpPr>
      <xdr:spPr>
        <a:xfrm>
          <a:off x="14872607" y="9565821"/>
          <a:ext cx="0" cy="38100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615044</xdr:colOff>
      <xdr:row>51</xdr:row>
      <xdr:rowOff>16329</xdr:rowOff>
    </xdr:from>
    <xdr:to>
      <xdr:col>24</xdr:col>
      <xdr:colOff>615044</xdr:colOff>
      <xdr:row>53</xdr:row>
      <xdr:rowOff>16329</xdr:rowOff>
    </xdr:to>
    <xdr:cxnSp macro="">
      <xdr:nvCxnSpPr>
        <xdr:cNvPr id="256" name="Straight Arrow Connector 255">
          <a:extLst>
            <a:ext uri="{FF2B5EF4-FFF2-40B4-BE49-F238E27FC236}">
              <a16:creationId xmlns:a16="http://schemas.microsoft.com/office/drawing/2014/main" id="{00000000-0008-0000-0600-00000C000000}"/>
            </a:ext>
          </a:extLst>
        </xdr:cNvPr>
        <xdr:cNvCxnSpPr/>
      </xdr:nvCxnSpPr>
      <xdr:spPr>
        <a:xfrm>
          <a:off x="14752865" y="9554936"/>
          <a:ext cx="0" cy="381000"/>
        </a:xfrm>
        <a:prstGeom prst="straightConnector1">
          <a:avLst/>
        </a:prstGeom>
        <a:ln w="38100">
          <a:solidFill>
            <a:schemeClr val="accent6">
              <a:lumMod val="7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122465</xdr:colOff>
      <xdr:row>46</xdr:row>
      <xdr:rowOff>13607</xdr:rowOff>
    </xdr:from>
    <xdr:to>
      <xdr:col>30</xdr:col>
      <xdr:colOff>584653</xdr:colOff>
      <xdr:row>48</xdr:row>
      <xdr:rowOff>89807</xdr:rowOff>
    </xdr:to>
    <xdr:pic>
      <xdr:nvPicPr>
        <xdr:cNvPr id="257" name="Picture 256"/>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18301608" y="8599714"/>
          <a:ext cx="462188" cy="457200"/>
        </a:xfrm>
        <a:prstGeom prst="rect">
          <a:avLst/>
        </a:prstGeom>
      </xdr:spPr>
    </xdr:pic>
    <xdr:clientData/>
  </xdr:twoCellAnchor>
  <xdr:twoCellAnchor editAs="oneCell">
    <xdr:from>
      <xdr:col>42</xdr:col>
      <xdr:colOff>68036</xdr:colOff>
      <xdr:row>11</xdr:row>
      <xdr:rowOff>122465</xdr:rowOff>
    </xdr:from>
    <xdr:to>
      <xdr:col>42</xdr:col>
      <xdr:colOff>568234</xdr:colOff>
      <xdr:row>14</xdr:row>
      <xdr:rowOff>37556</xdr:rowOff>
    </xdr:to>
    <xdr:pic>
      <xdr:nvPicPr>
        <xdr:cNvPr id="66" name="Picture 6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6112107" y="2081894"/>
          <a:ext cx="500198" cy="500198"/>
        </a:xfrm>
        <a:prstGeom prst="rect">
          <a:avLst/>
        </a:prstGeom>
      </xdr:spPr>
    </xdr:pic>
    <xdr:clientData/>
  </xdr:twoCellAnchor>
  <xdr:twoCellAnchor>
    <xdr:from>
      <xdr:col>36</xdr:col>
      <xdr:colOff>819978</xdr:colOff>
      <xdr:row>15</xdr:row>
      <xdr:rowOff>179239</xdr:rowOff>
    </xdr:from>
    <xdr:to>
      <xdr:col>41</xdr:col>
      <xdr:colOff>16329</xdr:colOff>
      <xdr:row>15</xdr:row>
      <xdr:rowOff>179239</xdr:rowOff>
    </xdr:to>
    <xdr:cxnSp macro="">
      <xdr:nvCxnSpPr>
        <xdr:cNvPr id="71" name="Straight Arrow Connector 70">
          <a:extLst>
            <a:ext uri="{FF2B5EF4-FFF2-40B4-BE49-F238E27FC236}">
              <a16:creationId xmlns:a16="http://schemas.microsoft.com/office/drawing/2014/main" id="{00000000-0008-0000-0600-000017000000}"/>
            </a:ext>
          </a:extLst>
        </xdr:cNvPr>
        <xdr:cNvCxnSpPr/>
      </xdr:nvCxnSpPr>
      <xdr:spPr>
        <a:xfrm>
          <a:off x="22959391" y="2912500"/>
          <a:ext cx="234374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367393</xdr:colOff>
      <xdr:row>13</xdr:row>
      <xdr:rowOff>0</xdr:rowOff>
    </xdr:from>
    <xdr:to>
      <xdr:col>36</xdr:col>
      <xdr:colOff>372717</xdr:colOff>
      <xdr:row>14</xdr:row>
      <xdr:rowOff>49696</xdr:rowOff>
    </xdr:to>
    <xdr:cxnSp macro="">
      <xdr:nvCxnSpPr>
        <xdr:cNvPr id="88" name="Straight Arrow Connector 87">
          <a:extLst>
            <a:ext uri="{FF2B5EF4-FFF2-40B4-BE49-F238E27FC236}">
              <a16:creationId xmlns:a16="http://schemas.microsoft.com/office/drawing/2014/main" id="{00000000-0008-0000-0600-00000C000000}"/>
            </a:ext>
          </a:extLst>
        </xdr:cNvPr>
        <xdr:cNvCxnSpPr/>
      </xdr:nvCxnSpPr>
      <xdr:spPr>
        <a:xfrm>
          <a:off x="22506806" y="2343978"/>
          <a:ext cx="5324" cy="248479"/>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104671</xdr:colOff>
      <xdr:row>10</xdr:row>
      <xdr:rowOff>146537</xdr:rowOff>
    </xdr:from>
    <xdr:to>
      <xdr:col>38</xdr:col>
      <xdr:colOff>454270</xdr:colOff>
      <xdr:row>12</xdr:row>
      <xdr:rowOff>131327</xdr:rowOff>
    </xdr:to>
    <xdr:pic>
      <xdr:nvPicPr>
        <xdr:cNvPr id="98" name="Picture 97"/>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val="0"/>
            </a:ext>
          </a:extLst>
        </a:blip>
        <a:stretch>
          <a:fillRect/>
        </a:stretch>
      </xdr:blipFill>
      <xdr:spPr>
        <a:xfrm>
          <a:off x="23631421" y="1919652"/>
          <a:ext cx="349599" cy="365790"/>
        </a:xfrm>
        <a:prstGeom prst="rect">
          <a:avLst/>
        </a:prstGeom>
      </xdr:spPr>
    </xdr:pic>
    <xdr:clientData/>
  </xdr:twoCellAnchor>
  <xdr:twoCellAnchor>
    <xdr:from>
      <xdr:col>38</xdr:col>
      <xdr:colOff>212322</xdr:colOff>
      <xdr:row>23</xdr:row>
      <xdr:rowOff>183029</xdr:rowOff>
    </xdr:from>
    <xdr:to>
      <xdr:col>39</xdr:col>
      <xdr:colOff>92542</xdr:colOff>
      <xdr:row>26</xdr:row>
      <xdr:rowOff>112059</xdr:rowOff>
    </xdr:to>
    <xdr:pic>
      <xdr:nvPicPr>
        <xdr:cNvPr id="179" name="Picture 178">
          <a:extLst>
            <a:ext uri="{FF2B5EF4-FFF2-40B4-BE49-F238E27FC236}">
              <a16:creationId xmlns:a16="http://schemas.microsoft.com/office/drawing/2014/main" id="{0CEAC210-D0F0-42B2-86A6-63C657034019}"/>
            </a:ext>
          </a:extLst>
        </xdr:cNvPr>
        <xdr:cNvPicPr>
          <a:picLocks noChangeAspect="1"/>
        </xdr:cNvPicPr>
      </xdr:nvPicPr>
      <xdr:blipFill rotWithShape="1">
        <a:blip xmlns:r="http://schemas.openxmlformats.org/officeDocument/2006/relationships" r:embed="rId21" cstate="hqprint">
          <a:extLst>
            <a:ext uri="{28A0092B-C50C-407E-A947-70E740481C1C}">
              <a14:useLocalDpi xmlns:a14="http://schemas.microsoft.com/office/drawing/2010/main" val="0"/>
            </a:ext>
          </a:extLst>
        </a:blip>
        <a:srcRect l="11368" t="10180" r="13055" b="14243"/>
        <a:stretch/>
      </xdr:blipFill>
      <xdr:spPr>
        <a:xfrm>
          <a:off x="23856734" y="4441264"/>
          <a:ext cx="462926" cy="500530"/>
        </a:xfrm>
        <a:prstGeom prst="rect">
          <a:avLst/>
        </a:prstGeom>
      </xdr:spPr>
    </xdr:pic>
    <xdr:clientData/>
  </xdr:twoCellAnchor>
  <xdr:twoCellAnchor>
    <xdr:from>
      <xdr:col>37</xdr:col>
      <xdr:colOff>378198</xdr:colOff>
      <xdr:row>23</xdr:row>
      <xdr:rowOff>183029</xdr:rowOff>
    </xdr:from>
    <xdr:to>
      <xdr:col>38</xdr:col>
      <xdr:colOff>258417</xdr:colOff>
      <xdr:row>26</xdr:row>
      <xdr:rowOff>112059</xdr:rowOff>
    </xdr:to>
    <xdr:pic>
      <xdr:nvPicPr>
        <xdr:cNvPr id="181" name="Picture 180">
          <a:extLst>
            <a:ext uri="{FF2B5EF4-FFF2-40B4-BE49-F238E27FC236}">
              <a16:creationId xmlns:a16="http://schemas.microsoft.com/office/drawing/2014/main" id="{8D1EDCA2-6265-435D-BBFD-5E72032DFB94}"/>
            </a:ext>
          </a:extLst>
        </xdr:cNvPr>
        <xdr:cNvPicPr>
          <a:picLocks noChangeAspect="1"/>
        </xdr:cNvPicPr>
      </xdr:nvPicPr>
      <xdr:blipFill rotWithShape="1">
        <a:blip xmlns:r="http://schemas.openxmlformats.org/officeDocument/2006/relationships" r:embed="rId22" cstate="hqprint">
          <a:extLst>
            <a:ext uri="{28A0092B-C50C-407E-A947-70E740481C1C}">
              <a14:useLocalDpi xmlns:a14="http://schemas.microsoft.com/office/drawing/2010/main" val="0"/>
            </a:ext>
          </a:extLst>
        </a:blip>
        <a:srcRect l="10531" t="11551" r="13894" b="12872"/>
        <a:stretch/>
      </xdr:blipFill>
      <xdr:spPr>
        <a:xfrm>
          <a:off x="23439904" y="4441264"/>
          <a:ext cx="462925" cy="500530"/>
        </a:xfrm>
        <a:prstGeom prst="rect">
          <a:avLst/>
        </a:prstGeom>
      </xdr:spPr>
    </xdr:pic>
    <xdr:clientData/>
  </xdr:twoCellAnchor>
  <xdr:twoCellAnchor>
    <xdr:from>
      <xdr:col>38</xdr:col>
      <xdr:colOff>445504</xdr:colOff>
      <xdr:row>26</xdr:row>
      <xdr:rowOff>141195</xdr:rowOff>
    </xdr:from>
    <xdr:to>
      <xdr:col>38</xdr:col>
      <xdr:colOff>445504</xdr:colOff>
      <xdr:row>27</xdr:row>
      <xdr:rowOff>100853</xdr:rowOff>
    </xdr:to>
    <xdr:cxnSp macro="">
      <xdr:nvCxnSpPr>
        <xdr:cNvPr id="182" name="Straight Arrow Connector 181">
          <a:extLst>
            <a:ext uri="{FF2B5EF4-FFF2-40B4-BE49-F238E27FC236}">
              <a16:creationId xmlns:a16="http://schemas.microsoft.com/office/drawing/2014/main" id="{00000000-0008-0000-0600-000016000000}"/>
            </a:ext>
          </a:extLst>
        </xdr:cNvPr>
        <xdr:cNvCxnSpPr/>
      </xdr:nvCxnSpPr>
      <xdr:spPr>
        <a:xfrm>
          <a:off x="24089916" y="4970930"/>
          <a:ext cx="0" cy="150158"/>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433705</xdr:colOff>
      <xdr:row>27</xdr:row>
      <xdr:rowOff>84117</xdr:rowOff>
    </xdr:from>
    <xdr:to>
      <xdr:col>39</xdr:col>
      <xdr:colOff>399533</xdr:colOff>
      <xdr:row>27</xdr:row>
      <xdr:rowOff>84117</xdr:rowOff>
    </xdr:to>
    <xdr:cxnSp macro="">
      <xdr:nvCxnSpPr>
        <xdr:cNvPr id="183" name="Straight Arrow Connector 182">
          <a:extLst>
            <a:ext uri="{FF2B5EF4-FFF2-40B4-BE49-F238E27FC236}">
              <a16:creationId xmlns:a16="http://schemas.microsoft.com/office/drawing/2014/main" id="{00000000-0008-0000-0600-000017000000}"/>
            </a:ext>
          </a:extLst>
        </xdr:cNvPr>
        <xdr:cNvCxnSpPr/>
      </xdr:nvCxnSpPr>
      <xdr:spPr>
        <a:xfrm>
          <a:off x="23960455" y="5103059"/>
          <a:ext cx="544655"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387074</xdr:colOff>
      <xdr:row>24</xdr:row>
      <xdr:rowOff>33618</xdr:rowOff>
    </xdr:from>
    <xdr:to>
      <xdr:col>39</xdr:col>
      <xdr:colOff>387074</xdr:colOff>
      <xdr:row>27</xdr:row>
      <xdr:rowOff>96371</xdr:rowOff>
    </xdr:to>
    <xdr:cxnSp macro="">
      <xdr:nvCxnSpPr>
        <xdr:cNvPr id="184" name="Straight Arrow Connector 183">
          <a:extLst>
            <a:ext uri="{FF2B5EF4-FFF2-40B4-BE49-F238E27FC236}">
              <a16:creationId xmlns:a16="http://schemas.microsoft.com/office/drawing/2014/main" id="{00000000-0008-0000-0600-000016000000}"/>
            </a:ext>
          </a:extLst>
        </xdr:cNvPr>
        <xdr:cNvCxnSpPr/>
      </xdr:nvCxnSpPr>
      <xdr:spPr>
        <a:xfrm>
          <a:off x="24614192" y="4482353"/>
          <a:ext cx="0" cy="634253"/>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47019</xdr:colOff>
      <xdr:row>23</xdr:row>
      <xdr:rowOff>20258</xdr:rowOff>
    </xdr:from>
    <xdr:to>
      <xdr:col>38</xdr:col>
      <xdr:colOff>47019</xdr:colOff>
      <xdr:row>23</xdr:row>
      <xdr:rowOff>146539</xdr:rowOff>
    </xdr:to>
    <xdr:cxnSp macro="">
      <xdr:nvCxnSpPr>
        <xdr:cNvPr id="185" name="Straight Arrow Connector 184">
          <a:extLst>
            <a:ext uri="{FF2B5EF4-FFF2-40B4-BE49-F238E27FC236}">
              <a16:creationId xmlns:a16="http://schemas.microsoft.com/office/drawing/2014/main" id="{00000000-0008-0000-0600-000016000000}"/>
            </a:ext>
          </a:extLst>
        </xdr:cNvPr>
        <xdr:cNvCxnSpPr/>
      </xdr:nvCxnSpPr>
      <xdr:spPr>
        <a:xfrm>
          <a:off x="23573769" y="4277200"/>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31155</xdr:colOff>
      <xdr:row>23</xdr:row>
      <xdr:rowOff>26795</xdr:rowOff>
    </xdr:from>
    <xdr:to>
      <xdr:col>38</xdr:col>
      <xdr:colOff>461596</xdr:colOff>
      <xdr:row>23</xdr:row>
      <xdr:rowOff>26795</xdr:rowOff>
    </xdr:to>
    <xdr:cxnSp macro="">
      <xdr:nvCxnSpPr>
        <xdr:cNvPr id="187" name="Straight Arrow Connector 186">
          <a:extLst>
            <a:ext uri="{FF2B5EF4-FFF2-40B4-BE49-F238E27FC236}">
              <a16:creationId xmlns:a16="http://schemas.microsoft.com/office/drawing/2014/main" id="{00000000-0008-0000-0600-000017000000}"/>
            </a:ext>
          </a:extLst>
        </xdr:cNvPr>
        <xdr:cNvCxnSpPr/>
      </xdr:nvCxnSpPr>
      <xdr:spPr>
        <a:xfrm>
          <a:off x="23557905" y="4283737"/>
          <a:ext cx="430441"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463188</xdr:colOff>
      <xdr:row>23</xdr:row>
      <xdr:rowOff>11466</xdr:rowOff>
    </xdr:from>
    <xdr:to>
      <xdr:col>38</xdr:col>
      <xdr:colOff>463188</xdr:colOff>
      <xdr:row>23</xdr:row>
      <xdr:rowOff>137747</xdr:rowOff>
    </xdr:to>
    <xdr:cxnSp macro="">
      <xdr:nvCxnSpPr>
        <xdr:cNvPr id="189" name="Straight Arrow Connector 188">
          <a:extLst>
            <a:ext uri="{FF2B5EF4-FFF2-40B4-BE49-F238E27FC236}">
              <a16:creationId xmlns:a16="http://schemas.microsoft.com/office/drawing/2014/main" id="{00000000-0008-0000-0600-000016000000}"/>
            </a:ext>
          </a:extLst>
        </xdr:cNvPr>
        <xdr:cNvCxnSpPr/>
      </xdr:nvCxnSpPr>
      <xdr:spPr>
        <a:xfrm>
          <a:off x="23989938" y="4268408"/>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256569</xdr:colOff>
      <xdr:row>22</xdr:row>
      <xdr:rowOff>105251</xdr:rowOff>
    </xdr:from>
    <xdr:to>
      <xdr:col>38</xdr:col>
      <xdr:colOff>256569</xdr:colOff>
      <xdr:row>23</xdr:row>
      <xdr:rowOff>41032</xdr:rowOff>
    </xdr:to>
    <xdr:cxnSp macro="">
      <xdr:nvCxnSpPr>
        <xdr:cNvPr id="190" name="Straight Arrow Connector 189">
          <a:extLst>
            <a:ext uri="{FF2B5EF4-FFF2-40B4-BE49-F238E27FC236}">
              <a16:creationId xmlns:a16="http://schemas.microsoft.com/office/drawing/2014/main" id="{00000000-0008-0000-0600-000016000000}"/>
            </a:ext>
          </a:extLst>
        </xdr:cNvPr>
        <xdr:cNvCxnSpPr/>
      </xdr:nvCxnSpPr>
      <xdr:spPr>
        <a:xfrm>
          <a:off x="23783319" y="4171693"/>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381001</xdr:colOff>
      <xdr:row>3</xdr:row>
      <xdr:rowOff>40821</xdr:rowOff>
    </xdr:from>
    <xdr:to>
      <xdr:col>11</xdr:col>
      <xdr:colOff>374089</xdr:colOff>
      <xdr:row>6</xdr:row>
      <xdr:rowOff>85411</xdr:rowOff>
    </xdr:to>
    <xdr:pic>
      <xdr:nvPicPr>
        <xdr:cNvPr id="192" name="Picture 191">
          <a:extLst>
            <a:ext uri="{FF2B5EF4-FFF2-40B4-BE49-F238E27FC236}">
              <a16:creationId xmlns:a16="http://schemas.microsoft.com/office/drawing/2014/main" id="{CB0D96A3-7169-4FCA-8526-001F3CEE600C}"/>
            </a:ext>
          </a:extLst>
        </xdr:cNvPr>
        <xdr:cNvPicPr>
          <a:picLocks noChangeAspect="1"/>
        </xdr:cNvPicPr>
      </xdr:nvPicPr>
      <xdr:blipFill rotWithShape="1">
        <a:blip xmlns:r="http://schemas.openxmlformats.org/officeDocument/2006/relationships" r:embed="rId23" cstate="hqprint">
          <a:extLst>
            <a:ext uri="{28A0092B-C50C-407E-A947-70E740481C1C}">
              <a14:useLocalDpi xmlns:a14="http://schemas.microsoft.com/office/drawing/2010/main" val="0"/>
            </a:ext>
          </a:extLst>
        </a:blip>
        <a:srcRect l="8722" t="10944" r="14523" b="13508"/>
        <a:stretch/>
      </xdr:blipFill>
      <xdr:spPr>
        <a:xfrm>
          <a:off x="5755822" y="476250"/>
          <a:ext cx="578196" cy="616090"/>
        </a:xfrm>
        <a:prstGeom prst="rect">
          <a:avLst/>
        </a:prstGeom>
      </xdr:spPr>
    </xdr:pic>
    <xdr:clientData/>
  </xdr:twoCellAnchor>
  <xdr:twoCellAnchor>
    <xdr:from>
      <xdr:col>36</xdr:col>
      <xdr:colOff>65075</xdr:colOff>
      <xdr:row>13</xdr:row>
      <xdr:rowOff>197008</xdr:rowOff>
    </xdr:from>
    <xdr:to>
      <xdr:col>36</xdr:col>
      <xdr:colOff>753716</xdr:colOff>
      <xdr:row>17</xdr:row>
      <xdr:rowOff>174074</xdr:rowOff>
    </xdr:to>
    <xdr:pic>
      <xdr:nvPicPr>
        <xdr:cNvPr id="193" name="Picture 192">
          <a:extLst>
            <a:ext uri="{FF2B5EF4-FFF2-40B4-BE49-F238E27FC236}">
              <a16:creationId xmlns:a16="http://schemas.microsoft.com/office/drawing/2014/main" id="{823A0C24-9465-4D17-BCA3-495A7F18DB9E}"/>
            </a:ext>
          </a:extLst>
        </xdr:cNvPr>
        <xdr:cNvPicPr>
          <a:picLocks noChangeAspect="1"/>
        </xdr:cNvPicPr>
      </xdr:nvPicPr>
      <xdr:blipFill rotWithShape="1">
        <a:blip xmlns:r="http://schemas.openxmlformats.org/officeDocument/2006/relationships" r:embed="rId24" cstate="hqprint">
          <a:extLst>
            <a:ext uri="{28A0092B-C50C-407E-A947-70E740481C1C}">
              <a14:useLocalDpi xmlns:a14="http://schemas.microsoft.com/office/drawing/2010/main" val="0"/>
            </a:ext>
          </a:extLst>
        </a:blip>
        <a:srcRect l="17041" t="15588" r="17401" b="18821"/>
        <a:stretch/>
      </xdr:blipFill>
      <xdr:spPr>
        <a:xfrm>
          <a:off x="22204488" y="2540986"/>
          <a:ext cx="688641" cy="747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601757</xdr:colOff>
      <xdr:row>27</xdr:row>
      <xdr:rowOff>49217</xdr:rowOff>
    </xdr:from>
    <xdr:to>
      <xdr:col>7</xdr:col>
      <xdr:colOff>531000</xdr:colOff>
      <xdr:row>37</xdr:row>
      <xdr:rowOff>63731</xdr:rowOff>
    </xdr:to>
    <xdr:graphicFrame macro="">
      <xdr:nvGraphicFramePr>
        <xdr:cNvPr id="15" name="Chart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600316</xdr:colOff>
      <xdr:row>27</xdr:row>
      <xdr:rowOff>23264</xdr:rowOff>
    </xdr:from>
    <xdr:to>
      <xdr:col>12</xdr:col>
      <xdr:colOff>3416</xdr:colOff>
      <xdr:row>37</xdr:row>
      <xdr:rowOff>37778</xdr:rowOff>
    </xdr:to>
    <xdr:graphicFrame macro="">
      <xdr:nvGraphicFramePr>
        <xdr:cNvPr id="18" name="Chart 17">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30172</xdr:colOff>
      <xdr:row>15</xdr:row>
      <xdr:rowOff>180070</xdr:rowOff>
    </xdr:from>
    <xdr:to>
      <xdr:col>8</xdr:col>
      <xdr:colOff>22914</xdr:colOff>
      <xdr:row>26</xdr:row>
      <xdr:rowOff>9857</xdr:rowOff>
    </xdr:to>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8818</xdr:colOff>
      <xdr:row>38</xdr:row>
      <xdr:rowOff>56464</xdr:rowOff>
    </xdr:from>
    <xdr:to>
      <xdr:col>7</xdr:col>
      <xdr:colOff>524075</xdr:colOff>
      <xdr:row>48</xdr:row>
      <xdr:rowOff>70979</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47199</xdr:colOff>
      <xdr:row>27</xdr:row>
      <xdr:rowOff>54428</xdr:rowOff>
    </xdr:from>
    <xdr:to>
      <xdr:col>4</xdr:col>
      <xdr:colOff>49014</xdr:colOff>
      <xdr:row>37</xdr:row>
      <xdr:rowOff>68942</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594179</xdr:colOff>
      <xdr:row>15</xdr:row>
      <xdr:rowOff>175079</xdr:rowOff>
    </xdr:from>
    <xdr:to>
      <xdr:col>11</xdr:col>
      <xdr:colOff>378279</xdr:colOff>
      <xdr:row>26</xdr:row>
      <xdr:rowOff>8164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600848</xdr:colOff>
      <xdr:row>38</xdr:row>
      <xdr:rowOff>36282</xdr:rowOff>
    </xdr:from>
    <xdr:to>
      <xdr:col>12</xdr:col>
      <xdr:colOff>3948</xdr:colOff>
      <xdr:row>48</xdr:row>
      <xdr:rowOff>50798</xdr:rowOff>
    </xdr:to>
    <xdr:grpSp>
      <xdr:nvGrpSpPr>
        <xdr:cNvPr id="3" name="Group 2"/>
        <xdr:cNvGrpSpPr/>
      </xdr:nvGrpSpPr>
      <xdr:grpSpPr>
        <a:xfrm>
          <a:off x="7817436" y="7196841"/>
          <a:ext cx="3638924" cy="1919516"/>
          <a:chOff x="8638134" y="6885211"/>
          <a:chExt cx="3657600" cy="1828801"/>
        </a:xfrm>
      </xdr:grpSpPr>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8638134" y="6885211"/>
          <a:ext cx="3657600" cy="1828801"/>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20" name="TextBox 1"/>
          <xdr:cNvSpPr txBox="1"/>
        </xdr:nvSpPr>
        <xdr:spPr>
          <a:xfrm rot="16200000">
            <a:off x="8198385" y="7522401"/>
            <a:ext cx="1361781" cy="3232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a:t>Opertaional costs</a:t>
            </a:r>
          </a:p>
        </xdr:txBody>
      </xdr:sp>
    </xdr:grpSp>
    <xdr:clientData/>
  </xdr:twoCellAnchor>
  <xdr:twoCellAnchor>
    <xdr:from>
      <xdr:col>8</xdr:col>
      <xdr:colOff>600982</xdr:colOff>
      <xdr:row>49</xdr:row>
      <xdr:rowOff>88447</xdr:rowOff>
    </xdr:from>
    <xdr:to>
      <xdr:col>12</xdr:col>
      <xdr:colOff>4083</xdr:colOff>
      <xdr:row>59</xdr:row>
      <xdr:rowOff>102962</xdr:rowOff>
    </xdr:to>
    <xdr:grpSp>
      <xdr:nvGrpSpPr>
        <xdr:cNvPr id="4" name="Group 3"/>
        <xdr:cNvGrpSpPr/>
      </xdr:nvGrpSpPr>
      <xdr:grpSpPr>
        <a:xfrm>
          <a:off x="7817570" y="9344506"/>
          <a:ext cx="3638925" cy="1919515"/>
          <a:chOff x="19333482" y="4587875"/>
          <a:chExt cx="3657601" cy="1828801"/>
        </a:xfrm>
      </xdr:grpSpPr>
      <xdr:graphicFrame macro="">
        <xdr:nvGraphicFramePr>
          <xdr:cNvPr id="19" name="Chart 18">
            <a:extLst>
              <a:ext uri="{FF2B5EF4-FFF2-40B4-BE49-F238E27FC236}">
                <a16:creationId xmlns:a16="http://schemas.microsoft.com/office/drawing/2014/main" id="{00000000-0008-0000-0700-000005000000}"/>
              </a:ext>
            </a:extLst>
          </xdr:cNvPr>
          <xdr:cNvGraphicFramePr>
            <a:graphicFrameLocks/>
          </xdr:cNvGraphicFramePr>
        </xdr:nvGraphicFramePr>
        <xdr:xfrm>
          <a:off x="19333482" y="4587875"/>
          <a:ext cx="3657601" cy="1828801"/>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21" name="TextBox 1"/>
          <xdr:cNvSpPr txBox="1"/>
        </xdr:nvSpPr>
        <xdr:spPr>
          <a:xfrm rot="16200000">
            <a:off x="18884528" y="5109401"/>
            <a:ext cx="1361782" cy="3232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a:t>Capital costs</a:t>
            </a:r>
          </a:p>
        </xdr:txBody>
      </xdr:sp>
    </xdr:grpSp>
    <xdr:clientData/>
  </xdr:twoCellAnchor>
  <xdr:twoCellAnchor>
    <xdr:from>
      <xdr:col>1</xdr:col>
      <xdr:colOff>18144</xdr:colOff>
      <xdr:row>38</xdr:row>
      <xdr:rowOff>63500</xdr:rowOff>
    </xdr:from>
    <xdr:to>
      <xdr:col>4</xdr:col>
      <xdr:colOff>19959</xdr:colOff>
      <xdr:row>48</xdr:row>
      <xdr:rowOff>78015</xdr:rowOff>
    </xdr:to>
    <xdr:graphicFrame macro="">
      <xdr:nvGraphicFramePr>
        <xdr:cNvPr id="13" name="Chart 12">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598714</xdr:colOff>
      <xdr:row>15</xdr:row>
      <xdr:rowOff>163287</xdr:rowOff>
    </xdr:from>
    <xdr:to>
      <xdr:col>16</xdr:col>
      <xdr:colOff>10886</xdr:colOff>
      <xdr:row>25</xdr:row>
      <xdr:rowOff>177801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18143</xdr:colOff>
      <xdr:row>84</xdr:row>
      <xdr:rowOff>1</xdr:rowOff>
    </xdr:from>
    <xdr:to>
      <xdr:col>4</xdr:col>
      <xdr:colOff>29029</xdr:colOff>
      <xdr:row>104</xdr:row>
      <xdr:rowOff>29030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18142</xdr:colOff>
      <xdr:row>62</xdr:row>
      <xdr:rowOff>163285</xdr:rowOff>
    </xdr:from>
    <xdr:to>
      <xdr:col>4</xdr:col>
      <xdr:colOff>29028</xdr:colOff>
      <xdr:row>83</xdr:row>
      <xdr:rowOff>10885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45357</xdr:colOff>
      <xdr:row>62</xdr:row>
      <xdr:rowOff>145144</xdr:rowOff>
    </xdr:from>
    <xdr:to>
      <xdr:col>15</xdr:col>
      <xdr:colOff>589643</xdr:colOff>
      <xdr:row>82</xdr:row>
      <xdr:rowOff>174172</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45358</xdr:colOff>
      <xdr:row>84</xdr:row>
      <xdr:rowOff>0</xdr:rowOff>
    </xdr:from>
    <xdr:to>
      <xdr:col>15</xdr:col>
      <xdr:colOff>561704</xdr:colOff>
      <xdr:row>104</xdr:row>
      <xdr:rowOff>29029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xdr:colOff>
      <xdr:row>106</xdr:row>
      <xdr:rowOff>133350</xdr:rowOff>
    </xdr:from>
    <xdr:to>
      <xdr:col>16</xdr:col>
      <xdr:colOff>28575</xdr:colOff>
      <xdr:row>125</xdr:row>
      <xdr:rowOff>171450</xdr:rowOff>
    </xdr:to>
    <xdr:graphicFrame macro="">
      <xdr:nvGraphicFramePr>
        <xdr:cNvPr id="28" name="Chart 27">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16330</xdr:colOff>
      <xdr:row>49</xdr:row>
      <xdr:rowOff>84365</xdr:rowOff>
    </xdr:from>
    <xdr:to>
      <xdr:col>4</xdr:col>
      <xdr:colOff>7621</xdr:colOff>
      <xdr:row>59</xdr:row>
      <xdr:rowOff>99605</xdr:rowOff>
    </xdr:to>
    <xdr:sp macro="" textlink="">
      <xdr:nvSpPr>
        <xdr:cNvPr id="23" name="Rectangle 22"/>
        <xdr:cNvSpPr/>
      </xdr:nvSpPr>
      <xdr:spPr>
        <a:xfrm>
          <a:off x="125187" y="9350829"/>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195943</xdr:colOff>
      <xdr:row>49</xdr:row>
      <xdr:rowOff>87086</xdr:rowOff>
    </xdr:from>
    <xdr:to>
      <xdr:col>7</xdr:col>
      <xdr:colOff>486592</xdr:colOff>
      <xdr:row>59</xdr:row>
      <xdr:rowOff>102326</xdr:rowOff>
    </xdr:to>
    <xdr:sp macro="" textlink="">
      <xdr:nvSpPr>
        <xdr:cNvPr id="29" name="Rectangle 28"/>
        <xdr:cNvSpPr/>
      </xdr:nvSpPr>
      <xdr:spPr>
        <a:xfrm>
          <a:off x="3788229" y="9353550"/>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13607</xdr:colOff>
      <xdr:row>27</xdr:row>
      <xdr:rowOff>0</xdr:rowOff>
    </xdr:from>
    <xdr:to>
      <xdr:col>16</xdr:col>
      <xdr:colOff>18505</xdr:colOff>
      <xdr:row>37</xdr:row>
      <xdr:rowOff>15240</xdr:rowOff>
    </xdr:to>
    <xdr:sp macro="" textlink="">
      <xdr:nvSpPr>
        <xdr:cNvPr id="30" name="Rectangle 29"/>
        <xdr:cNvSpPr/>
      </xdr:nvSpPr>
      <xdr:spPr>
        <a:xfrm>
          <a:off x="11266714" y="5075464"/>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2721</xdr:colOff>
      <xdr:row>38</xdr:row>
      <xdr:rowOff>16329</xdr:rowOff>
    </xdr:from>
    <xdr:to>
      <xdr:col>16</xdr:col>
      <xdr:colOff>7619</xdr:colOff>
      <xdr:row>48</xdr:row>
      <xdr:rowOff>31569</xdr:rowOff>
    </xdr:to>
    <xdr:sp macro="" textlink="">
      <xdr:nvSpPr>
        <xdr:cNvPr id="31" name="Rectangle 30"/>
        <xdr:cNvSpPr/>
      </xdr:nvSpPr>
      <xdr:spPr>
        <a:xfrm>
          <a:off x="11255828" y="7187293"/>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xdr:colOff>
      <xdr:row>49</xdr:row>
      <xdr:rowOff>54429</xdr:rowOff>
    </xdr:from>
    <xdr:to>
      <xdr:col>16</xdr:col>
      <xdr:colOff>4899</xdr:colOff>
      <xdr:row>59</xdr:row>
      <xdr:rowOff>69669</xdr:rowOff>
    </xdr:to>
    <xdr:sp macro="" textlink="">
      <xdr:nvSpPr>
        <xdr:cNvPr id="32" name="Rectangle 31"/>
        <xdr:cNvSpPr/>
      </xdr:nvSpPr>
      <xdr:spPr>
        <a:xfrm>
          <a:off x="11253108" y="9320893"/>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104321</xdr:colOff>
      <xdr:row>15</xdr:row>
      <xdr:rowOff>175078</xdr:rowOff>
    </xdr:from>
    <xdr:to>
      <xdr:col>4</xdr:col>
      <xdr:colOff>6350</xdr:colOff>
      <xdr:row>26</xdr:row>
      <xdr:rowOff>8163</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0.02358</cdr:x>
      <cdr:y>0.10417</cdr:y>
    </cdr:from>
    <cdr:to>
      <cdr:x>0.11196</cdr:x>
      <cdr:y>0.8488</cdr:y>
    </cdr:to>
    <cdr:sp macro="" textlink="">
      <cdr:nvSpPr>
        <cdr:cNvPr id="2" name="TextBox 1"/>
        <cdr:cNvSpPr txBox="1"/>
      </cdr:nvSpPr>
      <cdr:spPr>
        <a:xfrm xmlns:a="http://schemas.openxmlformats.org/drawingml/2006/main" rot="16200000">
          <a:off x="-433027" y="709759"/>
          <a:ext cx="1361781" cy="3232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t>Revenue distribution</a:t>
          </a:r>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1510116</xdr:colOff>
      <xdr:row>3</xdr:row>
      <xdr:rowOff>10720</xdr:rowOff>
    </xdr:from>
    <xdr:to>
      <xdr:col>6</xdr:col>
      <xdr:colOff>1111248</xdr:colOff>
      <xdr:row>4</xdr:row>
      <xdr:rowOff>90713</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1470545" y="500577"/>
          <a:ext cx="1111524" cy="270493"/>
        </a:xfrm>
        <a:prstGeom prst="flowChartAlternateProcess">
          <a:avLst/>
        </a:prstGeom>
        <a:solidFill>
          <a:schemeClr val="bg1"/>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800">
              <a:solidFill>
                <a:schemeClr val="tx1"/>
              </a:solidFill>
            </a:rPr>
            <a:t>&gt; Back to General</a:t>
          </a:r>
          <a:r>
            <a:rPr lang="en-ZA" sz="800" baseline="0">
              <a:solidFill>
                <a:schemeClr val="tx1"/>
              </a:solidFill>
            </a:rPr>
            <a:t> Input</a:t>
          </a:r>
          <a:endParaRPr lang="en-ZA" sz="8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723534</xdr:colOff>
      <xdr:row>2</xdr:row>
      <xdr:rowOff>190500</xdr:rowOff>
    </xdr:from>
    <xdr:to>
      <xdr:col>4</xdr:col>
      <xdr:colOff>299357</xdr:colOff>
      <xdr:row>5</xdr:row>
      <xdr:rowOff>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3200034" y="666750"/>
          <a:ext cx="936537" cy="44903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100"/>
            <a:t>Unit W</a:t>
          </a:r>
          <a:r>
            <a:rPr lang="de-CH" sz="1100" baseline="0"/>
            <a:t> </a:t>
          </a:r>
        </a:p>
        <a:p>
          <a:pPr algn="ctr"/>
          <a:r>
            <a:rPr lang="de-CH" sz="1100" baseline="0"/>
            <a:t>(U-W)</a:t>
          </a:r>
        </a:p>
      </xdr:txBody>
    </xdr:sp>
    <xdr:clientData/>
  </xdr:twoCellAnchor>
  <xdr:twoCellAnchor editAs="oneCell">
    <xdr:from>
      <xdr:col>3</xdr:col>
      <xdr:colOff>761999</xdr:colOff>
      <xdr:row>5</xdr:row>
      <xdr:rowOff>30684</xdr:rowOff>
    </xdr:from>
    <xdr:to>
      <xdr:col>4</xdr:col>
      <xdr:colOff>176893</xdr:colOff>
      <xdr:row>9</xdr:row>
      <xdr:rowOff>35922</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9" y="1146470"/>
          <a:ext cx="775608" cy="767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1006929</xdr:colOff>
      <xdr:row>2</xdr:row>
      <xdr:rowOff>163285</xdr:rowOff>
    </xdr:from>
    <xdr:to>
      <xdr:col>4</xdr:col>
      <xdr:colOff>582752</xdr:colOff>
      <xdr:row>5</xdr:row>
      <xdr:rowOff>13606</xdr:rowOff>
    </xdr:to>
    <xdr:sp macro="" textlink="">
      <xdr:nvSpPr>
        <xdr:cNvPr id="11" name="TextBox 10">
          <a:extLst>
            <a:ext uri="{FF2B5EF4-FFF2-40B4-BE49-F238E27FC236}">
              <a16:creationId xmlns:a16="http://schemas.microsoft.com/office/drawing/2014/main" id="{00000000-0008-0000-0B00-000004000000}"/>
            </a:ext>
          </a:extLst>
        </xdr:cNvPr>
        <xdr:cNvSpPr txBox="1"/>
      </xdr:nvSpPr>
      <xdr:spPr>
        <a:xfrm>
          <a:off x="3211286" y="639535"/>
          <a:ext cx="936537" cy="4898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100"/>
            <a:t>Unit T</a:t>
          </a:r>
          <a:r>
            <a:rPr lang="de-CH" sz="1100" baseline="0"/>
            <a:t> </a:t>
          </a:r>
        </a:p>
        <a:p>
          <a:pPr algn="ctr"/>
          <a:r>
            <a:rPr lang="de-CH" sz="1100" baseline="0"/>
            <a:t>(U-T)</a:t>
          </a:r>
        </a:p>
      </xdr:txBody>
    </xdr:sp>
    <xdr:clientData/>
  </xdr:twoCellAnchor>
  <xdr:twoCellAnchor editAs="oneCell">
    <xdr:from>
      <xdr:col>3</xdr:col>
      <xdr:colOff>1045393</xdr:colOff>
      <xdr:row>5</xdr:row>
      <xdr:rowOff>30684</xdr:rowOff>
    </xdr:from>
    <xdr:to>
      <xdr:col>4</xdr:col>
      <xdr:colOff>460287</xdr:colOff>
      <xdr:row>9</xdr:row>
      <xdr:rowOff>35922</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9750" y="1146470"/>
          <a:ext cx="775608" cy="767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394609</xdr:colOff>
      <xdr:row>2</xdr:row>
      <xdr:rowOff>163284</xdr:rowOff>
    </xdr:from>
    <xdr:to>
      <xdr:col>4</xdr:col>
      <xdr:colOff>411834</xdr:colOff>
      <xdr:row>4</xdr:row>
      <xdr:rowOff>176891</xdr:rowOff>
    </xdr:to>
    <xdr:sp macro="" textlink="">
      <xdr:nvSpPr>
        <xdr:cNvPr id="11" name="TextBox 10">
          <a:extLst>
            <a:ext uri="{FF2B5EF4-FFF2-40B4-BE49-F238E27FC236}">
              <a16:creationId xmlns:a16="http://schemas.microsoft.com/office/drawing/2014/main" id="{00000000-0008-0000-0100-000020000000}"/>
            </a:ext>
          </a:extLst>
        </xdr:cNvPr>
        <xdr:cNvSpPr txBox="1"/>
      </xdr:nvSpPr>
      <xdr:spPr>
        <a:xfrm>
          <a:off x="2598966" y="639534"/>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H</a:t>
          </a:r>
        </a:p>
        <a:p>
          <a:pPr algn="ctr"/>
          <a:r>
            <a:rPr lang="de-CH" sz="1050" b="0"/>
            <a:t>(U-H)</a:t>
          </a:r>
        </a:p>
      </xdr:txBody>
    </xdr:sp>
    <xdr:clientData/>
  </xdr:twoCellAnchor>
  <xdr:twoCellAnchor>
    <xdr:from>
      <xdr:col>3</xdr:col>
      <xdr:colOff>462526</xdr:colOff>
      <xdr:row>4</xdr:row>
      <xdr:rowOff>203003</xdr:rowOff>
    </xdr:from>
    <xdr:to>
      <xdr:col>4</xdr:col>
      <xdr:colOff>190500</xdr:colOff>
      <xdr:row>8</xdr:row>
      <xdr:rowOff>175927</xdr:rowOff>
    </xdr:to>
    <xdr:pic>
      <xdr:nvPicPr>
        <xdr:cNvPr id="12" name="Picture 11"/>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l="1" r="-17384"/>
        <a:stretch/>
      </xdr:blipFill>
      <xdr:spPr>
        <a:xfrm>
          <a:off x="2666883" y="1128289"/>
          <a:ext cx="925403" cy="789352"/>
        </a:xfrm>
        <a:prstGeom prst="rect">
          <a:avLst/>
        </a:prstGeom>
      </xdr:spPr>
    </xdr:pic>
    <xdr:clientData/>
  </xdr:twoCellAnchor>
</xdr:wsDr>
</file>

<file path=xl/tables/table1.xml><?xml version="1.0" encoding="utf-8"?>
<table xmlns="http://schemas.openxmlformats.org/spreadsheetml/2006/main" id="4" name="Equipment_name" displayName="Equipment_name" ref="C6:C106" totalsRowShown="0" headerRowDxfId="942" dataDxfId="940" headerRowBorderDxfId="941" tableBorderDxfId="939">
  <autoFilter ref="C6:C106"/>
  <tableColumns count="1">
    <tableColumn id="1" name="Name" dataDxfId="938"/>
  </tableColumns>
  <tableStyleInfo name="TableStyleMedium24" showFirstColumn="0" showLastColumn="0" showRowStripes="1" showColumnStripes="0"/>
</table>
</file>

<file path=xl/tables/table2.xml><?xml version="1.0" encoding="utf-8"?>
<table xmlns="http://schemas.openxmlformats.org/spreadsheetml/2006/main" id="8" name="Staff_position" displayName="Staff_position" ref="C4:C25" totalsRowShown="0" headerRowDxfId="934" dataDxfId="932" headerRowBorderDxfId="933" tableBorderDxfId="931">
  <autoFilter ref="C4:C25"/>
  <tableColumns count="1">
    <tableColumn id="1" name="Position" dataDxfId="930"/>
  </tableColumns>
  <tableStyleInfo showFirstColumn="0" showLastColumn="0" showRowStripes="1" showColumnStripes="0"/>
</table>
</file>

<file path=xl/tables/table3.xml><?xml version="1.0" encoding="utf-8"?>
<table xmlns="http://schemas.openxmlformats.org/spreadsheetml/2006/main" id="7" name="Staff_net_salary" displayName="Staff_net_salary" ref="H4:H25" totalsRowShown="0" headerRowDxfId="929" dataDxfId="928" tableBorderDxfId="927">
  <tableColumns count="1">
    <tableColumn id="1" name="net salary conversion [yr]" dataDxfId="926">
      <calculatedColumnFormula>IFERROR(G5/(INDEX(Settings_Currency_Table[],MATCH(General_Currency_Selection,Settings_Currency,0),2)),0)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id="6" name="Staff_category" displayName="Staff_category" ref="B26:B29" totalsRowShown="0" tableBorderDxfId="902">
  <autoFilter ref="B26:B29"/>
  <tableColumns count="1">
    <tableColumn id="1" name="Staff category"/>
  </tableColumns>
  <tableStyleInfo name="TableStyleMedium10" showFirstColumn="0" showLastColumn="0" showRowStripes="1" showColumnStripes="0"/>
</table>
</file>

<file path=xl/tables/table5.xml><?xml version="1.0" encoding="utf-8"?>
<table xmlns="http://schemas.openxmlformats.org/spreadsheetml/2006/main" id="12" name="Yes_No_Choice" displayName="Yes_No_Choice" ref="B31:B33" totalsRowShown="0">
  <autoFilter ref="B31:B33"/>
  <tableColumns count="1">
    <tableColumn id="1" name="Yes / No Choice"/>
  </tableColumns>
  <tableStyleInfo name="TableStyleMedium9" showFirstColumn="0" showLastColumn="0" showRowStripes="1" showColumnStripes="0"/>
</table>
</file>

<file path=xl/tables/table6.xml><?xml version="1.0" encoding="utf-8"?>
<table xmlns="http://schemas.openxmlformats.org/spreadsheetml/2006/main" id="13" name="Equipment_Utitliy_Specs_Units" displayName="Equipment_Utitliy_Specs_Units" ref="B35:C39" totalsRowShown="0">
  <autoFilter ref="B35:C39"/>
  <tableColumns count="2">
    <tableColumn id="1" name="Specification"/>
    <tableColumn id="2" name="Units"/>
  </tableColumns>
  <tableStyleInfo name="TableStyleMedium9" showFirstColumn="0" showLastColumn="0" showRowStripes="1" showColumnStripes="0"/>
</table>
</file>

<file path=xl/tables/table7.xml><?xml version="1.0" encoding="utf-8"?>
<table xmlns="http://schemas.openxmlformats.org/spreadsheetml/2006/main" id="14" name="Equipment_Utility_Fuel_Type" displayName="Equipment_Utility_Fuel_Type" ref="B41:B45" totalsRowShown="0">
  <autoFilter ref="B41:B45"/>
  <tableColumns count="1">
    <tableColumn id="1" name="Fuel Type"/>
  </tableColumns>
  <tableStyleInfo name="TableStyleMedium9" showFirstColumn="0" showLastColumn="0" showRowStripes="1" showColumnStripes="0"/>
</table>
</file>

<file path=xl/tables/table8.xml><?xml version="1.0" encoding="utf-8"?>
<table xmlns="http://schemas.openxmlformats.org/spreadsheetml/2006/main" id="1" name="Factory_Renting_Buying" displayName="Factory_Renting_Buying" ref="B47:B50" totalsRowShown="0">
  <autoFilter ref="B47:B50"/>
  <tableColumns count="1">
    <tableColumn id="1" name="Factory Renting or Buying"/>
  </tableColumns>
  <tableStyleInfo name="TableStyleMedium9" showFirstColumn="0" showLastColumn="0" showRowStripes="1" showColumnStripes="0"/>
</table>
</file>

<file path=xl/tables/table9.xml><?xml version="1.0" encoding="utf-8"?>
<table xmlns="http://schemas.openxmlformats.org/spreadsheetml/2006/main" id="5" name="Settings_Currency_Table" displayName="Settings_Currency_Table" ref="B6:C10" totalsRowShown="0" headerRowDxfId="901" dataDxfId="900">
  <autoFilter ref="B6:C10"/>
  <tableColumns count="2">
    <tableColumn id="1" name="Currency" dataDxfId="899"/>
    <tableColumn id="2" name="Exchange rates" dataDxfId="898"/>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9.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B1:S79"/>
  <sheetViews>
    <sheetView tabSelected="1" zoomScaleNormal="100" workbookViewId="0">
      <selection activeCell="B63" sqref="B63:J63"/>
    </sheetView>
  </sheetViews>
  <sheetFormatPr defaultColWidth="8.7109375" defaultRowHeight="15"/>
  <cols>
    <col min="1" max="1" width="0.85546875" style="12" customWidth="1"/>
    <col min="2" max="16384" width="8.7109375" style="12"/>
  </cols>
  <sheetData>
    <row r="1" spans="2:10" ht="3.75" customHeight="1"/>
    <row r="2" spans="2:10" ht="18.75" customHeight="1"/>
    <row r="3" spans="2:10" ht="18.75" customHeight="1"/>
    <row r="4" spans="2:10" ht="18.75">
      <c r="B4" s="861" t="s">
        <v>1028</v>
      </c>
      <c r="C4" s="861"/>
      <c r="D4" s="861"/>
      <c r="E4" s="861"/>
      <c r="F4" s="861"/>
      <c r="G4" s="861"/>
      <c r="H4" s="861"/>
      <c r="I4" s="861"/>
      <c r="J4" s="861"/>
    </row>
    <row r="5" spans="2:10" ht="18.75">
      <c r="B5" s="862" t="s">
        <v>1053</v>
      </c>
      <c r="C5" s="862"/>
      <c r="D5" s="862"/>
      <c r="E5" s="862"/>
      <c r="F5" s="862"/>
      <c r="G5" s="862"/>
      <c r="H5" s="862"/>
      <c r="I5" s="862"/>
      <c r="J5" s="862"/>
    </row>
    <row r="6" spans="2:10">
      <c r="B6" s="226" t="s">
        <v>1069</v>
      </c>
      <c r="C6" s="14"/>
      <c r="D6" s="14"/>
      <c r="E6" s="14"/>
    </row>
    <row r="7" spans="2:10">
      <c r="B7" s="226"/>
      <c r="C7" s="14"/>
      <c r="D7" s="14"/>
      <c r="E7" s="14"/>
    </row>
    <row r="8" spans="2:10">
      <c r="B8" s="226"/>
      <c r="C8" s="14"/>
      <c r="D8" s="14"/>
      <c r="E8" s="14"/>
    </row>
    <row r="9" spans="2:10">
      <c r="B9" s="226"/>
      <c r="C9" s="14"/>
      <c r="D9" s="14"/>
      <c r="E9" s="14"/>
    </row>
    <row r="10" spans="2:10">
      <c r="B10" s="226"/>
      <c r="C10" s="14"/>
      <c r="D10" s="14"/>
      <c r="E10" s="14"/>
    </row>
    <row r="11" spans="2:10">
      <c r="B11" s="226"/>
      <c r="C11" s="14"/>
      <c r="D11" s="14"/>
      <c r="E11" s="14"/>
    </row>
    <row r="12" spans="2:10">
      <c r="B12" s="226"/>
      <c r="C12" s="14"/>
      <c r="D12" s="14"/>
      <c r="E12" s="14"/>
    </row>
    <row r="13" spans="2:10">
      <c r="B13" s="226"/>
      <c r="C13" s="14"/>
      <c r="D13" s="14"/>
      <c r="E13" s="14"/>
    </row>
    <row r="14" spans="2:10">
      <c r="B14" s="226"/>
    </row>
    <row r="15" spans="2:10" s="409" customFormat="1" ht="11.25">
      <c r="B15" s="409" t="s">
        <v>1056</v>
      </c>
    </row>
    <row r="16" spans="2:10">
      <c r="B16" s="226"/>
    </row>
    <row r="17" spans="2:19">
      <c r="B17" s="408" t="s">
        <v>862</v>
      </c>
      <c r="C17" s="321"/>
      <c r="D17" s="321"/>
      <c r="E17" s="321"/>
      <c r="F17" s="321"/>
      <c r="G17" s="321"/>
      <c r="H17" s="321"/>
      <c r="I17" s="321"/>
      <c r="J17" s="321"/>
    </row>
    <row r="18" spans="2:19">
      <c r="B18" s="226" t="s">
        <v>1004</v>
      </c>
    </row>
    <row r="19" spans="2:19" ht="33.6" customHeight="1">
      <c r="B19" s="859" t="s">
        <v>1007</v>
      </c>
      <c r="C19" s="859"/>
      <c r="D19" s="859"/>
      <c r="E19" s="859"/>
      <c r="F19" s="859"/>
      <c r="G19" s="859"/>
      <c r="H19" s="859"/>
      <c r="I19" s="859"/>
      <c r="J19" s="859"/>
      <c r="K19" s="406"/>
      <c r="L19"/>
      <c r="M19" s="406"/>
      <c r="N19" s="406"/>
      <c r="O19" s="406"/>
      <c r="P19" s="406"/>
      <c r="Q19" s="406"/>
      <c r="R19" s="406"/>
      <c r="S19" s="406"/>
    </row>
    <row r="20" spans="2:19" ht="30" customHeight="1">
      <c r="B20" s="859" t="s">
        <v>1011</v>
      </c>
      <c r="C20" s="859"/>
      <c r="D20" s="859"/>
      <c r="E20" s="859"/>
      <c r="F20" s="859"/>
      <c r="G20" s="859"/>
      <c r="H20" s="859"/>
      <c r="I20" s="859"/>
      <c r="J20" s="859"/>
    </row>
    <row r="21" spans="2:19" ht="32.25" customHeight="1">
      <c r="B21" s="859" t="s">
        <v>1005</v>
      </c>
      <c r="C21" s="859"/>
      <c r="D21" s="859"/>
      <c r="E21" s="859"/>
      <c r="F21" s="859"/>
      <c r="G21" s="859"/>
      <c r="H21" s="859"/>
      <c r="I21" s="859"/>
      <c r="J21" s="859"/>
      <c r="N21"/>
    </row>
    <row r="22" spans="2:19">
      <c r="B22" s="407"/>
    </row>
    <row r="23" spans="2:19">
      <c r="B23" s="408" t="s">
        <v>1029</v>
      </c>
      <c r="C23" s="321"/>
      <c r="D23" s="321"/>
      <c r="E23" s="321"/>
      <c r="F23" s="321"/>
      <c r="G23" s="321"/>
      <c r="H23" s="321"/>
      <c r="I23" s="321"/>
      <c r="J23" s="321"/>
    </row>
    <row r="24" spans="2:19">
      <c r="B24" s="860" t="s">
        <v>1006</v>
      </c>
      <c r="C24" s="860"/>
      <c r="D24" s="860"/>
      <c r="E24" s="860"/>
      <c r="F24" s="860"/>
      <c r="G24" s="860"/>
      <c r="H24" s="860"/>
      <c r="I24" s="860"/>
      <c r="J24" s="860"/>
    </row>
    <row r="25" spans="2:19">
      <c r="B25" s="858" t="s">
        <v>1017</v>
      </c>
      <c r="C25" s="858"/>
      <c r="D25" s="858"/>
      <c r="E25" s="858"/>
      <c r="F25" s="858"/>
      <c r="G25" s="858"/>
      <c r="H25" s="858"/>
      <c r="I25" s="858"/>
      <c r="J25" s="858"/>
    </row>
    <row r="26" spans="2:19">
      <c r="B26" s="857" t="s">
        <v>1018</v>
      </c>
      <c r="C26" s="857"/>
      <c r="D26" s="857"/>
      <c r="E26" s="857"/>
      <c r="F26" s="857"/>
      <c r="G26" s="857"/>
      <c r="H26" s="857"/>
      <c r="I26" s="857"/>
      <c r="J26" s="857"/>
    </row>
    <row r="27" spans="2:19" ht="30.75" customHeight="1">
      <c r="B27" s="857" t="s">
        <v>1016</v>
      </c>
      <c r="C27" s="857"/>
      <c r="D27" s="857"/>
      <c r="E27" s="857"/>
      <c r="F27" s="857"/>
      <c r="G27" s="857"/>
      <c r="H27" s="857"/>
      <c r="I27" s="857"/>
      <c r="J27" s="857"/>
    </row>
    <row r="28" spans="2:19">
      <c r="B28" s="857" t="s">
        <v>1020</v>
      </c>
      <c r="C28" s="857"/>
      <c r="D28" s="857"/>
      <c r="E28" s="857"/>
      <c r="F28" s="857"/>
      <c r="G28" s="857"/>
      <c r="H28" s="857"/>
      <c r="I28" s="857"/>
      <c r="J28" s="857"/>
    </row>
    <row r="29" spans="2:19">
      <c r="B29" s="857" t="s">
        <v>1019</v>
      </c>
      <c r="C29" s="857"/>
      <c r="D29" s="857"/>
      <c r="E29" s="857"/>
      <c r="F29" s="857"/>
      <c r="G29" s="857"/>
      <c r="H29" s="857"/>
      <c r="I29" s="857"/>
      <c r="J29" s="857"/>
    </row>
    <row r="31" spans="2:19">
      <c r="B31" s="408" t="s">
        <v>1030</v>
      </c>
      <c r="C31" s="321"/>
      <c r="D31" s="321"/>
      <c r="E31" s="321"/>
      <c r="F31" s="321"/>
      <c r="G31" s="321"/>
      <c r="H31" s="321"/>
      <c r="I31" s="321"/>
      <c r="J31" s="321"/>
    </row>
    <row r="32" spans="2:19">
      <c r="B32" s="226" t="s">
        <v>1012</v>
      </c>
    </row>
    <row r="33" spans="2:10" ht="32.25" customHeight="1">
      <c r="B33" s="856" t="s">
        <v>1026</v>
      </c>
      <c r="C33" s="856"/>
      <c r="D33" s="856"/>
      <c r="E33" s="856"/>
      <c r="F33" s="856"/>
      <c r="G33" s="856"/>
      <c r="H33" s="856"/>
      <c r="I33" s="856"/>
      <c r="J33" s="856"/>
    </row>
    <row r="34" spans="2:10">
      <c r="B34" s="12" t="s">
        <v>1055</v>
      </c>
    </row>
    <row r="54" spans="2:10">
      <c r="B54" s="408" t="s">
        <v>1010</v>
      </c>
      <c r="C54" s="408"/>
      <c r="D54" s="408"/>
      <c r="E54" s="408"/>
      <c r="F54" s="408"/>
      <c r="G54" s="408"/>
      <c r="H54" s="408"/>
      <c r="I54" s="408"/>
      <c r="J54" s="408"/>
    </row>
    <row r="55" spans="2:10">
      <c r="B55" s="12" t="s">
        <v>1013</v>
      </c>
    </row>
    <row r="56" spans="2:10" ht="15" customHeight="1">
      <c r="B56" s="503" t="s">
        <v>1081</v>
      </c>
    </row>
    <row r="57" spans="2:10" ht="33" customHeight="1">
      <c r="B57" s="857" t="s">
        <v>1015</v>
      </c>
      <c r="C57" s="857"/>
      <c r="D57" s="857"/>
      <c r="E57" s="857"/>
      <c r="F57" s="857"/>
      <c r="G57" s="857"/>
      <c r="H57" s="857"/>
      <c r="I57" s="857"/>
      <c r="J57" s="857"/>
    </row>
    <row r="58" spans="2:10" ht="31.5" customHeight="1">
      <c r="B58" s="857" t="s">
        <v>1014</v>
      </c>
      <c r="C58" s="857"/>
      <c r="D58" s="857"/>
      <c r="E58" s="857"/>
      <c r="F58" s="857"/>
      <c r="G58" s="857"/>
      <c r="H58" s="857"/>
      <c r="I58" s="857"/>
      <c r="J58" s="857"/>
    </row>
    <row r="60" spans="2:10">
      <c r="B60" s="421" t="s">
        <v>1044</v>
      </c>
    </row>
    <row r="61" spans="2:10" ht="15" customHeight="1">
      <c r="B61" s="863" t="s">
        <v>1074</v>
      </c>
      <c r="C61" s="863"/>
      <c r="D61" s="863"/>
      <c r="E61" s="863"/>
      <c r="F61" s="863"/>
      <c r="G61" s="863"/>
      <c r="H61" s="863"/>
      <c r="I61" s="863"/>
      <c r="J61" s="863"/>
    </row>
    <row r="62" spans="2:10" ht="15" customHeight="1">
      <c r="B62" s="857" t="s">
        <v>1075</v>
      </c>
      <c r="C62" s="857"/>
      <c r="D62" s="857"/>
      <c r="E62" s="857"/>
      <c r="F62" s="857"/>
      <c r="G62" s="857"/>
      <c r="H62" s="857"/>
      <c r="I62" s="857"/>
      <c r="J62" s="857"/>
    </row>
    <row r="63" spans="2:10" ht="15" customHeight="1">
      <c r="B63" s="857" t="s">
        <v>1070</v>
      </c>
      <c r="C63" s="857"/>
      <c r="D63" s="857"/>
      <c r="E63" s="857"/>
      <c r="F63" s="857"/>
      <c r="G63" s="857"/>
      <c r="H63" s="857"/>
      <c r="I63" s="857"/>
      <c r="J63" s="857"/>
    </row>
    <row r="64" spans="2:10" ht="15" customHeight="1">
      <c r="B64" s="498"/>
      <c r="C64" s="498"/>
      <c r="D64" s="498"/>
      <c r="E64" s="498"/>
      <c r="F64" s="498"/>
      <c r="G64" s="498"/>
      <c r="H64" s="498"/>
      <c r="I64" s="498"/>
      <c r="J64" s="498"/>
    </row>
    <row r="65" spans="2:10" ht="15" customHeight="1">
      <c r="B65" s="487" t="s">
        <v>1045</v>
      </c>
      <c r="C65" s="498"/>
      <c r="D65" s="498"/>
      <c r="E65" s="498"/>
      <c r="F65" s="498"/>
      <c r="G65" s="498"/>
      <c r="H65" s="498"/>
      <c r="I65" s="498"/>
      <c r="J65" s="498"/>
    </row>
    <row r="66" spans="2:10">
      <c r="B66" s="12" t="s">
        <v>1072</v>
      </c>
    </row>
    <row r="67" spans="2:10">
      <c r="B67" s="12" t="s">
        <v>1073</v>
      </c>
    </row>
    <row r="68" spans="2:10" ht="31.5" customHeight="1">
      <c r="B68" s="864" t="s">
        <v>1076</v>
      </c>
      <c r="C68" s="864"/>
      <c r="D68" s="864"/>
      <c r="E68" s="864"/>
      <c r="F68" s="864"/>
      <c r="G68" s="864"/>
      <c r="H68" s="864"/>
      <c r="I68" s="864"/>
      <c r="J68" s="864"/>
    </row>
    <row r="69" spans="2:10">
      <c r="B69" s="12" t="s">
        <v>1046</v>
      </c>
    </row>
    <row r="70" spans="2:10">
      <c r="B70" s="12" t="s">
        <v>1047</v>
      </c>
    </row>
    <row r="71" spans="2:10">
      <c r="B71" s="12" t="s">
        <v>1048</v>
      </c>
    </row>
    <row r="72" spans="2:10">
      <c r="B72" s="12" t="s">
        <v>1049</v>
      </c>
    </row>
    <row r="73" spans="2:10">
      <c r="B73" s="857" t="s">
        <v>1071</v>
      </c>
      <c r="C73" s="857"/>
      <c r="D73" s="857"/>
      <c r="E73" s="857"/>
      <c r="F73" s="857"/>
      <c r="G73" s="857"/>
      <c r="H73" s="857"/>
      <c r="I73" s="857"/>
      <c r="J73" s="857"/>
    </row>
    <row r="75" spans="2:10">
      <c r="B75" s="12" t="s">
        <v>1050</v>
      </c>
    </row>
    <row r="76" spans="2:10" ht="30" customHeight="1">
      <c r="B76" s="857" t="s">
        <v>1052</v>
      </c>
      <c r="C76" s="857"/>
      <c r="D76" s="857"/>
      <c r="E76" s="857"/>
      <c r="F76" s="857"/>
      <c r="G76" s="857"/>
      <c r="H76" s="857"/>
      <c r="I76" s="857"/>
      <c r="J76" s="857"/>
    </row>
    <row r="77" spans="2:10" ht="28.5" customHeight="1">
      <c r="B77" s="857" t="s">
        <v>1051</v>
      </c>
      <c r="C77" s="857"/>
      <c r="D77" s="857"/>
      <c r="E77" s="857"/>
      <c r="F77" s="857"/>
      <c r="G77" s="857"/>
      <c r="H77" s="857"/>
      <c r="I77" s="857"/>
      <c r="J77" s="857"/>
    </row>
    <row r="79" spans="2:10">
      <c r="B79" s="499" t="s">
        <v>1054</v>
      </c>
    </row>
  </sheetData>
  <sheetProtection algorithmName="SHA-512" hashValue="c3SZeFyeb/H+Q00EVCjF083fj1JOB+b5wQJTBN8VzkCWHgk2s+/QJFGZBwSADXMMxle53J7gwt5NbTa3Ua9NEA==" saltValue="2x0zPXNapgPlqHDKIIJqVg==" spinCount="100000" sheet="1" objects="1" scenarios="1"/>
  <mergeCells count="21">
    <mergeCell ref="B57:J57"/>
    <mergeCell ref="B58:J58"/>
    <mergeCell ref="B61:J61"/>
    <mergeCell ref="B76:J76"/>
    <mergeCell ref="B77:J77"/>
    <mergeCell ref="B62:J62"/>
    <mergeCell ref="B63:J63"/>
    <mergeCell ref="B73:J73"/>
    <mergeCell ref="B68:J68"/>
    <mergeCell ref="B19:J19"/>
    <mergeCell ref="B20:J20"/>
    <mergeCell ref="B21:J21"/>
    <mergeCell ref="B24:J24"/>
    <mergeCell ref="B4:J4"/>
    <mergeCell ref="B5:J5"/>
    <mergeCell ref="B33:J33"/>
    <mergeCell ref="B27:J27"/>
    <mergeCell ref="B25:J25"/>
    <mergeCell ref="B26:J26"/>
    <mergeCell ref="B28:J28"/>
    <mergeCell ref="B29:J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79998168889431442"/>
  </sheetPr>
  <dimension ref="B1:P8"/>
  <sheetViews>
    <sheetView workbookViewId="0">
      <selection activeCell="J18" sqref="J18"/>
    </sheetView>
  </sheetViews>
  <sheetFormatPr defaultColWidth="8.7109375" defaultRowHeight="15"/>
  <cols>
    <col min="1" max="1" width="0.85546875" style="12" customWidth="1"/>
    <col min="2" max="2" width="12" style="12" customWidth="1"/>
    <col min="3" max="3" width="25" style="12" customWidth="1"/>
    <col min="4" max="16384" width="8.7109375" style="12"/>
  </cols>
  <sheetData>
    <row r="1" spans="2:16" ht="5.0999999999999996" customHeight="1"/>
    <row r="2" spans="2:16" ht="18.75">
      <c r="B2" s="883" t="s">
        <v>591</v>
      </c>
      <c r="C2" s="883"/>
      <c r="D2" s="883"/>
      <c r="E2" s="883"/>
      <c r="F2" s="883"/>
      <c r="G2" s="883"/>
      <c r="H2" s="883"/>
      <c r="I2" s="883"/>
      <c r="J2" s="883"/>
      <c r="K2" s="486"/>
      <c r="L2" s="486"/>
      <c r="M2" s="486"/>
      <c r="N2" s="486"/>
      <c r="O2" s="486"/>
      <c r="P2" s="486"/>
    </row>
    <row r="3" spans="2:16">
      <c r="B3" s="14"/>
    </row>
    <row r="4" spans="2:16">
      <c r="B4" s="485" t="s">
        <v>293</v>
      </c>
      <c r="C4" s="485" t="s">
        <v>237</v>
      </c>
      <c r="D4" s="485" t="s">
        <v>193</v>
      </c>
      <c r="E4" s="485"/>
      <c r="F4" s="485"/>
      <c r="G4" s="485"/>
      <c r="H4" s="485"/>
      <c r="I4" s="485"/>
      <c r="J4" s="485"/>
      <c r="K4" s="32"/>
      <c r="L4" s="32"/>
      <c r="M4" s="32"/>
      <c r="N4" s="32"/>
      <c r="O4" s="32"/>
      <c r="P4" s="32"/>
    </row>
    <row r="5" spans="2:16" ht="31.5" customHeight="1">
      <c r="B5" s="316">
        <v>5.0999999999999996</v>
      </c>
      <c r="C5" s="316" t="s">
        <v>998</v>
      </c>
      <c r="D5" s="906" t="s">
        <v>1023</v>
      </c>
      <c r="E5" s="906"/>
      <c r="F5" s="906"/>
      <c r="G5" s="906"/>
      <c r="H5" s="906"/>
      <c r="I5" s="906"/>
      <c r="J5" s="906"/>
    </row>
    <row r="6" spans="2:16" ht="30.75" customHeight="1">
      <c r="B6" s="487">
        <v>5.2</v>
      </c>
      <c r="C6" s="316" t="s">
        <v>662</v>
      </c>
      <c r="D6" s="864" t="s">
        <v>1024</v>
      </c>
      <c r="E6" s="864"/>
      <c r="F6" s="864"/>
      <c r="G6" s="864"/>
      <c r="H6" s="864"/>
      <c r="I6" s="864"/>
      <c r="J6" s="864"/>
    </row>
    <row r="7" spans="2:16" ht="30.75" customHeight="1">
      <c r="B7" s="316">
        <v>5.3</v>
      </c>
      <c r="C7" s="316" t="s">
        <v>592</v>
      </c>
      <c r="D7" s="864" t="s">
        <v>1025</v>
      </c>
      <c r="E7" s="864"/>
      <c r="F7" s="864"/>
      <c r="G7" s="864"/>
      <c r="H7" s="864"/>
      <c r="I7" s="864"/>
      <c r="J7" s="864"/>
    </row>
    <row r="8" spans="2:16">
      <c r="D8" s="315"/>
      <c r="E8" s="315"/>
      <c r="F8" s="315"/>
      <c r="G8" s="315"/>
      <c r="H8" s="315"/>
      <c r="I8" s="315"/>
      <c r="J8" s="315"/>
    </row>
  </sheetData>
  <sheetProtection algorithmName="SHA-512" hashValue="f2c/OA5Y3pwa9j7Kk00L09RFjSjCx3QS/X8/nuwZxm8r/snGkL76VFU7TBAzKOwXLLmsTtKAv/ysl91kWslfIQ==" saltValue="PZsDgQK4CUndkuRrLIC5dA==" spinCount="100000" sheet="1" objects="1" scenarios="1"/>
  <mergeCells count="4">
    <mergeCell ref="B2:J2"/>
    <mergeCell ref="D5:J5"/>
    <mergeCell ref="D6:J6"/>
    <mergeCell ref="D7:J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7" tint="0.79998168889431442"/>
    <pageSetUpPr fitToPage="1"/>
  </sheetPr>
  <dimension ref="A1:S134"/>
  <sheetViews>
    <sheetView zoomScale="115" zoomScaleNormal="115" workbookViewId="0">
      <pane xSplit="2" ySplit="3" topLeftCell="C4" activePane="bottomRight" state="frozen"/>
      <selection pane="topRight" activeCell="C1" sqref="C1"/>
      <selection pane="bottomLeft" activeCell="A10" sqref="A10"/>
      <selection pane="bottomRight" activeCell="E8" sqref="E8"/>
    </sheetView>
  </sheetViews>
  <sheetFormatPr defaultColWidth="11.140625" defaultRowHeight="15"/>
  <cols>
    <col min="1" max="1" width="0.85546875" style="12" customWidth="1"/>
    <col min="2" max="2" width="35.85546875" style="12" bestFit="1" customWidth="1"/>
    <col min="3" max="3" width="25.85546875" style="12" customWidth="1"/>
    <col min="4" max="4" width="27.5703125" style="12" customWidth="1"/>
    <col min="5" max="5" width="22.7109375" style="12" bestFit="1" customWidth="1"/>
    <col min="6" max="6" width="26.42578125" style="12" bestFit="1" customWidth="1"/>
    <col min="7" max="17" width="22.7109375" style="12" bestFit="1" customWidth="1"/>
    <col min="18" max="18" width="22.7109375" style="12" customWidth="1"/>
    <col min="19" max="19" width="20.42578125" style="12" bestFit="1" customWidth="1"/>
    <col min="20" max="16384" width="11.140625" style="12"/>
  </cols>
  <sheetData>
    <row r="1" spans="1:18" ht="18.75">
      <c r="B1" s="322" t="s">
        <v>861</v>
      </c>
      <c r="C1" s="321"/>
      <c r="D1" s="24"/>
      <c r="E1" s="31"/>
      <c r="F1" s="24"/>
    </row>
    <row r="2" spans="1:18">
      <c r="A2" s="24"/>
    </row>
    <row r="3" spans="1:18" ht="16.5" thickBot="1">
      <c r="A3" s="24"/>
      <c r="C3" s="194" t="s">
        <v>617</v>
      </c>
      <c r="D3" s="194" t="s">
        <v>595</v>
      </c>
      <c r="E3" s="194" t="s">
        <v>596</v>
      </c>
      <c r="F3" s="194" t="s">
        <v>597</v>
      </c>
      <c r="G3" s="194" t="s">
        <v>598</v>
      </c>
      <c r="H3" s="194" t="s">
        <v>599</v>
      </c>
      <c r="I3" s="195"/>
      <c r="J3" s="195"/>
      <c r="K3" s="195"/>
      <c r="L3" s="195"/>
      <c r="M3" s="195"/>
      <c r="N3" s="195"/>
      <c r="O3" s="195"/>
      <c r="P3" s="195"/>
      <c r="Q3" s="195"/>
      <c r="R3" s="195"/>
    </row>
    <row r="4" spans="1:18" ht="18.75">
      <c r="A4" s="24"/>
      <c r="B4" s="213" t="s">
        <v>89</v>
      </c>
      <c r="C4" s="297">
        <v>0</v>
      </c>
      <c r="D4" s="297">
        <v>1</v>
      </c>
      <c r="E4" s="297">
        <v>2</v>
      </c>
      <c r="F4" s="297">
        <v>3</v>
      </c>
      <c r="G4" s="297">
        <v>4</v>
      </c>
      <c r="H4" s="297">
        <v>5</v>
      </c>
      <c r="I4" s="297"/>
      <c r="J4" s="297"/>
      <c r="K4" s="297"/>
      <c r="L4" s="297"/>
      <c r="M4" s="297"/>
      <c r="N4" s="297"/>
      <c r="O4" s="297"/>
      <c r="P4" s="297"/>
      <c r="Q4" s="297"/>
      <c r="R4" s="297"/>
    </row>
    <row r="5" spans="1:18" ht="15.75">
      <c r="A5" s="24"/>
      <c r="B5" s="196"/>
      <c r="C5" s="195"/>
      <c r="D5" s="195"/>
      <c r="E5" s="195"/>
      <c r="F5" s="195"/>
      <c r="G5" s="195"/>
      <c r="H5" s="195"/>
      <c r="I5" s="195"/>
      <c r="J5" s="195"/>
      <c r="K5" s="195"/>
      <c r="L5" s="195"/>
      <c r="M5" s="195"/>
      <c r="N5" s="195"/>
      <c r="O5" s="195"/>
      <c r="P5" s="195"/>
      <c r="Q5" s="195"/>
      <c r="R5" s="195"/>
    </row>
    <row r="6" spans="1:18" s="14" customFormat="1">
      <c r="B6" s="287" t="s">
        <v>637</v>
      </c>
      <c r="C6" s="283">
        <f>SUM(C7:C14)</f>
        <v>0</v>
      </c>
      <c r="D6" s="283">
        <f>SUM(D7:D14)</f>
        <v>306314.94807867077</v>
      </c>
      <c r="E6" s="283">
        <f t="shared" ref="E6:H6" si="0">SUM(E7:E14)</f>
        <v>306314.94807867077</v>
      </c>
      <c r="F6" s="283">
        <f t="shared" si="0"/>
        <v>306314.94807867077</v>
      </c>
      <c r="G6" s="283">
        <f t="shared" si="0"/>
        <v>306314.94807867077</v>
      </c>
      <c r="H6" s="338">
        <f t="shared" si="0"/>
        <v>306314.94807867077</v>
      </c>
      <c r="I6" s="337"/>
      <c r="J6" s="337"/>
      <c r="K6" s="337"/>
      <c r="L6" s="337"/>
      <c r="M6" s="337"/>
      <c r="N6" s="337"/>
      <c r="O6" s="337"/>
      <c r="P6" s="337"/>
      <c r="Q6" s="337"/>
      <c r="R6" s="337"/>
    </row>
    <row r="7" spans="1:18">
      <c r="B7" s="191" t="str">
        <f>IF(INDEX(General_Products,ROWS($B$7:$B7))="","",INDEX(General_Products,ROWS($B$7:$B7)))</f>
        <v>Gate fee</v>
      </c>
      <c r="C7" s="282">
        <v>0</v>
      </c>
      <c r="D7" s="282">
        <f>INDEX(General_Products_Amount,MATCH($B7,General_Products,0))*INDEX(General_Products_Prices,MATCH($B7,General_Products,0))</f>
        <v>0</v>
      </c>
      <c r="E7" s="282">
        <f>D7</f>
        <v>0</v>
      </c>
      <c r="F7" s="282">
        <f t="shared" ref="F7:H7" si="1">E7</f>
        <v>0</v>
      </c>
      <c r="G7" s="282">
        <f t="shared" si="1"/>
        <v>0</v>
      </c>
      <c r="H7" s="339">
        <f t="shared" si="1"/>
        <v>0</v>
      </c>
      <c r="I7" s="121"/>
      <c r="J7" s="121"/>
      <c r="K7" s="121"/>
      <c r="L7" s="121"/>
      <c r="M7" s="121"/>
      <c r="N7" s="121"/>
      <c r="O7" s="121"/>
      <c r="P7" s="121"/>
      <c r="Q7" s="121"/>
      <c r="R7" s="121"/>
    </row>
    <row r="8" spans="1:18">
      <c r="B8" s="185" t="str">
        <f>IF(INDEX(General_Products,ROWS($B$7:$B8))="","",INDEX(General_Products,ROWS($B$7:$B8)))</f>
        <v>Fresh Larvae</v>
      </c>
      <c r="C8" s="281">
        <v>0</v>
      </c>
      <c r="D8" s="281">
        <f t="shared" ref="D8:D14" si="2">INDEX(General_Products_Amount,MATCH($B8,General_Products,0))*INDEX(General_Products_Prices,MATCH($B8,General_Products,0))</f>
        <v>306314.94807867077</v>
      </c>
      <c r="E8" s="281">
        <f t="shared" ref="E8:H11" si="3">D8</f>
        <v>306314.94807867077</v>
      </c>
      <c r="F8" s="281">
        <f t="shared" si="3"/>
        <v>306314.94807867077</v>
      </c>
      <c r="G8" s="281">
        <f t="shared" si="3"/>
        <v>306314.94807867077</v>
      </c>
      <c r="H8" s="121">
        <f t="shared" si="3"/>
        <v>306314.94807867077</v>
      </c>
      <c r="I8" s="121"/>
      <c r="J8" s="121"/>
      <c r="K8" s="121"/>
      <c r="L8" s="121"/>
      <c r="M8" s="121"/>
      <c r="N8" s="121"/>
      <c r="O8" s="121"/>
      <c r="P8" s="121"/>
      <c r="Q8" s="121"/>
      <c r="R8" s="121"/>
    </row>
    <row r="9" spans="1:18">
      <c r="B9" s="185" t="str">
        <f>IF(INDEX(General_Products,ROWS($B$7:$B9))="","",INDEX(General_Products,ROWS($B$7:$B9)))</f>
        <v>Dried Larvae</v>
      </c>
      <c r="C9" s="281">
        <v>0</v>
      </c>
      <c r="D9" s="281">
        <f t="shared" si="2"/>
        <v>0</v>
      </c>
      <c r="E9" s="281">
        <f t="shared" si="3"/>
        <v>0</v>
      </c>
      <c r="F9" s="281">
        <f t="shared" si="3"/>
        <v>0</v>
      </c>
      <c r="G9" s="281">
        <f t="shared" si="3"/>
        <v>0</v>
      </c>
      <c r="H9" s="121">
        <f t="shared" si="3"/>
        <v>0</v>
      </c>
      <c r="I9" s="121"/>
      <c r="J9" s="121"/>
      <c r="K9" s="121"/>
      <c r="L9" s="121"/>
      <c r="M9" s="121"/>
      <c r="N9" s="121"/>
      <c r="O9" s="121"/>
      <c r="P9" s="121"/>
      <c r="Q9" s="121"/>
      <c r="R9" s="121"/>
    </row>
    <row r="10" spans="1:18">
      <c r="B10" s="185" t="str">
        <f>IF(INDEX(General_Products,ROWS($B$7:$B10))="","",INDEX(General_Products,ROWS($B$7:$B10)))</f>
        <v>Larvae Meal</v>
      </c>
      <c r="C10" s="281">
        <v>0</v>
      </c>
      <c r="D10" s="281">
        <f t="shared" si="2"/>
        <v>0</v>
      </c>
      <c r="E10" s="281">
        <f t="shared" si="3"/>
        <v>0</v>
      </c>
      <c r="F10" s="281">
        <f t="shared" si="3"/>
        <v>0</v>
      </c>
      <c r="G10" s="281">
        <f t="shared" si="3"/>
        <v>0</v>
      </c>
      <c r="H10" s="121">
        <f t="shared" si="3"/>
        <v>0</v>
      </c>
      <c r="I10" s="121"/>
      <c r="J10" s="121"/>
      <c r="K10" s="121"/>
      <c r="L10" s="121"/>
      <c r="M10" s="121"/>
      <c r="N10" s="121"/>
      <c r="O10" s="121"/>
      <c r="P10" s="121"/>
      <c r="Q10" s="121"/>
      <c r="R10" s="121"/>
    </row>
    <row r="11" spans="1:18">
      <c r="B11" s="185" t="str">
        <f>IF(INDEX(General_Products,ROWS($B$7:$B11))="","",INDEX(General_Products,ROWS($B$7:$B11)))</f>
        <v>Larvae Oil (crude)</v>
      </c>
      <c r="C11" s="281">
        <v>0</v>
      </c>
      <c r="D11" s="281">
        <f t="shared" si="2"/>
        <v>0</v>
      </c>
      <c r="E11" s="281">
        <f t="shared" si="3"/>
        <v>0</v>
      </c>
      <c r="F11" s="281">
        <f t="shared" si="3"/>
        <v>0</v>
      </c>
      <c r="G11" s="281">
        <f t="shared" si="3"/>
        <v>0</v>
      </c>
      <c r="H11" s="121">
        <f t="shared" si="3"/>
        <v>0</v>
      </c>
      <c r="I11" s="121"/>
      <c r="J11" s="121"/>
      <c r="K11" s="121"/>
      <c r="L11" s="121"/>
      <c r="M11" s="121"/>
      <c r="N11" s="121"/>
      <c r="O11" s="121"/>
      <c r="P11" s="121"/>
      <c r="Q11" s="121"/>
      <c r="R11" s="121"/>
    </row>
    <row r="12" spans="1:18">
      <c r="B12" s="185" t="str">
        <f>IF(INDEX(General_Products,ROWS($B$7:$B12))="","",INDEX(General_Products,ROWS($B$7:$B12)))</f>
        <v>Eggs</v>
      </c>
      <c r="C12" s="281">
        <v>0</v>
      </c>
      <c r="D12" s="281">
        <f t="shared" si="2"/>
        <v>0</v>
      </c>
      <c r="E12" s="281">
        <f t="shared" ref="E12" si="4">D12</f>
        <v>0</v>
      </c>
      <c r="F12" s="281">
        <f>E12</f>
        <v>0</v>
      </c>
      <c r="G12" s="281">
        <f t="shared" ref="G12" si="5">F12</f>
        <v>0</v>
      </c>
      <c r="H12" s="121">
        <f t="shared" ref="H12" si="6">G12</f>
        <v>0</v>
      </c>
      <c r="I12" s="121"/>
      <c r="J12" s="121"/>
      <c r="K12" s="121"/>
      <c r="L12" s="121"/>
      <c r="M12" s="121"/>
      <c r="N12" s="121"/>
      <c r="O12" s="121"/>
      <c r="P12" s="121"/>
      <c r="Q12" s="121"/>
      <c r="R12" s="121"/>
    </row>
    <row r="13" spans="1:18">
      <c r="B13" s="185" t="str">
        <f>IF(INDEX(General_Products,ROWS($B$7:$B13))="","",INDEX(General_Products,ROWS($B$7:$B13)))</f>
        <v>5DOL</v>
      </c>
      <c r="C13" s="281">
        <v>0</v>
      </c>
      <c r="D13" s="281">
        <f t="shared" si="2"/>
        <v>0</v>
      </c>
      <c r="E13" s="281">
        <f t="shared" ref="E13" si="7">D13</f>
        <v>0</v>
      </c>
      <c r="F13" s="281">
        <f>E13</f>
        <v>0</v>
      </c>
      <c r="G13" s="281">
        <f t="shared" ref="G13" si="8">F13</f>
        <v>0</v>
      </c>
      <c r="H13" s="121">
        <f t="shared" ref="H13" si="9">G13</f>
        <v>0</v>
      </c>
      <c r="I13" s="121"/>
      <c r="J13" s="121"/>
      <c r="K13" s="121"/>
      <c r="L13" s="121"/>
      <c r="M13" s="121"/>
      <c r="N13" s="121"/>
      <c r="O13" s="121"/>
      <c r="P13" s="121"/>
      <c r="Q13" s="121"/>
      <c r="R13" s="121"/>
    </row>
    <row r="14" spans="1:18">
      <c r="B14" s="185" t="str">
        <f>IF(INDEX(General_Products,ROWS($B$7:$B14))="","",INDEX(General_Products,ROWS($B$7:$B14)))</f>
        <v>Compost</v>
      </c>
      <c r="C14" s="281">
        <v>0</v>
      </c>
      <c r="D14" s="281">
        <f t="shared" si="2"/>
        <v>0</v>
      </c>
      <c r="E14" s="281">
        <f t="shared" ref="E14" si="10">D14</f>
        <v>0</v>
      </c>
      <c r="F14" s="281">
        <f>E14</f>
        <v>0</v>
      </c>
      <c r="G14" s="281">
        <f t="shared" ref="G14" si="11">F14</f>
        <v>0</v>
      </c>
      <c r="H14" s="121">
        <f t="shared" ref="H14" si="12">G14</f>
        <v>0</v>
      </c>
      <c r="I14" s="121"/>
      <c r="J14" s="121"/>
      <c r="K14" s="121"/>
      <c r="L14" s="121"/>
      <c r="M14" s="121"/>
      <c r="N14" s="121"/>
      <c r="O14" s="121"/>
      <c r="P14" s="121"/>
      <c r="Q14" s="121"/>
      <c r="R14" s="121"/>
    </row>
    <row r="15" spans="1:18">
      <c r="B15" s="185"/>
      <c r="C15" s="121"/>
      <c r="D15" s="121"/>
      <c r="E15" s="121"/>
      <c r="F15" s="121"/>
      <c r="G15" s="121"/>
      <c r="H15" s="121"/>
      <c r="I15" s="121"/>
      <c r="J15" s="121"/>
      <c r="K15" s="121"/>
      <c r="L15" s="121"/>
      <c r="M15" s="121"/>
      <c r="N15" s="121"/>
      <c r="O15" s="121"/>
      <c r="P15" s="121"/>
      <c r="Q15" s="121"/>
      <c r="R15" s="121"/>
    </row>
    <row r="16" spans="1:18" s="24" customFormat="1">
      <c r="B16" s="190"/>
      <c r="C16" s="121"/>
      <c r="D16" s="268"/>
      <c r="F16" s="121"/>
      <c r="G16" s="121"/>
      <c r="H16" s="121"/>
      <c r="J16" s="121"/>
      <c r="K16" s="121"/>
      <c r="L16" s="121"/>
      <c r="M16" s="121"/>
      <c r="N16" s="121"/>
      <c r="O16" s="121"/>
      <c r="P16" s="121"/>
      <c r="Q16" s="121"/>
      <c r="R16" s="121"/>
    </row>
    <row r="17" spans="2:18" s="24" customFormat="1" ht="18.75">
      <c r="B17" s="213" t="s">
        <v>618</v>
      </c>
      <c r="C17" s="121"/>
      <c r="D17" s="268"/>
      <c r="E17" s="121"/>
      <c r="F17" s="121"/>
      <c r="G17" s="121"/>
      <c r="H17" s="121"/>
      <c r="I17" s="121"/>
      <c r="J17" s="121"/>
      <c r="K17" s="121"/>
      <c r="L17" s="121"/>
      <c r="M17" s="121"/>
      <c r="N17" s="121"/>
      <c r="O17" s="121"/>
      <c r="P17" s="121"/>
      <c r="Q17" s="121"/>
      <c r="R17" s="121"/>
    </row>
    <row r="18" spans="2:18" s="24" customFormat="1">
      <c r="C18" s="121"/>
      <c r="D18" s="121"/>
      <c r="E18" s="121"/>
      <c r="F18" s="121"/>
      <c r="G18" s="121"/>
      <c r="H18" s="121"/>
      <c r="I18" s="121"/>
      <c r="J18" s="121"/>
      <c r="K18" s="121"/>
      <c r="L18" s="121"/>
      <c r="M18" s="121"/>
      <c r="N18" s="121"/>
      <c r="O18" s="121"/>
      <c r="P18" s="121"/>
      <c r="Q18" s="121"/>
      <c r="R18" s="121"/>
    </row>
    <row r="19" spans="2:18" s="14" customFormat="1">
      <c r="B19" s="287" t="s">
        <v>633</v>
      </c>
      <c r="C19" s="284">
        <f>SUM(C20:C28)</f>
        <v>66321.39499999999</v>
      </c>
      <c r="D19" s="284">
        <f t="shared" ref="D19:G19" si="13">SUM(D20:D27)</f>
        <v>1750</v>
      </c>
      <c r="E19" s="284">
        <f t="shared" si="13"/>
        <v>1750</v>
      </c>
      <c r="F19" s="284">
        <f t="shared" si="13"/>
        <v>3418.7999999999997</v>
      </c>
      <c r="G19" s="284">
        <f t="shared" si="13"/>
        <v>1750</v>
      </c>
      <c r="H19" s="489">
        <v>0</v>
      </c>
      <c r="I19" s="341"/>
      <c r="J19" s="337"/>
      <c r="K19" s="337"/>
      <c r="L19" s="337"/>
      <c r="M19" s="337"/>
      <c r="N19" s="337"/>
      <c r="O19" s="337"/>
      <c r="P19" s="337"/>
      <c r="Q19" s="337"/>
      <c r="R19" s="337"/>
    </row>
    <row r="20" spans="2:18" s="226" customFormat="1">
      <c r="B20" s="273" t="s">
        <v>715</v>
      </c>
      <c r="C20" s="281">
        <f>'5.3-Unit SG&amp;A'!$C$52</f>
        <v>0</v>
      </c>
      <c r="D20" s="281">
        <v>0</v>
      </c>
      <c r="E20" s="281">
        <v>0</v>
      </c>
      <c r="F20" s="281">
        <v>0</v>
      </c>
      <c r="G20" s="281">
        <v>0</v>
      </c>
      <c r="H20" s="121">
        <v>0</v>
      </c>
      <c r="I20" s="121"/>
      <c r="J20" s="121"/>
      <c r="K20" s="121"/>
      <c r="L20" s="121"/>
      <c r="M20" s="121"/>
      <c r="N20" s="121"/>
      <c r="O20" s="121"/>
      <c r="P20" s="121"/>
      <c r="Q20" s="121"/>
      <c r="R20" s="121"/>
    </row>
    <row r="21" spans="2:18" s="226" customFormat="1">
      <c r="B21" s="273" t="s">
        <v>716</v>
      </c>
      <c r="C21" s="281">
        <f>'5.3-Unit SG&amp;A'!$C$53</f>
        <v>0</v>
      </c>
      <c r="D21" s="281">
        <v>0</v>
      </c>
      <c r="E21" s="281">
        <v>0</v>
      </c>
      <c r="F21" s="281">
        <v>0</v>
      </c>
      <c r="G21" s="281">
        <v>0</v>
      </c>
      <c r="H21" s="121">
        <v>0</v>
      </c>
      <c r="I21" s="121"/>
      <c r="K21" s="121"/>
      <c r="L21" s="121"/>
      <c r="M21" s="121"/>
      <c r="N21" s="121"/>
      <c r="O21" s="121"/>
      <c r="P21" s="121"/>
      <c r="Q21" s="121"/>
      <c r="R21" s="121"/>
    </row>
    <row r="22" spans="2:18">
      <c r="B22" s="185" t="s">
        <v>136</v>
      </c>
      <c r="C22" s="281">
        <f>'5.3-Unit W'!H$149</f>
        <v>2548</v>
      </c>
      <c r="D22" s="281">
        <f>'5.3-Unit W'!I$149</f>
        <v>0</v>
      </c>
      <c r="E22" s="281">
        <f>'5.3-Unit W'!J$149</f>
        <v>0</v>
      </c>
      <c r="F22" s="281">
        <f>'5.3-Unit W'!K$149</f>
        <v>315</v>
      </c>
      <c r="G22" s="281">
        <f>'5.3-Unit W'!L$149</f>
        <v>0</v>
      </c>
      <c r="H22" s="121">
        <f>'5.3-Unit W'!M$149</f>
        <v>2232.9999999999995</v>
      </c>
      <c r="I22" s="121"/>
      <c r="J22" s="121"/>
      <c r="K22" s="121"/>
      <c r="L22" s="121"/>
      <c r="M22" s="121"/>
      <c r="N22" s="121"/>
      <c r="O22" s="121"/>
      <c r="P22" s="121"/>
      <c r="Q22" s="121"/>
      <c r="R22" s="121"/>
    </row>
    <row r="23" spans="2:18">
      <c r="B23" s="185" t="s">
        <v>137</v>
      </c>
      <c r="C23" s="281">
        <f>'5.3-Unit T'!H$149</f>
        <v>19852</v>
      </c>
      <c r="D23" s="281">
        <f>'5.3-Unit T'!I$149</f>
        <v>0</v>
      </c>
      <c r="E23" s="281">
        <f>'5.3-Unit T'!J$149</f>
        <v>0</v>
      </c>
      <c r="F23" s="281">
        <f>'5.3-Unit T'!K$149</f>
        <v>315</v>
      </c>
      <c r="G23" s="281">
        <f>'5.3-Unit T'!L$149</f>
        <v>0</v>
      </c>
      <c r="H23" s="121">
        <f>'5.3-Unit T'!M$149</f>
        <v>19537</v>
      </c>
      <c r="I23" s="121"/>
      <c r="J23" s="121"/>
      <c r="K23" s="121"/>
      <c r="L23" s="121"/>
      <c r="M23" s="121"/>
      <c r="N23" s="121"/>
      <c r="O23" s="121"/>
      <c r="P23" s="121"/>
      <c r="Q23" s="121"/>
      <c r="R23" s="121"/>
    </row>
    <row r="24" spans="2:18">
      <c r="B24" s="185" t="s">
        <v>138</v>
      </c>
      <c r="C24" s="281">
        <f>'5.3-Unit H'!H$149</f>
        <v>28731.5</v>
      </c>
      <c r="D24" s="281">
        <f>'5.3-Unit H'!I$149</f>
        <v>0</v>
      </c>
      <c r="E24" s="281">
        <f>'5.3-Unit H'!J$149</f>
        <v>0</v>
      </c>
      <c r="F24" s="281">
        <f>'5.3-Unit H'!K$149</f>
        <v>322</v>
      </c>
      <c r="G24" s="281">
        <f>'5.3-Unit H'!L$149</f>
        <v>0</v>
      </c>
      <c r="H24" s="121">
        <f>'5.3-Unit H'!M$149</f>
        <v>28409.5</v>
      </c>
      <c r="I24" s="121"/>
      <c r="J24" s="121"/>
      <c r="K24" s="121"/>
      <c r="L24" s="121"/>
      <c r="M24" s="121"/>
      <c r="N24" s="121"/>
      <c r="O24" s="121"/>
      <c r="P24" s="121"/>
      <c r="Q24" s="121"/>
      <c r="R24" s="121"/>
    </row>
    <row r="25" spans="2:18">
      <c r="B25" s="185" t="s">
        <v>550</v>
      </c>
      <c r="C25" s="281">
        <f>'5.3-Unit N (17DOL-Egg)'!H$149+'5.3-Unit N (Egg-5DOL)'!H$149+'5.3-Unit N (5DOL-17DOL)'!H$149</f>
        <v>11083.1</v>
      </c>
      <c r="D25" s="281">
        <f>'5.3-Unit N (17DOL-Egg)'!I$149+'5.3-Unit N (Egg-5DOL)'!I$149+'5.3-Unit N (5DOL-17DOL)'!I$149</f>
        <v>1750</v>
      </c>
      <c r="E25" s="281">
        <f>'5.3-Unit N (17DOL-Egg)'!J$149+'5.3-Unit N (Egg-5DOL)'!J$149+'5.3-Unit N (5DOL-17DOL)'!J$149</f>
        <v>1750</v>
      </c>
      <c r="F25" s="281">
        <f>'5.3-Unit N (17DOL-Egg)'!K$149+'5.3-Unit N (Egg-5DOL)'!K$149+'5.3-Unit N (5DOL-17DOL)'!K$149</f>
        <v>2315.6</v>
      </c>
      <c r="G25" s="281">
        <f>'5.3-Unit N (17DOL-Egg)'!L$149+'5.3-Unit N (Egg-5DOL)'!L$149+'5.3-Unit N (5DOL-17DOL)'!L$149</f>
        <v>1750</v>
      </c>
      <c r="H25" s="121">
        <f>'5.3-Unit N (17DOL-Egg)'!M$149+'5.3-Unit N (Egg-5DOL)'!M$149+'5.3-Unit N (5DOL-17DOL)'!M$149</f>
        <v>10517.5</v>
      </c>
      <c r="I25" s="121"/>
      <c r="J25" s="121"/>
      <c r="K25" s="121"/>
      <c r="L25" s="121"/>
      <c r="M25" s="121"/>
      <c r="N25" s="121"/>
      <c r="O25" s="121"/>
      <c r="P25" s="121"/>
      <c r="Q25" s="121"/>
      <c r="R25" s="121"/>
    </row>
    <row r="26" spans="2:18">
      <c r="B26" s="185" t="s">
        <v>276</v>
      </c>
      <c r="C26" s="281">
        <f>'5.3-Unit P'!H$149</f>
        <v>2384.1999999999998</v>
      </c>
      <c r="D26" s="281">
        <f>'5.3-Unit P'!I$149</f>
        <v>0</v>
      </c>
      <c r="E26" s="281">
        <f>'5.3-Unit P'!J$149</f>
        <v>0</v>
      </c>
      <c r="F26" s="281">
        <f>'5.3-Unit P'!K$149</f>
        <v>151.19999999999999</v>
      </c>
      <c r="G26" s="281">
        <f>'5.3-Unit P'!L$149</f>
        <v>0</v>
      </c>
      <c r="H26" s="121">
        <f>'5.3-Unit P'!M$149</f>
        <v>2233</v>
      </c>
      <c r="I26" s="121"/>
      <c r="J26" s="121"/>
      <c r="K26" s="121"/>
      <c r="L26" s="121"/>
      <c r="M26" s="121"/>
      <c r="N26" s="121"/>
      <c r="O26" s="121"/>
      <c r="P26" s="121"/>
      <c r="Q26" s="121"/>
      <c r="R26" s="121"/>
    </row>
    <row r="27" spans="2:18">
      <c r="B27" s="185" t="s">
        <v>184</v>
      </c>
      <c r="C27" s="281">
        <f>'5.3-Unit R'!H$149</f>
        <v>104.99999999999999</v>
      </c>
      <c r="D27" s="281">
        <f>'5.3-Unit R'!I$149</f>
        <v>0</v>
      </c>
      <c r="E27" s="281">
        <f>'5.3-Unit R'!J$149</f>
        <v>0</v>
      </c>
      <c r="F27" s="281">
        <f>'5.3-Unit R'!K$149</f>
        <v>0</v>
      </c>
      <c r="G27" s="281">
        <f>'5.3-Unit R'!L$149</f>
        <v>0</v>
      </c>
      <c r="H27" s="121">
        <f>'5.3-Unit R'!M$149</f>
        <v>104.99999999999999</v>
      </c>
      <c r="I27" s="121"/>
      <c r="J27" s="121"/>
      <c r="K27" s="121"/>
      <c r="L27" s="121"/>
      <c r="M27" s="121"/>
      <c r="N27" s="121"/>
      <c r="O27" s="121"/>
      <c r="P27" s="121"/>
      <c r="Q27" s="121"/>
      <c r="R27" s="121"/>
    </row>
    <row r="28" spans="2:18">
      <c r="B28" s="185" t="s">
        <v>924</v>
      </c>
      <c r="C28" s="281">
        <f>SUM(C22:C27)*General_Process_InstallCost</f>
        <v>1617.595</v>
      </c>
      <c r="D28" s="121"/>
      <c r="E28" s="121"/>
      <c r="F28" s="121"/>
      <c r="G28" s="121"/>
      <c r="H28" s="121"/>
      <c r="I28" s="121"/>
      <c r="J28" s="121"/>
      <c r="K28" s="121"/>
      <c r="L28" s="121"/>
      <c r="M28" s="121"/>
      <c r="N28" s="121"/>
      <c r="O28" s="121"/>
      <c r="P28" s="121"/>
      <c r="Q28" s="121"/>
      <c r="R28" s="121"/>
    </row>
    <row r="29" spans="2:18" s="24" customFormat="1">
      <c r="C29" s="121"/>
      <c r="D29" s="121"/>
      <c r="E29" s="121"/>
      <c r="F29" s="121"/>
      <c r="G29" s="121"/>
      <c r="H29" s="121"/>
      <c r="I29" s="121"/>
      <c r="J29" s="121"/>
      <c r="K29" s="121"/>
      <c r="L29" s="121"/>
      <c r="M29" s="121"/>
      <c r="N29" s="121"/>
      <c r="O29" s="121"/>
      <c r="P29" s="121"/>
      <c r="Q29" s="121"/>
      <c r="R29" s="121"/>
    </row>
    <row r="30" spans="2:18" s="24" customFormat="1">
      <c r="B30" s="197"/>
      <c r="C30" s="121"/>
      <c r="D30" s="121"/>
      <c r="E30" s="121"/>
      <c r="F30" s="121"/>
      <c r="G30" s="121"/>
      <c r="H30" s="121"/>
      <c r="I30" s="121"/>
      <c r="J30" s="121"/>
      <c r="K30" s="121"/>
      <c r="L30" s="121"/>
      <c r="M30" s="121"/>
      <c r="N30" s="121"/>
      <c r="O30" s="121"/>
      <c r="P30" s="121"/>
      <c r="Q30" s="121"/>
      <c r="R30" s="121"/>
    </row>
    <row r="31" spans="2:18" s="24" customFormat="1" ht="18.75">
      <c r="B31" s="213" t="s">
        <v>619</v>
      </c>
      <c r="C31" s="121"/>
      <c r="D31" s="121"/>
      <c r="E31" s="121"/>
      <c r="F31" s="121"/>
      <c r="G31" s="121"/>
      <c r="H31" s="121"/>
      <c r="I31" s="121"/>
      <c r="J31" s="121"/>
      <c r="K31" s="121"/>
      <c r="L31" s="121"/>
      <c r="M31" s="121"/>
      <c r="N31" s="121"/>
      <c r="O31" s="121"/>
      <c r="P31" s="121"/>
      <c r="Q31" s="121"/>
      <c r="R31" s="121"/>
    </row>
    <row r="32" spans="2:18" s="24" customFormat="1">
      <c r="B32" s="198"/>
      <c r="C32" s="121"/>
      <c r="D32" s="121"/>
      <c r="E32" s="121"/>
      <c r="F32" s="121"/>
      <c r="G32" s="121"/>
      <c r="H32" s="121"/>
      <c r="I32" s="121"/>
      <c r="J32" s="121"/>
      <c r="K32" s="121"/>
      <c r="L32" s="121"/>
      <c r="M32" s="121"/>
      <c r="N32" s="121"/>
      <c r="O32" s="121"/>
      <c r="P32" s="121"/>
      <c r="Q32" s="121"/>
      <c r="R32" s="121"/>
    </row>
    <row r="33" spans="2:18">
      <c r="B33" s="287" t="s">
        <v>908</v>
      </c>
      <c r="C33" s="284">
        <f>SUM(C34,C42,C50)</f>
        <v>0</v>
      </c>
      <c r="D33" s="284">
        <f>SUM(D34,D42,D50)</f>
        <v>52400.237177151896</v>
      </c>
      <c r="E33" s="284">
        <f>SUM(E34,E42,E50)</f>
        <v>52400.237177151896</v>
      </c>
      <c r="F33" s="284">
        <f t="shared" ref="F33:H33" si="14">SUM(F34,F42,F50)</f>
        <v>52400.237177151896</v>
      </c>
      <c r="G33" s="284">
        <f t="shared" si="14"/>
        <v>52400.237177151896</v>
      </c>
      <c r="H33" s="335">
        <f t="shared" si="14"/>
        <v>52400.237177151896</v>
      </c>
      <c r="I33" s="337"/>
      <c r="J33" s="337"/>
      <c r="K33" s="337"/>
      <c r="L33" s="337"/>
      <c r="M33" s="337"/>
      <c r="N33" s="337"/>
      <c r="O33" s="337"/>
      <c r="P33" s="337"/>
      <c r="Q33" s="337"/>
      <c r="R33" s="337"/>
    </row>
    <row r="34" spans="2:18">
      <c r="B34" s="208" t="s">
        <v>891</v>
      </c>
      <c r="C34" s="285">
        <f t="shared" ref="C34:H34" si="15">SUM(C35:C40)</f>
        <v>0</v>
      </c>
      <c r="D34" s="285">
        <f t="shared" si="15"/>
        <v>5780.237177151902</v>
      </c>
      <c r="E34" s="285">
        <f t="shared" si="15"/>
        <v>5780.237177151902</v>
      </c>
      <c r="F34" s="285">
        <f t="shared" si="15"/>
        <v>5780.237177151902</v>
      </c>
      <c r="G34" s="285">
        <f t="shared" si="15"/>
        <v>5780.237177151902</v>
      </c>
      <c r="H34" s="340">
        <f t="shared" si="15"/>
        <v>5780.237177151902</v>
      </c>
      <c r="I34" s="337"/>
      <c r="J34" s="337"/>
      <c r="K34" s="337"/>
      <c r="L34" s="337"/>
      <c r="M34" s="337"/>
      <c r="N34" s="337"/>
      <c r="O34" s="337"/>
      <c r="P34" s="337"/>
      <c r="Q34" s="337"/>
      <c r="R34" s="337"/>
    </row>
    <row r="35" spans="2:18">
      <c r="B35" s="197" t="s">
        <v>136</v>
      </c>
      <c r="C35" s="281">
        <v>0</v>
      </c>
      <c r="D35" s="281">
        <f>'5.3-Unit W'!$G$15</f>
        <v>0</v>
      </c>
      <c r="E35" s="281">
        <f>D35</f>
        <v>0</v>
      </c>
      <c r="F35" s="281">
        <f t="shared" ref="F35:H35" si="16">E35</f>
        <v>0</v>
      </c>
      <c r="G35" s="281">
        <f t="shared" si="16"/>
        <v>0</v>
      </c>
      <c r="H35" s="121">
        <f t="shared" si="16"/>
        <v>0</v>
      </c>
      <c r="I35" s="121"/>
      <c r="J35" s="121"/>
      <c r="K35" s="121"/>
      <c r="L35" s="121"/>
      <c r="M35" s="121"/>
      <c r="N35" s="121"/>
      <c r="O35" s="121"/>
      <c r="P35" s="121"/>
      <c r="Q35" s="121"/>
      <c r="R35" s="121"/>
    </row>
    <row r="36" spans="2:18">
      <c r="B36" s="197" t="s">
        <v>137</v>
      </c>
      <c r="C36" s="281">
        <v>0</v>
      </c>
      <c r="D36" s="281">
        <f>'5.3-Unit T'!$G$15</f>
        <v>0</v>
      </c>
      <c r="E36" s="281">
        <f t="shared" ref="E36:H40" si="17">D36</f>
        <v>0</v>
      </c>
      <c r="F36" s="281">
        <f t="shared" si="17"/>
        <v>0</v>
      </c>
      <c r="G36" s="281">
        <f t="shared" si="17"/>
        <v>0</v>
      </c>
      <c r="H36" s="121">
        <f t="shared" si="17"/>
        <v>0</v>
      </c>
      <c r="I36" s="121"/>
      <c r="J36" s="121"/>
      <c r="K36" s="121"/>
      <c r="L36" s="121"/>
      <c r="M36" s="121"/>
      <c r="N36" s="121"/>
      <c r="O36" s="121"/>
      <c r="P36" s="121"/>
      <c r="Q36" s="121"/>
      <c r="R36" s="121"/>
    </row>
    <row r="37" spans="2:18">
      <c r="B37" s="197" t="s">
        <v>138</v>
      </c>
      <c r="C37" s="281">
        <v>0</v>
      </c>
      <c r="D37" s="281">
        <f>'5.3-Unit H'!$G$15</f>
        <v>0</v>
      </c>
      <c r="E37" s="281">
        <f t="shared" si="17"/>
        <v>0</v>
      </c>
      <c r="F37" s="281">
        <f t="shared" si="17"/>
        <v>0</v>
      </c>
      <c r="G37" s="281">
        <f t="shared" si="17"/>
        <v>0</v>
      </c>
      <c r="H37" s="121">
        <f t="shared" si="17"/>
        <v>0</v>
      </c>
      <c r="I37" s="121"/>
      <c r="J37" s="121"/>
      <c r="K37" s="121"/>
      <c r="L37" s="121"/>
      <c r="M37" s="121"/>
      <c r="N37" s="121"/>
      <c r="O37" s="121"/>
      <c r="P37" s="121"/>
      <c r="Q37" s="121"/>
      <c r="R37" s="121"/>
    </row>
    <row r="38" spans="2:18">
      <c r="B38" s="197" t="s">
        <v>550</v>
      </c>
      <c r="C38" s="281">
        <v>0</v>
      </c>
      <c r="D38" s="281">
        <f>'5.3-Unit N (17DOL-Egg)'!$G$15+'5.3-Unit N (Egg-5DOL)'!$G$15+'5.3-Unit N (5DOL-17DOL)'!$G$15</f>
        <v>5780.237177151902</v>
      </c>
      <c r="E38" s="281">
        <f t="shared" si="17"/>
        <v>5780.237177151902</v>
      </c>
      <c r="F38" s="281">
        <f t="shared" si="17"/>
        <v>5780.237177151902</v>
      </c>
      <c r="G38" s="281">
        <f t="shared" si="17"/>
        <v>5780.237177151902</v>
      </c>
      <c r="H38" s="121">
        <f t="shared" si="17"/>
        <v>5780.237177151902</v>
      </c>
      <c r="I38" s="121"/>
      <c r="J38" s="121"/>
      <c r="K38" s="121"/>
      <c r="L38" s="121"/>
      <c r="M38" s="121"/>
      <c r="N38" s="121"/>
      <c r="O38" s="121"/>
      <c r="P38" s="121"/>
      <c r="Q38" s="121"/>
      <c r="R38" s="121"/>
    </row>
    <row r="39" spans="2:18">
      <c r="B39" s="197" t="s">
        <v>276</v>
      </c>
      <c r="C39" s="281">
        <v>0</v>
      </c>
      <c r="D39" s="281">
        <f>'5.3-Unit P'!$G$15</f>
        <v>0</v>
      </c>
      <c r="E39" s="281">
        <f t="shared" si="17"/>
        <v>0</v>
      </c>
      <c r="F39" s="281">
        <f t="shared" si="17"/>
        <v>0</v>
      </c>
      <c r="G39" s="281">
        <f t="shared" si="17"/>
        <v>0</v>
      </c>
      <c r="H39" s="121">
        <f t="shared" si="17"/>
        <v>0</v>
      </c>
      <c r="I39" s="121"/>
      <c r="J39" s="121"/>
      <c r="K39" s="121"/>
      <c r="L39" s="121"/>
      <c r="M39" s="121"/>
      <c r="N39" s="121"/>
      <c r="O39" s="121"/>
      <c r="P39" s="121"/>
      <c r="Q39" s="121"/>
      <c r="R39" s="121"/>
    </row>
    <row r="40" spans="2:18">
      <c r="B40" s="197" t="s">
        <v>184</v>
      </c>
      <c r="C40" s="281">
        <v>0</v>
      </c>
      <c r="D40" s="281">
        <f>'5.3-Unit R'!$G$15</f>
        <v>0</v>
      </c>
      <c r="E40" s="281">
        <f t="shared" si="17"/>
        <v>0</v>
      </c>
      <c r="F40" s="281">
        <f t="shared" si="17"/>
        <v>0</v>
      </c>
      <c r="G40" s="281">
        <f t="shared" si="17"/>
        <v>0</v>
      </c>
      <c r="H40" s="121">
        <f t="shared" si="17"/>
        <v>0</v>
      </c>
      <c r="I40" s="121"/>
      <c r="J40" s="121"/>
      <c r="K40" s="121"/>
      <c r="L40" s="121"/>
      <c r="M40" s="121"/>
      <c r="N40" s="121"/>
      <c r="O40" s="121"/>
      <c r="P40" s="121"/>
      <c r="Q40" s="121"/>
      <c r="R40" s="121"/>
    </row>
    <row r="41" spans="2:18">
      <c r="B41" s="205"/>
      <c r="C41" s="121"/>
      <c r="D41" s="121"/>
      <c r="E41" s="121"/>
      <c r="F41" s="121"/>
      <c r="G41" s="121"/>
      <c r="H41" s="121"/>
      <c r="I41" s="121"/>
      <c r="J41" s="121"/>
      <c r="K41" s="121"/>
      <c r="L41" s="121"/>
      <c r="M41" s="121"/>
      <c r="N41" s="121"/>
      <c r="O41" s="121"/>
      <c r="P41" s="121"/>
      <c r="Q41" s="121"/>
      <c r="R41" s="121"/>
    </row>
    <row r="42" spans="2:18">
      <c r="B42" s="208" t="s">
        <v>890</v>
      </c>
      <c r="C42" s="285">
        <f t="shared" ref="C42:H42" si="18">SUM(C43:C48)</f>
        <v>0</v>
      </c>
      <c r="D42" s="285">
        <f t="shared" si="18"/>
        <v>46619.999999999993</v>
      </c>
      <c r="E42" s="285">
        <f t="shared" si="18"/>
        <v>46619.999999999993</v>
      </c>
      <c r="F42" s="285">
        <f t="shared" si="18"/>
        <v>46619.999999999993</v>
      </c>
      <c r="G42" s="285">
        <f t="shared" si="18"/>
        <v>46619.999999999993</v>
      </c>
      <c r="H42" s="340">
        <f t="shared" si="18"/>
        <v>46619.999999999993</v>
      </c>
      <c r="I42" s="337"/>
      <c r="J42" s="337"/>
      <c r="K42" s="337"/>
      <c r="L42" s="337"/>
      <c r="M42" s="337"/>
      <c r="N42" s="337"/>
      <c r="O42" s="337"/>
      <c r="P42" s="337"/>
      <c r="Q42" s="337"/>
      <c r="R42" s="337"/>
    </row>
    <row r="43" spans="2:18">
      <c r="B43" s="197" t="s">
        <v>136</v>
      </c>
      <c r="C43" s="281">
        <v>0</v>
      </c>
      <c r="D43" s="281">
        <f>'5.3-Unit W'!$G$45</f>
        <v>2003.2348366082435</v>
      </c>
      <c r="E43" s="281">
        <f>D43</f>
        <v>2003.2348366082435</v>
      </c>
      <c r="F43" s="281">
        <f t="shared" ref="F43:H43" si="19">E43</f>
        <v>2003.2348366082435</v>
      </c>
      <c r="G43" s="281">
        <f t="shared" si="19"/>
        <v>2003.2348366082435</v>
      </c>
      <c r="H43" s="121">
        <f t="shared" si="19"/>
        <v>2003.2348366082435</v>
      </c>
      <c r="I43" s="121"/>
      <c r="J43" s="121"/>
      <c r="K43" s="121"/>
      <c r="L43" s="121"/>
      <c r="M43" s="121"/>
      <c r="N43" s="121"/>
      <c r="O43" s="121"/>
      <c r="P43" s="121"/>
      <c r="Q43" s="121"/>
      <c r="R43" s="121"/>
    </row>
    <row r="44" spans="2:18">
      <c r="B44" s="197" t="s">
        <v>137</v>
      </c>
      <c r="C44" s="281">
        <v>0</v>
      </c>
      <c r="D44" s="281">
        <f>'5.3-Unit T'!$G$45</f>
        <v>4383.0938643152094</v>
      </c>
      <c r="E44" s="281">
        <f t="shared" ref="E44:H48" si="20">D44</f>
        <v>4383.0938643152094</v>
      </c>
      <c r="F44" s="281">
        <f t="shared" si="20"/>
        <v>4383.0938643152094</v>
      </c>
      <c r="G44" s="281">
        <f t="shared" si="20"/>
        <v>4383.0938643152094</v>
      </c>
      <c r="H44" s="121">
        <f t="shared" si="20"/>
        <v>4383.0938643152094</v>
      </c>
      <c r="I44" s="121"/>
      <c r="J44" s="121"/>
      <c r="K44" s="121"/>
      <c r="L44" s="121"/>
      <c r="M44" s="121"/>
      <c r="N44" s="121"/>
      <c r="O44" s="121"/>
      <c r="P44" s="121"/>
      <c r="Q44" s="121"/>
      <c r="R44" s="121"/>
    </row>
    <row r="45" spans="2:18">
      <c r="B45" s="197" t="s">
        <v>138</v>
      </c>
      <c r="C45" s="281">
        <v>0</v>
      </c>
      <c r="D45" s="281">
        <f>'5.3-Unit H'!$G$45</f>
        <v>7309.8438826566016</v>
      </c>
      <c r="E45" s="281">
        <f t="shared" si="20"/>
        <v>7309.8438826566016</v>
      </c>
      <c r="F45" s="281">
        <f t="shared" si="20"/>
        <v>7309.8438826566016</v>
      </c>
      <c r="G45" s="281">
        <f t="shared" si="20"/>
        <v>7309.8438826566016</v>
      </c>
      <c r="H45" s="121">
        <f t="shared" si="20"/>
        <v>7309.8438826566016</v>
      </c>
      <c r="I45" s="121"/>
      <c r="J45" s="121"/>
      <c r="K45" s="121"/>
      <c r="L45" s="121"/>
      <c r="M45" s="121"/>
      <c r="N45" s="121"/>
      <c r="O45" s="121"/>
      <c r="P45" s="121"/>
      <c r="Q45" s="121"/>
      <c r="R45" s="121"/>
    </row>
    <row r="46" spans="2:18">
      <c r="B46" s="197" t="s">
        <v>550</v>
      </c>
      <c r="C46" s="281">
        <v>0</v>
      </c>
      <c r="D46" s="281">
        <f>'5.3-Unit N (17DOL-Egg)'!$G$45+'5.3-Unit N (Egg-5DOL)'!$G$45+'5.3-Unit N (5DOL-17DOL)'!$G$45</f>
        <v>23099.999999999996</v>
      </c>
      <c r="E46" s="281">
        <f t="shared" si="20"/>
        <v>23099.999999999996</v>
      </c>
      <c r="F46" s="281">
        <f t="shared" si="20"/>
        <v>23099.999999999996</v>
      </c>
      <c r="G46" s="281">
        <f t="shared" si="20"/>
        <v>23099.999999999996</v>
      </c>
      <c r="H46" s="121">
        <f t="shared" si="20"/>
        <v>23099.999999999996</v>
      </c>
      <c r="I46" s="121"/>
      <c r="J46" s="121"/>
      <c r="K46" s="121"/>
      <c r="L46" s="121"/>
      <c r="M46" s="121"/>
      <c r="N46" s="121"/>
      <c r="O46" s="121"/>
      <c r="P46" s="121"/>
      <c r="Q46" s="121"/>
      <c r="R46" s="121"/>
    </row>
    <row r="47" spans="2:18">
      <c r="B47" s="197" t="s">
        <v>276</v>
      </c>
      <c r="C47" s="281">
        <v>0</v>
      </c>
      <c r="D47" s="281">
        <f>'5.3-Unit P'!$G$45</f>
        <v>0</v>
      </c>
      <c r="E47" s="281">
        <f t="shared" si="20"/>
        <v>0</v>
      </c>
      <c r="F47" s="281">
        <f t="shared" si="20"/>
        <v>0</v>
      </c>
      <c r="G47" s="281">
        <f t="shared" si="20"/>
        <v>0</v>
      </c>
      <c r="H47" s="121">
        <f t="shared" si="20"/>
        <v>0</v>
      </c>
      <c r="I47" s="121"/>
      <c r="J47" s="121"/>
      <c r="K47" s="121"/>
      <c r="L47" s="121"/>
      <c r="M47" s="121"/>
      <c r="N47" s="121"/>
      <c r="O47" s="121"/>
      <c r="P47" s="121"/>
      <c r="Q47" s="121"/>
      <c r="R47" s="121"/>
    </row>
    <row r="48" spans="2:18">
      <c r="B48" s="197" t="s">
        <v>184</v>
      </c>
      <c r="C48" s="281">
        <v>0</v>
      </c>
      <c r="D48" s="281">
        <f>'5.3-Unit R'!$G$45</f>
        <v>9823.8274164199447</v>
      </c>
      <c r="E48" s="281">
        <f t="shared" si="20"/>
        <v>9823.8274164199447</v>
      </c>
      <c r="F48" s="281">
        <f t="shared" si="20"/>
        <v>9823.8274164199447</v>
      </c>
      <c r="G48" s="281">
        <f t="shared" si="20"/>
        <v>9823.8274164199447</v>
      </c>
      <c r="H48" s="121">
        <f t="shared" si="20"/>
        <v>9823.8274164199447</v>
      </c>
      <c r="I48" s="121"/>
      <c r="K48" s="121"/>
      <c r="L48" s="121"/>
      <c r="M48" s="121"/>
      <c r="N48" s="121"/>
      <c r="O48" s="121"/>
      <c r="P48" s="121"/>
      <c r="Q48" s="121"/>
      <c r="R48" s="121"/>
    </row>
    <row r="49" spans="2:18">
      <c r="B49" s="205"/>
      <c r="C49" s="121"/>
      <c r="D49" s="121"/>
      <c r="E49" s="121"/>
      <c r="F49" s="121"/>
      <c r="G49" s="121"/>
      <c r="H49" s="121"/>
      <c r="I49" s="121"/>
      <c r="J49" s="121"/>
      <c r="K49" s="121"/>
      <c r="L49" s="121"/>
      <c r="M49" s="121"/>
      <c r="N49" s="121"/>
      <c r="O49" s="121"/>
      <c r="P49" s="121"/>
      <c r="Q49" s="121"/>
      <c r="R49" s="121"/>
    </row>
    <row r="50" spans="2:18">
      <c r="B50" s="191" t="s">
        <v>883</v>
      </c>
      <c r="C50" s="206"/>
      <c r="D50" s="121">
        <f>(D34+D42)*'1.0-General input'!$E$109</f>
        <v>0</v>
      </c>
      <c r="E50" s="121">
        <f>(E34+E42)*'1.0-General input'!$E$109</f>
        <v>0</v>
      </c>
      <c r="F50" s="121">
        <f>(F34+F42)*'1.0-General input'!$E$109</f>
        <v>0</v>
      </c>
      <c r="G50" s="121">
        <f>(G34+G42)*'1.0-General input'!$E$109</f>
        <v>0</v>
      </c>
      <c r="H50" s="121">
        <f>(H34+H42)*'1.0-General input'!$E$109</f>
        <v>0</v>
      </c>
      <c r="I50" s="121"/>
      <c r="J50" s="121"/>
      <c r="K50" s="121"/>
      <c r="L50" s="121"/>
      <c r="M50" s="121"/>
      <c r="N50" s="121"/>
      <c r="O50" s="121"/>
      <c r="P50" s="121"/>
      <c r="Q50" s="121"/>
      <c r="R50" s="121"/>
    </row>
    <row r="51" spans="2:18">
      <c r="B51" s="198"/>
      <c r="C51" s="121"/>
      <c r="E51" s="121"/>
      <c r="F51" s="121"/>
      <c r="G51" s="121"/>
      <c r="H51" s="121"/>
      <c r="I51" s="121"/>
      <c r="J51" s="121"/>
      <c r="K51" s="121"/>
      <c r="L51" s="121"/>
      <c r="M51" s="121"/>
      <c r="N51" s="121"/>
      <c r="O51" s="121"/>
      <c r="P51" s="121"/>
      <c r="Q51" s="121"/>
      <c r="R51" s="121"/>
    </row>
    <row r="52" spans="2:18">
      <c r="B52" s="287" t="s">
        <v>907</v>
      </c>
      <c r="C52" s="284">
        <f>SUM(C53,C61,C69,C77,C82)</f>
        <v>0</v>
      </c>
      <c r="D52" s="284">
        <f>SUM(D53,D61,D69,D77,D82)</f>
        <v>34319.88702969427</v>
      </c>
      <c r="E52" s="284">
        <f t="shared" ref="E52:H52" si="21">SUM(E53,E61,E69,E77,E82)</f>
        <v>34319.88702969427</v>
      </c>
      <c r="F52" s="284">
        <f t="shared" si="21"/>
        <v>34319.88702969427</v>
      </c>
      <c r="G52" s="284">
        <f t="shared" si="21"/>
        <v>34319.88702969427</v>
      </c>
      <c r="H52" s="335">
        <f t="shared" si="21"/>
        <v>34319.88702969427</v>
      </c>
      <c r="I52" s="337"/>
      <c r="J52" s="337"/>
      <c r="K52" s="337"/>
      <c r="L52" s="337"/>
      <c r="M52" s="337"/>
      <c r="N52" s="337"/>
      <c r="O52" s="337"/>
      <c r="P52" s="337"/>
      <c r="Q52" s="337"/>
      <c r="R52" s="337"/>
    </row>
    <row r="53" spans="2:18">
      <c r="B53" s="208" t="s">
        <v>888</v>
      </c>
      <c r="C53" s="285">
        <f t="shared" ref="C53:H53" si="22">SUM(C54:C59)</f>
        <v>0</v>
      </c>
      <c r="D53" s="285">
        <f t="shared" si="22"/>
        <v>12096</v>
      </c>
      <c r="E53" s="285">
        <f t="shared" si="22"/>
        <v>12096</v>
      </c>
      <c r="F53" s="285">
        <f t="shared" si="22"/>
        <v>12096</v>
      </c>
      <c r="G53" s="285">
        <f t="shared" si="22"/>
        <v>12096</v>
      </c>
      <c r="H53" s="340">
        <f t="shared" si="22"/>
        <v>12096</v>
      </c>
      <c r="I53" s="337"/>
      <c r="J53" s="337"/>
      <c r="K53" s="337"/>
      <c r="L53" s="337"/>
      <c r="M53" s="337"/>
      <c r="N53" s="337"/>
      <c r="O53" s="337"/>
      <c r="P53" s="337"/>
      <c r="Q53" s="337"/>
      <c r="R53" s="337"/>
    </row>
    <row r="54" spans="2:18">
      <c r="B54" s="197" t="s">
        <v>136</v>
      </c>
      <c r="C54" s="281">
        <v>0</v>
      </c>
      <c r="D54" s="281">
        <f>'5.3-Unit W'!$G$76</f>
        <v>1881.6</v>
      </c>
      <c r="E54" s="281">
        <f>D54</f>
        <v>1881.6</v>
      </c>
      <c r="F54" s="281">
        <f t="shared" ref="F54:H54" si="23">E54</f>
        <v>1881.6</v>
      </c>
      <c r="G54" s="281">
        <f t="shared" si="23"/>
        <v>1881.6</v>
      </c>
      <c r="H54" s="121">
        <f t="shared" si="23"/>
        <v>1881.6</v>
      </c>
      <c r="I54" s="121"/>
      <c r="J54" s="121"/>
      <c r="K54" s="121"/>
      <c r="L54" s="121"/>
      <c r="M54" s="121"/>
      <c r="N54" s="121"/>
      <c r="O54" s="121"/>
      <c r="P54" s="121"/>
      <c r="Q54" s="121"/>
      <c r="R54" s="121"/>
    </row>
    <row r="55" spans="2:18">
      <c r="B55" s="197" t="s">
        <v>137</v>
      </c>
      <c r="C55" s="281">
        <v>0</v>
      </c>
      <c r="D55" s="281">
        <f>'5.3-Unit T'!$G$76</f>
        <v>1344</v>
      </c>
      <c r="E55" s="281">
        <f t="shared" ref="E55:H59" si="24">D55</f>
        <v>1344</v>
      </c>
      <c r="F55" s="281">
        <f t="shared" si="24"/>
        <v>1344</v>
      </c>
      <c r="G55" s="281">
        <f t="shared" si="24"/>
        <v>1344</v>
      </c>
      <c r="H55" s="121">
        <f t="shared" si="24"/>
        <v>1344</v>
      </c>
      <c r="I55" s="121"/>
      <c r="J55" s="121"/>
      <c r="K55" s="121"/>
      <c r="L55" s="121"/>
      <c r="M55" s="121"/>
      <c r="N55" s="121"/>
      <c r="O55" s="121"/>
      <c r="P55" s="121"/>
      <c r="Q55" s="121"/>
      <c r="R55" s="121"/>
    </row>
    <row r="56" spans="2:18">
      <c r="B56" s="197" t="s">
        <v>138</v>
      </c>
      <c r="C56" s="281">
        <v>0</v>
      </c>
      <c r="D56" s="281">
        <f>'5.3-Unit H'!$G$76</f>
        <v>1680</v>
      </c>
      <c r="E56" s="281">
        <f t="shared" si="24"/>
        <v>1680</v>
      </c>
      <c r="F56" s="281">
        <f t="shared" si="24"/>
        <v>1680</v>
      </c>
      <c r="G56" s="281">
        <f t="shared" si="24"/>
        <v>1680</v>
      </c>
      <c r="H56" s="121">
        <f t="shared" si="24"/>
        <v>1680</v>
      </c>
      <c r="I56" s="121"/>
      <c r="J56" s="121"/>
      <c r="K56" s="121"/>
      <c r="L56" s="121"/>
      <c r="M56" s="121"/>
      <c r="N56" s="121"/>
      <c r="O56" s="121"/>
      <c r="P56" s="121"/>
      <c r="Q56" s="121"/>
      <c r="R56" s="121"/>
    </row>
    <row r="57" spans="2:18">
      <c r="B57" s="197" t="s">
        <v>550</v>
      </c>
      <c r="C57" s="281">
        <v>0</v>
      </c>
      <c r="D57" s="281">
        <f>'5.3-Unit N (17DOL-Egg)'!$G$76+'5.3-Unit N (Egg-5DOL)'!$G$76+'5.3-Unit N (5DOL-17DOL)'!$G$76</f>
        <v>4032</v>
      </c>
      <c r="E57" s="281">
        <f t="shared" si="24"/>
        <v>4032</v>
      </c>
      <c r="F57" s="281">
        <f t="shared" si="24"/>
        <v>4032</v>
      </c>
      <c r="G57" s="281">
        <f t="shared" si="24"/>
        <v>4032</v>
      </c>
      <c r="H57" s="121">
        <f t="shared" si="24"/>
        <v>4032</v>
      </c>
      <c r="I57" s="121"/>
      <c r="J57" s="121"/>
      <c r="K57" s="121"/>
      <c r="L57" s="121"/>
      <c r="M57" s="121"/>
      <c r="N57" s="121"/>
      <c r="O57" s="121"/>
      <c r="P57" s="121"/>
      <c r="Q57" s="121"/>
      <c r="R57" s="121"/>
    </row>
    <row r="58" spans="2:18">
      <c r="B58" s="197" t="s">
        <v>276</v>
      </c>
      <c r="C58" s="281">
        <v>0</v>
      </c>
      <c r="D58" s="281">
        <f>'5.3-Unit P'!$G$76</f>
        <v>1344</v>
      </c>
      <c r="E58" s="281">
        <f t="shared" si="24"/>
        <v>1344</v>
      </c>
      <c r="F58" s="281">
        <f t="shared" si="24"/>
        <v>1344</v>
      </c>
      <c r="G58" s="281">
        <f t="shared" si="24"/>
        <v>1344</v>
      </c>
      <c r="H58" s="121">
        <f t="shared" si="24"/>
        <v>1344</v>
      </c>
      <c r="I58" s="121"/>
      <c r="J58" s="121"/>
      <c r="K58" s="121"/>
      <c r="L58" s="121"/>
      <c r="M58" s="121"/>
      <c r="N58" s="121"/>
      <c r="O58" s="121"/>
      <c r="P58" s="121"/>
      <c r="Q58" s="121"/>
      <c r="R58" s="121"/>
    </row>
    <row r="59" spans="2:18">
      <c r="B59" s="197" t="s">
        <v>184</v>
      </c>
      <c r="C59" s="281">
        <v>0</v>
      </c>
      <c r="D59" s="281">
        <f>'5.3-Unit R'!$G$76</f>
        <v>1814.3999999999999</v>
      </c>
      <c r="E59" s="281">
        <f t="shared" si="24"/>
        <v>1814.3999999999999</v>
      </c>
      <c r="F59" s="281">
        <f t="shared" si="24"/>
        <v>1814.3999999999999</v>
      </c>
      <c r="G59" s="281">
        <f t="shared" si="24"/>
        <v>1814.3999999999999</v>
      </c>
      <c r="H59" s="121">
        <f t="shared" si="24"/>
        <v>1814.3999999999999</v>
      </c>
      <c r="I59" s="121"/>
      <c r="J59" s="121"/>
      <c r="K59" s="121"/>
      <c r="L59" s="121"/>
      <c r="M59" s="121"/>
      <c r="N59" s="121"/>
      <c r="O59" s="121"/>
      <c r="P59" s="121"/>
      <c r="Q59" s="121"/>
      <c r="R59" s="121"/>
    </row>
    <row r="60" spans="2:18" s="24" customFormat="1">
      <c r="B60" s="205"/>
      <c r="C60" s="121"/>
      <c r="D60" s="121"/>
      <c r="E60" s="121"/>
      <c r="F60" s="121"/>
      <c r="G60" s="121"/>
      <c r="H60" s="121"/>
      <c r="I60" s="121"/>
      <c r="J60" s="121"/>
      <c r="K60" s="121"/>
      <c r="L60" s="121"/>
      <c r="M60" s="121"/>
      <c r="N60" s="121"/>
      <c r="O60" s="121"/>
      <c r="P60" s="121"/>
      <c r="Q60" s="121"/>
      <c r="R60" s="121"/>
    </row>
    <row r="61" spans="2:18">
      <c r="B61" s="286" t="s">
        <v>887</v>
      </c>
      <c r="C61" s="285">
        <f t="shared" ref="C61:H61" si="25">SUM(C62:C67)</f>
        <v>0</v>
      </c>
      <c r="D61" s="285">
        <f t="shared" si="25"/>
        <v>14563.266666666666</v>
      </c>
      <c r="E61" s="285">
        <f t="shared" si="25"/>
        <v>14563.266666666666</v>
      </c>
      <c r="F61" s="285">
        <f t="shared" si="25"/>
        <v>14563.266666666666</v>
      </c>
      <c r="G61" s="285">
        <f t="shared" si="25"/>
        <v>14563.266666666666</v>
      </c>
      <c r="H61" s="340">
        <f t="shared" si="25"/>
        <v>14563.266666666666</v>
      </c>
      <c r="I61" s="337"/>
      <c r="J61" s="337"/>
      <c r="K61" s="337"/>
      <c r="L61" s="337"/>
      <c r="M61" s="337"/>
      <c r="N61" s="337"/>
      <c r="O61" s="337"/>
      <c r="P61" s="337"/>
      <c r="Q61" s="337"/>
      <c r="R61" s="337"/>
    </row>
    <row r="62" spans="2:18">
      <c r="B62" s="197" t="s">
        <v>136</v>
      </c>
      <c r="C62" s="281">
        <v>0</v>
      </c>
      <c r="D62" s="281">
        <f>'5.3-Unit W'!$G$105</f>
        <v>551.59999999999991</v>
      </c>
      <c r="E62" s="281">
        <f>D62</f>
        <v>551.59999999999991</v>
      </c>
      <c r="F62" s="281">
        <f t="shared" ref="F62:H62" si="26">E62</f>
        <v>551.59999999999991</v>
      </c>
      <c r="G62" s="281">
        <f t="shared" si="26"/>
        <v>551.59999999999991</v>
      </c>
      <c r="H62" s="121">
        <f t="shared" si="26"/>
        <v>551.59999999999991</v>
      </c>
      <c r="I62" s="121"/>
      <c r="J62" s="121"/>
      <c r="K62" s="121"/>
      <c r="L62" s="121"/>
      <c r="M62" s="121"/>
      <c r="N62" s="121"/>
      <c r="O62" s="121"/>
      <c r="P62" s="121"/>
      <c r="Q62" s="121"/>
      <c r="R62" s="121"/>
    </row>
    <row r="63" spans="2:18">
      <c r="B63" s="197" t="s">
        <v>137</v>
      </c>
      <c r="C63" s="281">
        <v>0</v>
      </c>
      <c r="D63" s="281">
        <f>'5.3-Unit T'!$G$105</f>
        <v>4012.3999999999996</v>
      </c>
      <c r="E63" s="281">
        <f t="shared" ref="E63:H67" si="27">D63</f>
        <v>4012.3999999999996</v>
      </c>
      <c r="F63" s="281">
        <f t="shared" si="27"/>
        <v>4012.3999999999996</v>
      </c>
      <c r="G63" s="281">
        <f t="shared" si="27"/>
        <v>4012.3999999999996</v>
      </c>
      <c r="H63" s="121">
        <f t="shared" si="27"/>
        <v>4012.3999999999996</v>
      </c>
      <c r="I63" s="121"/>
      <c r="J63" s="121"/>
      <c r="K63" s="121"/>
      <c r="L63" s="121"/>
      <c r="M63" s="121"/>
      <c r="N63" s="121"/>
      <c r="O63" s="121"/>
      <c r="P63" s="121"/>
      <c r="Q63" s="121"/>
      <c r="R63" s="121"/>
    </row>
    <row r="64" spans="2:18">
      <c r="B64" s="197" t="s">
        <v>138</v>
      </c>
      <c r="C64" s="281">
        <v>0</v>
      </c>
      <c r="D64" s="281">
        <f>'5.3-Unit H'!$G$105</f>
        <v>5789.2333333333327</v>
      </c>
      <c r="E64" s="281">
        <f t="shared" si="27"/>
        <v>5789.2333333333327</v>
      </c>
      <c r="F64" s="281">
        <f t="shared" si="27"/>
        <v>5789.2333333333327</v>
      </c>
      <c r="G64" s="281">
        <f t="shared" si="27"/>
        <v>5789.2333333333327</v>
      </c>
      <c r="H64" s="121">
        <f t="shared" si="27"/>
        <v>5789.2333333333327</v>
      </c>
      <c r="I64" s="121"/>
      <c r="J64" s="121"/>
      <c r="K64" s="121"/>
      <c r="L64" s="121"/>
      <c r="M64" s="121"/>
      <c r="N64" s="121"/>
      <c r="O64" s="121"/>
      <c r="P64" s="121"/>
      <c r="Q64" s="121"/>
      <c r="R64" s="121"/>
    </row>
    <row r="65" spans="2:18">
      <c r="B65" s="197" t="s">
        <v>550</v>
      </c>
      <c r="C65" s="281">
        <v>0</v>
      </c>
      <c r="D65" s="281">
        <f>'5.3-Unit N (17DOL-Egg)'!$G$105+'5.3-Unit N (Egg-5DOL)'!$G$105+'5.3-Unit N (5DOL-17DOL)'!$G$105</f>
        <v>3692.0333333333333</v>
      </c>
      <c r="E65" s="281">
        <f t="shared" si="27"/>
        <v>3692.0333333333333</v>
      </c>
      <c r="F65" s="281">
        <f t="shared" si="27"/>
        <v>3692.0333333333333</v>
      </c>
      <c r="G65" s="281">
        <f t="shared" si="27"/>
        <v>3692.0333333333333</v>
      </c>
      <c r="H65" s="121">
        <f t="shared" si="27"/>
        <v>3692.0333333333333</v>
      </c>
      <c r="I65" s="121"/>
      <c r="J65" s="121"/>
      <c r="K65" s="121"/>
      <c r="L65" s="121"/>
      <c r="M65" s="121"/>
      <c r="N65" s="121"/>
      <c r="O65" s="121"/>
      <c r="P65" s="121"/>
      <c r="Q65" s="121"/>
      <c r="R65" s="121"/>
    </row>
    <row r="66" spans="2:18">
      <c r="B66" s="197" t="s">
        <v>276</v>
      </c>
      <c r="C66" s="281">
        <v>0</v>
      </c>
      <c r="D66" s="281">
        <f>'5.3-Unit P'!$G$105</f>
        <v>496.99999999999994</v>
      </c>
      <c r="E66" s="281">
        <f t="shared" si="27"/>
        <v>496.99999999999994</v>
      </c>
      <c r="F66" s="281">
        <f t="shared" si="27"/>
        <v>496.99999999999994</v>
      </c>
      <c r="G66" s="281">
        <f t="shared" si="27"/>
        <v>496.99999999999994</v>
      </c>
      <c r="H66" s="121">
        <f t="shared" si="27"/>
        <v>496.99999999999994</v>
      </c>
      <c r="I66" s="121"/>
      <c r="J66" s="121"/>
      <c r="K66" s="121"/>
      <c r="L66" s="121"/>
      <c r="M66" s="121"/>
      <c r="N66" s="121"/>
      <c r="O66" s="121"/>
      <c r="P66" s="121"/>
      <c r="Q66" s="121"/>
      <c r="R66" s="121"/>
    </row>
    <row r="67" spans="2:18">
      <c r="B67" s="197" t="s">
        <v>184</v>
      </c>
      <c r="C67" s="281">
        <v>0</v>
      </c>
      <c r="D67" s="281">
        <f>'5.3-Unit R'!$G$105</f>
        <v>20.999999999999996</v>
      </c>
      <c r="E67" s="281">
        <f t="shared" si="27"/>
        <v>20.999999999999996</v>
      </c>
      <c r="F67" s="281">
        <f t="shared" si="27"/>
        <v>20.999999999999996</v>
      </c>
      <c r="G67" s="281">
        <f t="shared" si="27"/>
        <v>20.999999999999996</v>
      </c>
      <c r="H67" s="121">
        <f t="shared" si="27"/>
        <v>20.999999999999996</v>
      </c>
      <c r="I67" s="121"/>
      <c r="J67" s="121"/>
      <c r="K67" s="121"/>
      <c r="L67" s="121"/>
      <c r="M67" s="121"/>
      <c r="N67" s="121"/>
      <c r="O67" s="121"/>
      <c r="P67" s="121"/>
      <c r="Q67" s="121"/>
      <c r="R67" s="121"/>
    </row>
    <row r="68" spans="2:18" s="24" customFormat="1">
      <c r="B68" s="197"/>
      <c r="C68" s="121"/>
      <c r="D68" s="121"/>
      <c r="E68" s="121"/>
      <c r="F68" s="121"/>
      <c r="G68" s="121"/>
      <c r="H68" s="121"/>
      <c r="I68" s="121"/>
      <c r="J68" s="121"/>
      <c r="K68" s="121"/>
      <c r="L68" s="121"/>
      <c r="M68" s="121"/>
      <c r="N68" s="121"/>
      <c r="O68" s="121"/>
      <c r="P68" s="121"/>
      <c r="Q68" s="121"/>
      <c r="R68" s="121"/>
    </row>
    <row r="69" spans="2:18">
      <c r="B69" s="286" t="s">
        <v>886</v>
      </c>
      <c r="C69" s="285">
        <f t="shared" ref="C69:H69" si="28">SUM(C70:C75)</f>
        <v>0</v>
      </c>
      <c r="D69" s="285">
        <f t="shared" si="28"/>
        <v>3235.19</v>
      </c>
      <c r="E69" s="285">
        <f t="shared" si="28"/>
        <v>3235.19</v>
      </c>
      <c r="F69" s="285">
        <f t="shared" si="28"/>
        <v>3235.19</v>
      </c>
      <c r="G69" s="285">
        <f t="shared" si="28"/>
        <v>3235.19</v>
      </c>
      <c r="H69" s="340">
        <f t="shared" si="28"/>
        <v>3235.19</v>
      </c>
      <c r="I69" s="337"/>
      <c r="J69" s="337"/>
      <c r="K69" s="337"/>
      <c r="L69" s="337"/>
      <c r="M69" s="337"/>
      <c r="N69" s="337"/>
      <c r="O69" s="337"/>
      <c r="P69" s="337"/>
      <c r="Q69" s="337"/>
      <c r="R69" s="337"/>
    </row>
    <row r="70" spans="2:18">
      <c r="B70" s="197" t="s">
        <v>136</v>
      </c>
      <c r="C70" s="281">
        <v>0</v>
      </c>
      <c r="D70" s="281">
        <f>Maintenance_cost_setting*$C$22</f>
        <v>127.4</v>
      </c>
      <c r="E70" s="281">
        <f>D70</f>
        <v>127.4</v>
      </c>
      <c r="F70" s="281">
        <f t="shared" ref="F70:H70" si="29">E70</f>
        <v>127.4</v>
      </c>
      <c r="G70" s="281">
        <f t="shared" si="29"/>
        <v>127.4</v>
      </c>
      <c r="H70" s="121">
        <f t="shared" si="29"/>
        <v>127.4</v>
      </c>
      <c r="I70" s="121"/>
      <c r="J70" s="121"/>
      <c r="K70" s="121"/>
      <c r="L70" s="121"/>
      <c r="M70" s="121"/>
      <c r="N70" s="121"/>
      <c r="O70" s="121"/>
      <c r="P70" s="121"/>
      <c r="Q70" s="121"/>
      <c r="R70" s="121"/>
    </row>
    <row r="71" spans="2:18">
      <c r="B71" s="197" t="s">
        <v>137</v>
      </c>
      <c r="C71" s="281">
        <v>0</v>
      </c>
      <c r="D71" s="281">
        <f>Maintenance_cost_setting*$C$23</f>
        <v>992.6</v>
      </c>
      <c r="E71" s="281">
        <f t="shared" ref="E71:H75" si="30">D71</f>
        <v>992.6</v>
      </c>
      <c r="F71" s="281">
        <f t="shared" si="30"/>
        <v>992.6</v>
      </c>
      <c r="G71" s="281">
        <f t="shared" si="30"/>
        <v>992.6</v>
      </c>
      <c r="H71" s="121">
        <f t="shared" si="30"/>
        <v>992.6</v>
      </c>
      <c r="I71" s="121"/>
      <c r="J71" s="121"/>
      <c r="K71" s="121"/>
      <c r="L71" s="121"/>
      <c r="M71" s="121"/>
      <c r="N71" s="121"/>
      <c r="O71" s="121"/>
      <c r="P71" s="121"/>
      <c r="Q71" s="121"/>
      <c r="R71" s="121"/>
    </row>
    <row r="72" spans="2:18">
      <c r="B72" s="197" t="s">
        <v>138</v>
      </c>
      <c r="C72" s="281">
        <v>0</v>
      </c>
      <c r="D72" s="281">
        <f>Maintenance_cost_setting*$C$24</f>
        <v>1436.575</v>
      </c>
      <c r="E72" s="281">
        <f t="shared" si="30"/>
        <v>1436.575</v>
      </c>
      <c r="F72" s="281">
        <f t="shared" si="30"/>
        <v>1436.575</v>
      </c>
      <c r="G72" s="281">
        <f t="shared" si="30"/>
        <v>1436.575</v>
      </c>
      <c r="H72" s="121">
        <f t="shared" si="30"/>
        <v>1436.575</v>
      </c>
      <c r="I72" s="121"/>
      <c r="J72" s="121"/>
      <c r="K72" s="121"/>
      <c r="L72" s="121"/>
      <c r="M72" s="121"/>
      <c r="N72" s="121"/>
      <c r="O72" s="121"/>
      <c r="P72" s="121"/>
      <c r="Q72" s="121"/>
      <c r="R72" s="121"/>
    </row>
    <row r="73" spans="2:18">
      <c r="B73" s="197" t="s">
        <v>550</v>
      </c>
      <c r="C73" s="281">
        <v>0</v>
      </c>
      <c r="D73" s="281">
        <f>Maintenance_cost_setting*$C$25</f>
        <v>554.15500000000009</v>
      </c>
      <c r="E73" s="281">
        <f t="shared" si="30"/>
        <v>554.15500000000009</v>
      </c>
      <c r="F73" s="281">
        <f t="shared" si="30"/>
        <v>554.15500000000009</v>
      </c>
      <c r="G73" s="281">
        <f t="shared" si="30"/>
        <v>554.15500000000009</v>
      </c>
      <c r="H73" s="121">
        <f t="shared" si="30"/>
        <v>554.15500000000009</v>
      </c>
      <c r="I73" s="121"/>
      <c r="J73" s="121"/>
      <c r="K73" s="121"/>
      <c r="L73" s="121"/>
      <c r="M73" s="121"/>
      <c r="N73" s="121"/>
      <c r="O73" s="121"/>
      <c r="P73" s="121"/>
      <c r="Q73" s="121"/>
      <c r="R73" s="121"/>
    </row>
    <row r="74" spans="2:18">
      <c r="B74" s="197" t="s">
        <v>276</v>
      </c>
      <c r="C74" s="281">
        <v>0</v>
      </c>
      <c r="D74" s="281">
        <f>Maintenance_cost_setting*$C$26</f>
        <v>119.21</v>
      </c>
      <c r="E74" s="281">
        <f t="shared" si="30"/>
        <v>119.21</v>
      </c>
      <c r="F74" s="281">
        <f t="shared" si="30"/>
        <v>119.21</v>
      </c>
      <c r="G74" s="281">
        <f t="shared" si="30"/>
        <v>119.21</v>
      </c>
      <c r="H74" s="121">
        <f t="shared" si="30"/>
        <v>119.21</v>
      </c>
      <c r="I74" s="121"/>
      <c r="J74" s="121"/>
      <c r="K74" s="121"/>
      <c r="L74" s="121"/>
      <c r="M74" s="121"/>
      <c r="N74" s="121"/>
      <c r="O74" s="121"/>
      <c r="P74" s="121"/>
      <c r="Q74" s="121"/>
      <c r="R74" s="121"/>
    </row>
    <row r="75" spans="2:18">
      <c r="B75" s="197" t="s">
        <v>184</v>
      </c>
      <c r="C75" s="281">
        <v>0</v>
      </c>
      <c r="D75" s="281">
        <f>Maintenance_cost_setting*$C$27</f>
        <v>5.25</v>
      </c>
      <c r="E75" s="281">
        <f t="shared" si="30"/>
        <v>5.25</v>
      </c>
      <c r="F75" s="281">
        <f t="shared" si="30"/>
        <v>5.25</v>
      </c>
      <c r="G75" s="281">
        <f t="shared" si="30"/>
        <v>5.25</v>
      </c>
      <c r="H75" s="121">
        <f t="shared" si="30"/>
        <v>5.25</v>
      </c>
      <c r="I75" s="121"/>
      <c r="J75" s="121"/>
      <c r="K75" s="121"/>
      <c r="L75" s="121"/>
      <c r="M75" s="121"/>
      <c r="N75" s="121"/>
      <c r="O75" s="121"/>
      <c r="P75" s="121"/>
      <c r="Q75" s="121"/>
      <c r="R75" s="121"/>
    </row>
    <row r="76" spans="2:18" s="24" customFormat="1">
      <c r="B76" s="197"/>
      <c r="C76" s="121"/>
      <c r="D76" s="121"/>
      <c r="E76" s="121"/>
      <c r="F76" s="121"/>
      <c r="G76" s="121"/>
      <c r="H76" s="121"/>
      <c r="I76" s="121"/>
      <c r="J76" s="121"/>
      <c r="K76" s="121"/>
      <c r="L76" s="121"/>
      <c r="M76" s="121"/>
      <c r="N76" s="121"/>
      <c r="O76" s="121"/>
      <c r="P76" s="121"/>
      <c r="Q76" s="121"/>
      <c r="R76" s="121"/>
    </row>
    <row r="77" spans="2:18">
      <c r="B77" s="286" t="s">
        <v>144</v>
      </c>
      <c r="C77" s="285">
        <f t="shared" ref="C77" si="31">SUM(C79:C79)</f>
        <v>0</v>
      </c>
      <c r="D77" s="285">
        <f>SUM(D78:D80)</f>
        <v>4425.4303630276036</v>
      </c>
      <c r="E77" s="285">
        <f t="shared" ref="E77:H77" si="32">SUM(E78:E80)</f>
        <v>4425.4303630276036</v>
      </c>
      <c r="F77" s="285">
        <f t="shared" si="32"/>
        <v>4425.4303630276036</v>
      </c>
      <c r="G77" s="285">
        <f t="shared" si="32"/>
        <v>4425.4303630276036</v>
      </c>
      <c r="H77" s="340">
        <f t="shared" si="32"/>
        <v>4425.4303630276036</v>
      </c>
      <c r="I77" s="337"/>
      <c r="J77" s="337"/>
      <c r="K77" s="337"/>
      <c r="L77" s="337"/>
      <c r="M77" s="337"/>
      <c r="N77" s="337"/>
      <c r="O77" s="337"/>
      <c r="P77" s="337"/>
      <c r="Q77" s="337"/>
      <c r="R77" s="337"/>
    </row>
    <row r="78" spans="2:18">
      <c r="B78" s="273" t="s">
        <v>102</v>
      </c>
      <c r="C78" s="281">
        <v>0</v>
      </c>
      <c r="D78" s="281">
        <f>IFERROR(SUM('5.3-Unit W'!$F$39,'5.3-Unit T'!$F$39,'5.3-Unit H'!$F$39,'5.3-Unit N (17DOL-Egg)'!$F$39,'5.3-Unit N (Egg-5DOL)'!$F$39,'5.3-Unit N (5DOL-17DOL)'!$F$39,'5.3-Unit P'!$F$39,'5.3-Unit R'!$F$39),)</f>
        <v>521.94999999999993</v>
      </c>
      <c r="E78" s="281">
        <f>D78</f>
        <v>521.94999999999993</v>
      </c>
      <c r="F78" s="281">
        <f t="shared" ref="F78:H78" si="33">E78</f>
        <v>521.94999999999993</v>
      </c>
      <c r="G78" s="281">
        <f t="shared" si="33"/>
        <v>521.94999999999993</v>
      </c>
      <c r="H78" s="121">
        <f t="shared" si="33"/>
        <v>521.94999999999993</v>
      </c>
      <c r="I78" s="121"/>
      <c r="J78" s="121"/>
      <c r="K78" s="121"/>
      <c r="L78" s="121"/>
      <c r="M78" s="121"/>
      <c r="N78" s="121"/>
      <c r="O78" s="121"/>
      <c r="P78" s="121"/>
      <c r="Q78" s="121"/>
      <c r="R78" s="121"/>
    </row>
    <row r="79" spans="2:18">
      <c r="B79" s="273" t="s">
        <v>101</v>
      </c>
      <c r="C79" s="281">
        <v>0</v>
      </c>
      <c r="D79" s="281">
        <f>IFERROR(SUM('5.3-Unit W'!$F$40,'5.3-Unit T'!$F$40,'5.3-Unit H'!$F$40,'5.3-Unit N (17DOL-Egg)'!$F$40,'5.3-Unit N (Egg-5DOL)'!$F$40,'5.3-Unit N (5DOL-17DOL)'!$F$40,'5.3-Unit P'!$F$40,'5.3-Unit R'!$F$40),)</f>
        <v>3136.9803630276037</v>
      </c>
      <c r="E79" s="281">
        <f t="shared" ref="E79:H83" si="34">D79</f>
        <v>3136.9803630276037</v>
      </c>
      <c r="F79" s="281">
        <f t="shared" si="34"/>
        <v>3136.9803630276037</v>
      </c>
      <c r="G79" s="281">
        <f t="shared" si="34"/>
        <v>3136.9803630276037</v>
      </c>
      <c r="H79" s="121">
        <f t="shared" si="34"/>
        <v>3136.9803630276037</v>
      </c>
      <c r="I79" s="121"/>
      <c r="J79" s="121"/>
      <c r="K79" s="121"/>
      <c r="L79" s="121"/>
      <c r="M79" s="121"/>
      <c r="N79" s="121"/>
      <c r="O79" s="121"/>
      <c r="P79" s="121"/>
      <c r="Q79" s="121"/>
      <c r="R79" s="121"/>
    </row>
    <row r="80" spans="2:18">
      <c r="B80" s="273" t="s">
        <v>103</v>
      </c>
      <c r="C80" s="281">
        <v>0</v>
      </c>
      <c r="D80" s="281">
        <f>IFERROR(SUM('5.3-Unit W'!$F$41,'5.3-Unit T'!$F$41,'5.3-Unit H'!$F$41,'5.3-Unit N (17DOL-Egg)'!$F$41,'5.3-Unit N (Egg-5DOL)'!$F$41,'5.3-Unit N (5DOL-17DOL)'!$F$41,'5.3-Unit P'!$F$41,'5.3-Unit R'!$F$41),)</f>
        <v>766.49999999999989</v>
      </c>
      <c r="E80" s="281">
        <f t="shared" si="34"/>
        <v>766.49999999999989</v>
      </c>
      <c r="F80" s="281">
        <f t="shared" si="34"/>
        <v>766.49999999999989</v>
      </c>
      <c r="G80" s="281">
        <f t="shared" si="34"/>
        <v>766.49999999999989</v>
      </c>
      <c r="H80" s="121">
        <f t="shared" si="34"/>
        <v>766.49999999999989</v>
      </c>
      <c r="I80" s="121"/>
      <c r="J80" s="121"/>
      <c r="K80" s="121"/>
      <c r="L80" s="121"/>
      <c r="M80" s="121"/>
      <c r="N80" s="121"/>
      <c r="O80" s="121"/>
      <c r="P80" s="121"/>
      <c r="Q80" s="121"/>
      <c r="R80" s="121"/>
    </row>
    <row r="81" spans="2:19">
      <c r="B81" s="200"/>
      <c r="C81" s="121"/>
      <c r="D81" s="121"/>
      <c r="E81" s="121"/>
      <c r="F81" s="121"/>
      <c r="G81" s="121"/>
      <c r="H81" s="121"/>
      <c r="I81" s="121"/>
      <c r="J81" s="121"/>
      <c r="K81" s="121"/>
      <c r="L81" s="121"/>
      <c r="M81" s="121"/>
      <c r="N81" s="121"/>
      <c r="O81" s="121"/>
      <c r="P81" s="121"/>
      <c r="Q81" s="121"/>
      <c r="R81" s="121"/>
    </row>
    <row r="82" spans="2:19" s="24" customFormat="1">
      <c r="B82" s="286" t="s">
        <v>889</v>
      </c>
      <c r="C82" s="285">
        <f>SUM(C83)</f>
        <v>0</v>
      </c>
      <c r="D82" s="285">
        <f t="shared" ref="D82:H82" si="35">SUM(D83)</f>
        <v>0</v>
      </c>
      <c r="E82" s="285">
        <f t="shared" si="35"/>
        <v>0</v>
      </c>
      <c r="F82" s="285">
        <f t="shared" si="35"/>
        <v>0</v>
      </c>
      <c r="G82" s="285">
        <f t="shared" si="35"/>
        <v>0</v>
      </c>
      <c r="H82" s="340">
        <f t="shared" si="35"/>
        <v>0</v>
      </c>
      <c r="I82" s="337"/>
      <c r="J82" s="337"/>
      <c r="K82" s="337"/>
      <c r="L82" s="337"/>
      <c r="M82" s="337"/>
      <c r="N82" s="337"/>
      <c r="O82" s="337"/>
      <c r="P82" s="337"/>
      <c r="Q82" s="337"/>
      <c r="R82" s="337"/>
    </row>
    <row r="83" spans="2:19">
      <c r="B83" s="319" t="s">
        <v>769</v>
      </c>
      <c r="C83" s="281">
        <v>0</v>
      </c>
      <c r="D83" s="281">
        <v>0</v>
      </c>
      <c r="E83" s="281">
        <f t="shared" si="34"/>
        <v>0</v>
      </c>
      <c r="F83" s="281">
        <f t="shared" si="34"/>
        <v>0</v>
      </c>
      <c r="G83" s="281">
        <f t="shared" si="34"/>
        <v>0</v>
      </c>
      <c r="H83" s="121">
        <f t="shared" si="34"/>
        <v>0</v>
      </c>
      <c r="I83" s="121"/>
      <c r="J83" s="121"/>
      <c r="K83" s="121"/>
      <c r="L83" s="121"/>
      <c r="M83" s="121"/>
      <c r="N83" s="121"/>
      <c r="O83" s="121"/>
      <c r="P83" s="121"/>
      <c r="Q83" s="121"/>
      <c r="R83" s="121"/>
    </row>
    <row r="84" spans="2:19" s="24" customFormat="1">
      <c r="B84" s="198"/>
      <c r="C84" s="121"/>
      <c r="D84" s="121"/>
      <c r="E84" s="121"/>
      <c r="F84" s="121"/>
      <c r="G84" s="121"/>
      <c r="H84" s="121"/>
      <c r="I84" s="121"/>
      <c r="J84" s="121"/>
      <c r="K84" s="121"/>
      <c r="L84" s="121"/>
      <c r="M84" s="121"/>
      <c r="N84" s="121"/>
      <c r="O84" s="121"/>
      <c r="P84" s="121"/>
      <c r="Q84" s="121"/>
      <c r="R84" s="121"/>
    </row>
    <row r="85" spans="2:19">
      <c r="B85" s="287" t="s">
        <v>142</v>
      </c>
      <c r="C85" s="284">
        <f>SUM(C86:C92)</f>
        <v>6530.2183333333332</v>
      </c>
      <c r="D85" s="284">
        <f>SUM(D86:D92)</f>
        <v>13785.114583333332</v>
      </c>
      <c r="E85" s="284">
        <f t="shared" ref="E85:H85" si="36">SUM(E86:E92)</f>
        <v>13785.114583333332</v>
      </c>
      <c r="F85" s="284">
        <f>SUM(F86:F92)</f>
        <v>13785.114583333332</v>
      </c>
      <c r="G85" s="284">
        <f t="shared" si="36"/>
        <v>13785.114583333332</v>
      </c>
      <c r="H85" s="335">
        <f t="shared" si="36"/>
        <v>13785.114583333332</v>
      </c>
      <c r="I85" s="337"/>
      <c r="J85" s="337"/>
      <c r="K85" s="337"/>
      <c r="L85" s="337"/>
      <c r="M85" s="337"/>
      <c r="N85" s="337"/>
      <c r="O85" s="337"/>
      <c r="P85" s="337"/>
      <c r="Q85" s="337"/>
      <c r="R85" s="337"/>
    </row>
    <row r="86" spans="2:19">
      <c r="B86" s="197" t="s">
        <v>139</v>
      </c>
      <c r="C86" s="281">
        <v>0</v>
      </c>
      <c r="D86" s="281">
        <f>'5.3-Unit SG&amp;A'!$G$3</f>
        <v>4703.9999999999991</v>
      </c>
      <c r="E86" s="281">
        <f>D86*(1+'1.0-General input'!$E$148)</f>
        <v>4703.9999999999991</v>
      </c>
      <c r="F86" s="281">
        <f>E86*(1+'1.0-General input'!$E$148)</f>
        <v>4703.9999999999991</v>
      </c>
      <c r="G86" s="281">
        <f>F86*(1+'1.0-General input'!$E$148)</f>
        <v>4703.9999999999991</v>
      </c>
      <c r="H86" s="121">
        <f>G86*(1+'1.0-General input'!$E$148)</f>
        <v>4703.9999999999991</v>
      </c>
      <c r="I86" s="121"/>
      <c r="J86" s="121"/>
      <c r="K86" s="121"/>
      <c r="L86" s="121"/>
      <c r="M86" s="121"/>
      <c r="N86" s="121"/>
      <c r="O86" s="121"/>
      <c r="P86" s="121"/>
      <c r="Q86" s="121"/>
      <c r="R86" s="121"/>
    </row>
    <row r="87" spans="2:19">
      <c r="B87" s="197" t="s">
        <v>770</v>
      </c>
      <c r="C87" s="281">
        <f>'5.3-Unit SG&amp;A'!$C$46</f>
        <v>6530.2183333333332</v>
      </c>
      <c r="D87" s="281">
        <f>'5.3-Unit SG&amp;A'!$C$46</f>
        <v>6530.2183333333332</v>
      </c>
      <c r="E87" s="281">
        <f>D87</f>
        <v>6530.2183333333332</v>
      </c>
      <c r="F87" s="281">
        <f t="shared" ref="F87:H87" si="37">E87</f>
        <v>6530.2183333333332</v>
      </c>
      <c r="G87" s="281">
        <f t="shared" si="37"/>
        <v>6530.2183333333332</v>
      </c>
      <c r="H87" s="121">
        <f t="shared" si="37"/>
        <v>6530.2183333333332</v>
      </c>
      <c r="I87" s="121"/>
      <c r="J87" s="121"/>
      <c r="K87" s="121"/>
      <c r="L87" s="121"/>
      <c r="M87" s="121"/>
      <c r="N87" s="121"/>
      <c r="O87" s="121"/>
      <c r="P87" s="121"/>
      <c r="Q87" s="121"/>
      <c r="R87" s="121"/>
    </row>
    <row r="88" spans="2:19">
      <c r="B88" s="273" t="s">
        <v>651</v>
      </c>
      <c r="C88" s="281">
        <v>0</v>
      </c>
      <c r="D88" s="281">
        <f>'5.3-Unit SG&amp;A'!G55</f>
        <v>0</v>
      </c>
      <c r="E88" s="281">
        <f>D88</f>
        <v>0</v>
      </c>
      <c r="F88" s="281">
        <f t="shared" ref="F88:H88" si="38">E88</f>
        <v>0</v>
      </c>
      <c r="G88" s="281">
        <f t="shared" si="38"/>
        <v>0</v>
      </c>
      <c r="H88" s="121">
        <f t="shared" si="38"/>
        <v>0</v>
      </c>
      <c r="I88" s="121"/>
      <c r="J88" s="121"/>
      <c r="K88" s="121"/>
      <c r="L88" s="121"/>
      <c r="M88" s="121"/>
      <c r="N88" s="121"/>
      <c r="O88" s="121"/>
      <c r="P88" s="121"/>
      <c r="Q88" s="121"/>
      <c r="R88" s="121"/>
    </row>
    <row r="89" spans="2:19">
      <c r="B89" s="197" t="s">
        <v>140</v>
      </c>
      <c r="C89" s="281">
        <v>0</v>
      </c>
      <c r="D89" s="281">
        <f>SUM('5.3-Unit SG&amp;A'!C47:C48)</f>
        <v>2550.8962499999998</v>
      </c>
      <c r="E89" s="281">
        <f t="shared" ref="E89:H91" si="39">D89</f>
        <v>2550.8962499999998</v>
      </c>
      <c r="F89" s="281">
        <f t="shared" si="39"/>
        <v>2550.8962499999998</v>
      </c>
      <c r="G89" s="281">
        <f t="shared" si="39"/>
        <v>2550.8962499999998</v>
      </c>
      <c r="H89" s="121">
        <f t="shared" si="39"/>
        <v>2550.8962499999998</v>
      </c>
      <c r="I89" s="121"/>
      <c r="K89" s="121"/>
      <c r="L89" s="121"/>
      <c r="M89" s="121"/>
      <c r="N89" s="121"/>
      <c r="O89" s="121"/>
      <c r="P89" s="121"/>
      <c r="Q89" s="121"/>
      <c r="R89" s="121"/>
    </row>
    <row r="90" spans="2:19">
      <c r="B90" s="197" t="s">
        <v>141</v>
      </c>
      <c r="C90" s="281">
        <v>0</v>
      </c>
      <c r="D90" s="281">
        <f>'5.3-Unit SG&amp;A'!$G$55</f>
        <v>0</v>
      </c>
      <c r="E90" s="281">
        <f t="shared" si="39"/>
        <v>0</v>
      </c>
      <c r="F90" s="281">
        <f t="shared" si="39"/>
        <v>0</v>
      </c>
      <c r="G90" s="281">
        <f t="shared" si="39"/>
        <v>0</v>
      </c>
      <c r="H90" s="121">
        <f t="shared" si="39"/>
        <v>0</v>
      </c>
      <c r="I90" s="121"/>
      <c r="J90" s="121"/>
      <c r="K90" s="121"/>
      <c r="L90" s="121"/>
      <c r="M90" s="121"/>
      <c r="N90" s="121"/>
      <c r="O90" s="121"/>
      <c r="P90" s="121"/>
      <c r="Q90" s="121"/>
      <c r="R90" s="121"/>
    </row>
    <row r="91" spans="2:19">
      <c r="B91" s="197" t="s">
        <v>143</v>
      </c>
      <c r="C91" s="281">
        <v>0</v>
      </c>
      <c r="D91" s="281">
        <f>'5.3-Unit SG&amp;A'!$C$49</f>
        <v>0</v>
      </c>
      <c r="E91" s="281">
        <f t="shared" si="39"/>
        <v>0</v>
      </c>
      <c r="F91" s="281">
        <f t="shared" si="39"/>
        <v>0</v>
      </c>
      <c r="G91" s="281">
        <f t="shared" si="39"/>
        <v>0</v>
      </c>
      <c r="H91" s="121">
        <f t="shared" si="39"/>
        <v>0</v>
      </c>
      <c r="I91" s="121"/>
      <c r="J91" s="121"/>
      <c r="K91" s="121"/>
      <c r="L91" s="121"/>
      <c r="M91" s="121"/>
      <c r="N91" s="121"/>
      <c r="O91" s="121"/>
      <c r="P91" s="121"/>
      <c r="Q91" s="121"/>
      <c r="R91" s="121"/>
    </row>
    <row r="92" spans="2:19">
      <c r="B92" s="197" t="s">
        <v>160</v>
      </c>
      <c r="C92" s="281">
        <v>0</v>
      </c>
      <c r="D92" s="281"/>
      <c r="E92" s="281"/>
      <c r="F92" s="281"/>
      <c r="G92" s="281"/>
      <c r="H92" s="121"/>
      <c r="I92" s="121"/>
      <c r="J92" s="121"/>
      <c r="K92" s="121"/>
      <c r="L92" s="121"/>
      <c r="M92" s="121"/>
      <c r="N92" s="121"/>
      <c r="O92" s="121"/>
      <c r="P92" s="121"/>
      <c r="Q92" s="121"/>
      <c r="R92" s="121"/>
    </row>
    <row r="93" spans="2:19">
      <c r="B93" s="197"/>
      <c r="C93" s="281"/>
      <c r="D93" s="281"/>
      <c r="E93" s="281"/>
      <c r="F93" s="281"/>
      <c r="G93" s="281"/>
      <c r="H93" s="121"/>
      <c r="I93" s="121"/>
      <c r="J93" s="121"/>
      <c r="K93" s="121"/>
      <c r="L93" s="121"/>
      <c r="M93" s="121"/>
      <c r="N93" s="121"/>
      <c r="O93" s="121"/>
      <c r="P93" s="121"/>
      <c r="Q93" s="121"/>
      <c r="R93" s="121"/>
    </row>
    <row r="94" spans="2:19">
      <c r="B94" s="197" t="s">
        <v>775</v>
      </c>
      <c r="C94" s="281"/>
      <c r="D94" s="281">
        <f>IF('5.1-Financial Analysis'!D118&gt;0,'1.0-General input'!$E$145*'5.1-Financial Analysis'!D118,0)</f>
        <v>45278.136043468076</v>
      </c>
      <c r="E94" s="281">
        <f>IF('5.1-Financial Analysis'!E118&gt;0,'1.0-General input'!$E$145*'5.1-Financial Analysis'!E118,0)</f>
        <v>45278.136043468076</v>
      </c>
      <c r="F94" s="281">
        <f>IF('5.1-Financial Analysis'!F118&gt;0,'1.0-General input'!$E$145*'5.1-Financial Analysis'!F118,0)</f>
        <v>45278.136043468076</v>
      </c>
      <c r="G94" s="281">
        <f>IF('5.1-Financial Analysis'!G118&gt;0,'1.0-General input'!$E$145*'5.1-Financial Analysis'!G118,0)</f>
        <v>45278.136043468076</v>
      </c>
      <c r="H94" s="121">
        <f>IF('5.1-Financial Analysis'!H118&gt;0,'1.0-General input'!$E$145*'5.1-Financial Analysis'!H118,0)</f>
        <v>45278.136043468076</v>
      </c>
      <c r="I94" s="121"/>
      <c r="J94" s="121"/>
      <c r="K94" s="121"/>
      <c r="L94" s="121"/>
      <c r="M94" s="121"/>
      <c r="N94" s="121"/>
      <c r="O94" s="121"/>
      <c r="P94" s="121"/>
      <c r="Q94" s="121"/>
      <c r="R94" s="121"/>
    </row>
    <row r="95" spans="2:19">
      <c r="B95" s="197" t="s">
        <v>776</v>
      </c>
      <c r="C95" s="281"/>
      <c r="D95" s="281">
        <f>IF('1.0-General input'!$E$132&gt;0,IF(COLUMNS($D$3:D$3)&lt;='1.0-General input'!$E$134,-CUMIPMT('1.0-General input'!$E$136,'1.0-General input'!$E$135,'1.0-General input'!$E$132,COLUMNS($D$3:D$3)*12-11,COLUMNS($D$3:D$3)*12,0),0),0)</f>
        <v>3843.4827884518509</v>
      </c>
      <c r="E95" s="281">
        <f>IF('1.0-General input'!$E$132&gt;0,IF(COLUMNS($D$3:E$3)&lt;='1.0-General input'!$E$134,-CUMIPMT('1.0-General input'!$E$136,'1.0-General input'!$E$135,'1.0-General input'!$E$132,COLUMNS($D$3:E$3)*12-11,COLUMNS($D$3:E$3)*12,0),0),0)</f>
        <v>3535.5773641947981</v>
      </c>
      <c r="F95" s="281">
        <f>IF('1.0-General input'!$E$132&gt;0,IF(COLUMNS($D$3:F$3)&lt;='1.0-General input'!$E$134,-CUMIPMT('1.0-General input'!$E$136,'1.0-General input'!$E$135,'1.0-General input'!$E$132,COLUMNS($D$3:F$3)*12-11,COLUMNS($D$3:F$3)*12,0),0),0)</f>
        <v>3208.6810071083619</v>
      </c>
      <c r="G95" s="281">
        <f>IF('1.0-General input'!$E$132&gt;0,IF(COLUMNS($D$3:G$3)&lt;='1.0-General input'!$E$134,-CUMIPMT('1.0-General input'!$E$136,'1.0-General input'!$E$135,'1.0-General input'!$E$132,COLUMNS($D$3:G$3)*12-11,COLUMNS($D$3:G$3)*12,0),0),0)</f>
        <v>2861.6223980103578</v>
      </c>
      <c r="H95" s="121">
        <f>IF('1.0-General input'!$E$132&gt;0,IF(COLUMNS($D$3:H$3)&lt;='1.0-General input'!$E$134,-CUMIPMT('1.0-General input'!$E$136,'1.0-General input'!$E$135,'1.0-General input'!$E$132,COLUMNS($D$3:H$3)*12-11,COLUMNS($D$3:H$3)*12,0),0),0)</f>
        <v>2493.1579733144508</v>
      </c>
      <c r="I95" s="121"/>
      <c r="J95" s="121"/>
      <c r="K95" s="121"/>
      <c r="L95" s="121"/>
      <c r="M95" s="121"/>
      <c r="N95" s="121"/>
      <c r="O95" s="121"/>
      <c r="P95" s="121"/>
      <c r="Q95" s="121"/>
      <c r="R95" s="121"/>
      <c r="S95" s="88"/>
    </row>
    <row r="96" spans="2:19" s="24" customFormat="1">
      <c r="B96" s="31"/>
      <c r="C96" s="121"/>
      <c r="D96" s="121"/>
      <c r="E96" s="121"/>
      <c r="F96" s="121"/>
      <c r="G96" s="121"/>
      <c r="H96" s="121"/>
      <c r="I96" s="121"/>
      <c r="J96" s="121"/>
      <c r="K96" s="121"/>
      <c r="L96" s="121"/>
      <c r="M96" s="121"/>
      <c r="N96" s="121"/>
      <c r="O96" s="121"/>
      <c r="P96" s="121"/>
      <c r="Q96" s="121"/>
      <c r="R96" s="121"/>
      <c r="S96" s="121"/>
    </row>
    <row r="97" spans="2:19" s="24" customFormat="1">
      <c r="B97" s="31"/>
      <c r="C97" s="121"/>
      <c r="D97" s="121"/>
      <c r="E97" s="121"/>
      <c r="F97" s="121"/>
      <c r="G97" s="121"/>
      <c r="H97" s="121"/>
      <c r="I97" s="121"/>
      <c r="J97" s="121"/>
      <c r="K97" s="121"/>
      <c r="L97" s="121"/>
      <c r="M97" s="121"/>
      <c r="N97" s="121"/>
      <c r="O97" s="121"/>
      <c r="P97" s="121"/>
      <c r="Q97" s="121"/>
      <c r="R97" s="121"/>
    </row>
    <row r="98" spans="2:19" s="24" customFormat="1" ht="18.75">
      <c r="B98" s="214" t="s">
        <v>642</v>
      </c>
      <c r="C98" s="121"/>
      <c r="D98" s="121"/>
      <c r="E98" s="121"/>
      <c r="F98" s="121"/>
      <c r="G98" s="121"/>
      <c r="H98" s="121"/>
      <c r="I98" s="121"/>
      <c r="J98" s="121"/>
      <c r="K98" s="121"/>
      <c r="L98" s="121"/>
      <c r="M98" s="121"/>
      <c r="N98" s="121"/>
      <c r="O98" s="121"/>
      <c r="P98" s="121"/>
      <c r="Q98" s="121"/>
      <c r="R98" s="121"/>
    </row>
    <row r="99" spans="2:19" s="24" customFormat="1" ht="18.75">
      <c r="B99" s="201"/>
      <c r="C99" s="121"/>
      <c r="D99" s="121"/>
      <c r="E99" s="121"/>
      <c r="F99" s="121"/>
      <c r="G99" s="121"/>
      <c r="H99" s="121"/>
      <c r="I99" s="121"/>
      <c r="J99" s="121"/>
      <c r="K99" s="121"/>
      <c r="L99" s="121"/>
      <c r="M99" s="121"/>
      <c r="N99" s="121"/>
      <c r="O99" s="121"/>
      <c r="P99" s="121"/>
      <c r="Q99" s="121"/>
      <c r="R99" s="121"/>
    </row>
    <row r="100" spans="2:19">
      <c r="B100" s="31" t="s">
        <v>89</v>
      </c>
      <c r="C100" s="281">
        <f t="shared" ref="C100:H100" si="40">C6</f>
        <v>0</v>
      </c>
      <c r="D100" s="281">
        <f t="shared" si="40"/>
        <v>306314.94807867077</v>
      </c>
      <c r="E100" s="281">
        <f t="shared" si="40"/>
        <v>306314.94807867077</v>
      </c>
      <c r="F100" s="281">
        <f t="shared" si="40"/>
        <v>306314.94807867077</v>
      </c>
      <c r="G100" s="281">
        <f t="shared" si="40"/>
        <v>306314.94807867077</v>
      </c>
      <c r="H100" s="121">
        <f t="shared" si="40"/>
        <v>306314.94807867077</v>
      </c>
      <c r="I100" s="121"/>
      <c r="J100" s="121"/>
      <c r="K100" s="121"/>
      <c r="L100" s="121"/>
      <c r="M100" s="121"/>
      <c r="N100" s="121"/>
      <c r="O100" s="121"/>
      <c r="P100" s="121"/>
      <c r="Q100" s="121"/>
      <c r="R100" s="121"/>
      <c r="S100" s="88"/>
    </row>
    <row r="101" spans="2:19">
      <c r="B101" s="31" t="s">
        <v>634</v>
      </c>
      <c r="C101" s="281">
        <f t="shared" ref="C101:H101" si="41">-C19</f>
        <v>-66321.39499999999</v>
      </c>
      <c r="D101" s="281">
        <f>-D19</f>
        <v>-1750</v>
      </c>
      <c r="E101" s="281">
        <f t="shared" si="41"/>
        <v>-1750</v>
      </c>
      <c r="F101" s="281">
        <f t="shared" si="41"/>
        <v>-3418.7999999999997</v>
      </c>
      <c r="G101" s="281">
        <f t="shared" si="41"/>
        <v>-1750</v>
      </c>
      <c r="H101" s="121">
        <f t="shared" si="41"/>
        <v>0</v>
      </c>
      <c r="I101" s="121"/>
      <c r="J101" s="121"/>
      <c r="K101" s="121"/>
      <c r="L101" s="121"/>
      <c r="M101" s="121"/>
      <c r="N101" s="121"/>
      <c r="O101" s="121"/>
      <c r="P101" s="121"/>
      <c r="Q101" s="121"/>
      <c r="R101" s="121"/>
      <c r="S101" s="88"/>
    </row>
    <row r="102" spans="2:19">
      <c r="B102" s="31" t="s">
        <v>945</v>
      </c>
      <c r="C102" s="281">
        <f>-(C34+C42+C50+C53+C69+C77+C85-C92)</f>
        <v>-6530.2183333333332</v>
      </c>
      <c r="D102" s="281">
        <f>-(D34+D42+D50+D53+D69+D77+D85-D92)</f>
        <v>-85941.972123512824</v>
      </c>
      <c r="E102" s="281">
        <f t="shared" ref="E102:H102" si="42">-(E34+E42+E50+E53+E69+E77+E85-E92)</f>
        <v>-85941.972123512824</v>
      </c>
      <c r="F102" s="281">
        <f t="shared" si="42"/>
        <v>-85941.972123512824</v>
      </c>
      <c r="G102" s="281">
        <f t="shared" si="42"/>
        <v>-85941.972123512824</v>
      </c>
      <c r="H102" s="121">
        <f t="shared" si="42"/>
        <v>-85941.972123512824</v>
      </c>
      <c r="I102" s="121"/>
      <c r="J102" s="121"/>
      <c r="K102" s="121"/>
      <c r="L102" s="121"/>
      <c r="M102" s="121"/>
      <c r="N102" s="121"/>
      <c r="O102" s="121"/>
      <c r="P102" s="121"/>
      <c r="Q102" s="121"/>
      <c r="R102" s="121"/>
      <c r="S102" s="88"/>
    </row>
    <row r="103" spans="2:19">
      <c r="B103" s="31" t="s">
        <v>943</v>
      </c>
      <c r="C103" s="121"/>
      <c r="D103" s="281">
        <f>D100/((1+'1.0-General input'!$E$147)^(COLUMNS($C$3:C$3)))</f>
        <v>275959.41268348717</v>
      </c>
      <c r="E103" s="281">
        <f>E100/((1+'1.0-General input'!$E$147)^(COLUMNS($C$3:D$3)))</f>
        <v>248612.08349863708</v>
      </c>
      <c r="F103" s="281">
        <f>F100/((1+'1.0-General input'!$E$147)^(COLUMNS($C$3:E$3)))</f>
        <v>223974.84999877212</v>
      </c>
      <c r="G103" s="281">
        <f>G100/((1+'1.0-General input'!$E$147)^(COLUMNS($C$3:F$3)))</f>
        <v>201779.14414303793</v>
      </c>
      <c r="H103" s="121">
        <f>H100/((1+'1.0-General input'!$E$147)^(COLUMNS($C$3:G$3)))</f>
        <v>181783.0127414756</v>
      </c>
      <c r="I103" s="121"/>
      <c r="J103" s="121"/>
      <c r="K103" s="121"/>
      <c r="L103" s="121"/>
      <c r="M103" s="121"/>
      <c r="N103" s="121"/>
      <c r="O103" s="121"/>
      <c r="P103" s="121"/>
      <c r="Q103" s="121"/>
      <c r="R103" s="121"/>
      <c r="S103" s="281">
        <f>SUM(D103:R103)</f>
        <v>1132108.5030654101</v>
      </c>
    </row>
    <row r="104" spans="2:19">
      <c r="B104" s="31" t="s">
        <v>944</v>
      </c>
      <c r="C104" s="281">
        <f>(C101+C102)</f>
        <v>-72851.613333333327</v>
      </c>
      <c r="D104" s="281">
        <f>(D101+D102)/((1+'1.0-General input'!$E$147)^(COLUMNS($C$3:C$3)))</f>
        <v>-79001.776687849386</v>
      </c>
      <c r="E104" s="281">
        <f>(E101+E102)/((1+'1.0-General input'!$E$147)^(COLUMNS($C$3:D$3)))</f>
        <v>-71172.771790855302</v>
      </c>
      <c r="F104" s="281">
        <f>(F101+F102)/((1+'1.0-General input'!$E$147)^(COLUMNS($C$3:E$3)))</f>
        <v>-65339.82640311079</v>
      </c>
      <c r="G104" s="281">
        <f>(G101+G102)/((1+'1.0-General input'!$E$147)^(COLUMNS($C$3:F$3)))</f>
        <v>-57765.418221617794</v>
      </c>
      <c r="H104" s="121">
        <f>(H101+H102)/((1+'1.0-General input'!$E$147)^(COLUMNS($C$3:G$3)))</f>
        <v>-51002.377492670312</v>
      </c>
      <c r="I104" s="121"/>
      <c r="J104" s="121"/>
      <c r="K104" s="121"/>
      <c r="L104" s="121"/>
      <c r="M104" s="121"/>
      <c r="N104" s="121"/>
      <c r="O104" s="121"/>
      <c r="P104" s="121"/>
      <c r="Q104" s="121"/>
      <c r="R104" s="121"/>
      <c r="S104" s="281">
        <f>SUM(C104:R104)</f>
        <v>-397133.78392943693</v>
      </c>
    </row>
    <row r="105" spans="2:19" s="24" customFormat="1">
      <c r="C105" s="121"/>
      <c r="D105" s="121"/>
      <c r="E105" s="121"/>
      <c r="F105" s="121"/>
      <c r="G105" s="121"/>
      <c r="H105" s="121"/>
      <c r="I105" s="121"/>
      <c r="J105" s="121"/>
      <c r="K105" s="121"/>
      <c r="L105" s="121"/>
      <c r="M105" s="121"/>
      <c r="N105" s="121"/>
      <c r="O105" s="121"/>
      <c r="P105" s="121"/>
      <c r="Q105" s="121"/>
      <c r="R105" s="121"/>
      <c r="S105" s="334"/>
    </row>
    <row r="106" spans="2:19">
      <c r="B106" s="31" t="s">
        <v>635</v>
      </c>
      <c r="C106" s="281">
        <f>SUM(C100:C102)</f>
        <v>-72851.613333333327</v>
      </c>
      <c r="D106" s="281">
        <f>SUM(D100:D102)</f>
        <v>218622.97595515795</v>
      </c>
      <c r="E106" s="281">
        <f>SUM(E100:E102)</f>
        <v>218622.97595515795</v>
      </c>
      <c r="F106" s="281">
        <f>SUM(F100:F102)</f>
        <v>216954.17595515796</v>
      </c>
      <c r="G106" s="281">
        <f t="shared" ref="G106:H106" si="43">SUM(G100:G102)</f>
        <v>218622.97595515795</v>
      </c>
      <c r="H106" s="121">
        <f t="shared" si="43"/>
        <v>220372.97595515795</v>
      </c>
      <c r="I106" s="121"/>
      <c r="J106" s="121"/>
      <c r="K106" s="121"/>
      <c r="L106" s="121"/>
      <c r="M106" s="121"/>
      <c r="N106" s="121"/>
      <c r="O106" s="121"/>
      <c r="P106" s="121"/>
      <c r="Q106" s="121"/>
      <c r="R106" s="121"/>
    </row>
    <row r="107" spans="2:19">
      <c r="B107" s="31" t="s">
        <v>636</v>
      </c>
      <c r="C107" s="281">
        <f>SUM(C100:C102)</f>
        <v>-72851.613333333327</v>
      </c>
      <c r="D107" s="281">
        <f>C107+D106</f>
        <v>145771.36262182461</v>
      </c>
      <c r="E107" s="281">
        <f>D107+E106</f>
        <v>364394.33857698255</v>
      </c>
      <c r="F107" s="281">
        <f>E107+F106</f>
        <v>581348.51453214046</v>
      </c>
      <c r="G107" s="281">
        <f t="shared" ref="G107:H107" si="44">F107+G106</f>
        <v>799971.49048729846</v>
      </c>
      <c r="H107" s="121">
        <f t="shared" si="44"/>
        <v>1020344.4664424565</v>
      </c>
      <c r="I107" s="121"/>
      <c r="J107" s="121"/>
      <c r="K107" s="121"/>
      <c r="L107" s="121"/>
      <c r="M107" s="121"/>
      <c r="N107" s="121"/>
      <c r="O107" s="121"/>
      <c r="P107" s="121"/>
      <c r="Q107" s="121"/>
      <c r="R107" s="121"/>
    </row>
    <row r="108" spans="2:19">
      <c r="B108" s="31" t="s">
        <v>674</v>
      </c>
      <c r="C108" s="281">
        <f>C107</f>
        <v>-72851.613333333327</v>
      </c>
      <c r="D108" s="281">
        <f>D106/((1+'1.0-General input'!$E$147)^(COLUMNS($C$3:C$3)))</f>
        <v>196957.63599563777</v>
      </c>
      <c r="E108" s="281">
        <f>E106/((1+'1.0-General input'!$E$147)^(COLUMNS($C$3:D$3)))</f>
        <v>177439.31170778177</v>
      </c>
      <c r="F108" s="281">
        <f>F106/((1+'1.0-General input'!$E$147)^(COLUMNS($C$3:E$3)))</f>
        <v>158635.02359566133</v>
      </c>
      <c r="G108" s="281">
        <f>G106/((1+'1.0-General input'!$E$147)^(COLUMNS($C$3:F$3)))</f>
        <v>144013.72592142012</v>
      </c>
      <c r="H108" s="121">
        <f>H106/((1+'1.0-General input'!$E$147)^(COLUMNS($C$3:G$3)))</f>
        <v>130780.63524880529</v>
      </c>
      <c r="I108" s="121"/>
      <c r="J108" s="121"/>
      <c r="K108" s="121"/>
      <c r="L108" s="121"/>
      <c r="M108" s="121"/>
      <c r="N108" s="121"/>
      <c r="O108" s="121"/>
      <c r="P108" s="121"/>
      <c r="Q108" s="121"/>
      <c r="R108" s="121"/>
      <c r="S108" s="88"/>
    </row>
    <row r="109" spans="2:19">
      <c r="B109" s="31" t="s">
        <v>675</v>
      </c>
      <c r="C109" s="281">
        <f>C108</f>
        <v>-72851.613333333327</v>
      </c>
      <c r="D109" s="281">
        <f>D108+C109</f>
        <v>124106.02266230444</v>
      </c>
      <c r="E109" s="281">
        <f t="shared" ref="E109:H109" si="45">E108+D109</f>
        <v>301545.3343700862</v>
      </c>
      <c r="F109" s="281">
        <f t="shared" si="45"/>
        <v>460180.35796574753</v>
      </c>
      <c r="G109" s="281">
        <f t="shared" si="45"/>
        <v>604194.08388716762</v>
      </c>
      <c r="H109" s="121">
        <f t="shared" si="45"/>
        <v>734974.7191359729</v>
      </c>
      <c r="I109" s="121"/>
      <c r="J109" s="121"/>
      <c r="K109" s="121"/>
      <c r="L109" s="121"/>
      <c r="M109" s="121"/>
      <c r="N109" s="121"/>
      <c r="O109" s="121"/>
      <c r="P109" s="121"/>
      <c r="Q109" s="121"/>
      <c r="R109" s="121"/>
    </row>
    <row r="110" spans="2:19" s="24" customFormat="1">
      <c r="B110" s="31"/>
      <c r="C110" s="29"/>
      <c r="D110" s="121"/>
      <c r="E110" s="29"/>
      <c r="F110" s="29"/>
      <c r="G110" s="29"/>
      <c r="H110" s="29"/>
      <c r="I110" s="29"/>
      <c r="J110" s="29"/>
      <c r="K110" s="29"/>
      <c r="L110" s="29"/>
      <c r="M110" s="29"/>
      <c r="N110" s="29"/>
      <c r="O110" s="29"/>
      <c r="P110" s="29"/>
      <c r="Q110" s="29"/>
      <c r="R110" s="29"/>
    </row>
    <row r="111" spans="2:19" s="24" customFormat="1">
      <c r="B111" s="31"/>
      <c r="C111" s="121"/>
      <c r="D111" s="121"/>
      <c r="E111" s="121"/>
      <c r="F111" s="121"/>
      <c r="G111" s="121"/>
      <c r="H111" s="121"/>
      <c r="I111" s="121"/>
      <c r="J111" s="121"/>
      <c r="K111" s="121"/>
      <c r="L111" s="121"/>
      <c r="M111" s="121"/>
      <c r="N111" s="121"/>
      <c r="O111" s="121"/>
      <c r="P111" s="121"/>
      <c r="Q111" s="121"/>
      <c r="R111" s="121"/>
    </row>
    <row r="112" spans="2:19" s="24" customFormat="1" ht="18.75">
      <c r="B112" s="214" t="s">
        <v>91</v>
      </c>
      <c r="C112" s="121"/>
      <c r="D112" s="121"/>
      <c r="E112" s="29"/>
      <c r="F112" s="121"/>
      <c r="G112" s="121"/>
      <c r="H112" s="121"/>
      <c r="I112" s="121"/>
      <c r="J112" s="121"/>
      <c r="K112" s="121"/>
      <c r="L112" s="121"/>
      <c r="M112" s="121"/>
      <c r="N112" s="121"/>
      <c r="O112" s="121"/>
      <c r="P112" s="121"/>
      <c r="Q112" s="121"/>
      <c r="R112" s="121"/>
    </row>
    <row r="113" spans="2:18" s="24" customFormat="1" ht="15.75">
      <c r="B113" s="207"/>
      <c r="C113" s="210"/>
      <c r="D113" s="121"/>
      <c r="E113" s="210"/>
      <c r="F113" s="210"/>
      <c r="G113" s="210"/>
      <c r="H113" s="210"/>
      <c r="I113" s="210"/>
      <c r="J113" s="210"/>
      <c r="K113" s="210"/>
      <c r="L113" s="210"/>
      <c r="M113" s="210"/>
      <c r="N113" s="210"/>
      <c r="O113" s="210"/>
      <c r="P113" s="210"/>
      <c r="Q113" s="210"/>
      <c r="R113" s="210"/>
    </row>
    <row r="114" spans="2:18">
      <c r="B114" s="199" t="s">
        <v>92</v>
      </c>
      <c r="C114" s="281">
        <f t="shared" ref="C114:H114" si="46">C6</f>
        <v>0</v>
      </c>
      <c r="D114" s="281">
        <f t="shared" si="46"/>
        <v>306314.94807867077</v>
      </c>
      <c r="E114" s="281">
        <f t="shared" si="46"/>
        <v>306314.94807867077</v>
      </c>
      <c r="F114" s="281">
        <f t="shared" si="46"/>
        <v>306314.94807867077</v>
      </c>
      <c r="G114" s="281">
        <f t="shared" si="46"/>
        <v>306314.94807867077</v>
      </c>
      <c r="H114" s="121">
        <f t="shared" si="46"/>
        <v>306314.94807867077</v>
      </c>
      <c r="I114" s="121"/>
      <c r="K114" s="121"/>
      <c r="L114" s="121"/>
      <c r="M114" s="121"/>
      <c r="N114" s="121"/>
      <c r="O114" s="121"/>
      <c r="P114" s="121"/>
      <c r="Q114" s="121"/>
      <c r="R114" s="121"/>
    </row>
    <row r="115" spans="2:18">
      <c r="B115" s="199" t="s">
        <v>909</v>
      </c>
      <c r="C115" s="281"/>
      <c r="D115" s="281">
        <f>D33+D52</f>
        <v>86720.124206846172</v>
      </c>
      <c r="E115" s="281">
        <f t="shared" ref="E115:H115" si="47">E34+E42+E53+E61+E69+E77</f>
        <v>86720.124206846158</v>
      </c>
      <c r="F115" s="281">
        <f t="shared" si="47"/>
        <v>86720.124206846158</v>
      </c>
      <c r="G115" s="281">
        <f t="shared" si="47"/>
        <v>86720.124206846158</v>
      </c>
      <c r="H115" s="121">
        <f t="shared" si="47"/>
        <v>86720.124206846158</v>
      </c>
      <c r="I115" s="121"/>
      <c r="J115" s="121"/>
      <c r="K115" s="121"/>
      <c r="L115" s="121"/>
      <c r="M115" s="121"/>
      <c r="N115" s="121"/>
      <c r="O115" s="121"/>
      <c r="P115" s="121"/>
      <c r="Q115" s="121"/>
      <c r="R115" s="121"/>
    </row>
    <row r="116" spans="2:18">
      <c r="B116" s="202" t="s">
        <v>93</v>
      </c>
      <c r="C116" s="281">
        <f>C6-C33-C52</f>
        <v>0</v>
      </c>
      <c r="D116" s="281">
        <f>D114-D115</f>
        <v>219594.8238718246</v>
      </c>
      <c r="E116" s="281">
        <f t="shared" ref="E116:H116" si="48">E114-E115</f>
        <v>219594.8238718246</v>
      </c>
      <c r="F116" s="281">
        <f t="shared" si="48"/>
        <v>219594.8238718246</v>
      </c>
      <c r="G116" s="281">
        <f t="shared" si="48"/>
        <v>219594.8238718246</v>
      </c>
      <c r="H116" s="121">
        <f t="shared" si="48"/>
        <v>219594.8238718246</v>
      </c>
      <c r="I116" s="121"/>
      <c r="J116" s="121"/>
      <c r="K116" s="121"/>
      <c r="L116" s="121"/>
      <c r="M116" s="121"/>
      <c r="N116" s="121"/>
      <c r="O116" s="121"/>
      <c r="P116" s="121"/>
      <c r="Q116" s="121"/>
      <c r="R116" s="121"/>
    </row>
    <row r="117" spans="2:18">
      <c r="B117" s="199" t="s">
        <v>159</v>
      </c>
      <c r="C117" s="281">
        <f t="shared" ref="C117:H117" si="49">C116-C85+C61+C88+C92</f>
        <v>-6530.2183333333332</v>
      </c>
      <c r="D117" s="281">
        <f>D116-D85+D61+D88+D92</f>
        <v>220372.97595515792</v>
      </c>
      <c r="E117" s="281">
        <f t="shared" si="49"/>
        <v>220372.97595515792</v>
      </c>
      <c r="F117" s="281">
        <f t="shared" si="49"/>
        <v>220372.97595515792</v>
      </c>
      <c r="G117" s="281">
        <f t="shared" si="49"/>
        <v>220372.97595515792</v>
      </c>
      <c r="H117" s="121">
        <f t="shared" si="49"/>
        <v>220372.97595515792</v>
      </c>
      <c r="I117" s="121"/>
      <c r="J117" s="121"/>
      <c r="K117" s="121"/>
      <c r="L117" s="121"/>
      <c r="M117" s="121"/>
      <c r="N117" s="121"/>
      <c r="O117" s="121"/>
      <c r="P117" s="121"/>
      <c r="Q117" s="121"/>
      <c r="R117" s="121"/>
    </row>
    <row r="118" spans="2:18">
      <c r="B118" s="199" t="s">
        <v>157</v>
      </c>
      <c r="C118" s="281">
        <f t="shared" ref="C118:H118" si="50">C116-C85</f>
        <v>-6530.2183333333332</v>
      </c>
      <c r="D118" s="281">
        <f>D116-D85</f>
        <v>205809.70928849126</v>
      </c>
      <c r="E118" s="281">
        <f t="shared" si="50"/>
        <v>205809.70928849126</v>
      </c>
      <c r="F118" s="281">
        <f t="shared" si="50"/>
        <v>205809.70928849126</v>
      </c>
      <c r="G118" s="281">
        <f t="shared" si="50"/>
        <v>205809.70928849126</v>
      </c>
      <c r="H118" s="121">
        <f t="shared" si="50"/>
        <v>205809.70928849126</v>
      </c>
      <c r="I118" s="121"/>
      <c r="J118" s="121"/>
      <c r="K118" s="121"/>
      <c r="L118" s="121"/>
      <c r="M118" s="121"/>
      <c r="N118" s="121"/>
      <c r="O118" s="121"/>
      <c r="P118" s="121"/>
      <c r="Q118" s="121"/>
      <c r="R118" s="121"/>
    </row>
    <row r="119" spans="2:18">
      <c r="B119" s="199" t="s">
        <v>787</v>
      </c>
      <c r="C119" s="281">
        <v>0</v>
      </c>
      <c r="D119" s="281">
        <f t="shared" ref="D119:H119" si="51">D94</f>
        <v>45278.136043468076</v>
      </c>
      <c r="E119" s="281">
        <f t="shared" si="51"/>
        <v>45278.136043468076</v>
      </c>
      <c r="F119" s="281">
        <f t="shared" si="51"/>
        <v>45278.136043468076</v>
      </c>
      <c r="G119" s="281">
        <f t="shared" si="51"/>
        <v>45278.136043468076</v>
      </c>
      <c r="H119" s="121">
        <f t="shared" si="51"/>
        <v>45278.136043468076</v>
      </c>
      <c r="I119" s="121"/>
      <c r="J119" s="121"/>
      <c r="K119" s="121"/>
      <c r="L119" s="121"/>
      <c r="M119" s="121"/>
      <c r="N119" s="121"/>
      <c r="O119" s="121"/>
      <c r="P119" s="121"/>
      <c r="Q119" s="121"/>
      <c r="R119" s="121"/>
    </row>
    <row r="120" spans="2:18">
      <c r="B120" s="199" t="s">
        <v>788</v>
      </c>
      <c r="C120" s="281">
        <v>0</v>
      </c>
      <c r="D120" s="281">
        <f t="shared" ref="D120:H120" si="52">D95</f>
        <v>3843.4827884518509</v>
      </c>
      <c r="E120" s="281">
        <f t="shared" si="52"/>
        <v>3535.5773641947981</v>
      </c>
      <c r="F120" s="281">
        <f t="shared" si="52"/>
        <v>3208.6810071083619</v>
      </c>
      <c r="G120" s="281">
        <f t="shared" si="52"/>
        <v>2861.6223980103578</v>
      </c>
      <c r="H120" s="121">
        <f t="shared" si="52"/>
        <v>2493.1579733144508</v>
      </c>
      <c r="I120" s="121"/>
      <c r="J120" s="121"/>
      <c r="K120" s="121"/>
      <c r="L120" s="121"/>
      <c r="M120" s="121"/>
      <c r="N120" s="121"/>
      <c r="O120" s="121"/>
      <c r="P120" s="121"/>
      <c r="Q120" s="121"/>
      <c r="R120" s="121"/>
    </row>
    <row r="121" spans="2:18">
      <c r="B121" s="202" t="s">
        <v>94</v>
      </c>
      <c r="C121" s="281">
        <f>C118-C119-C120</f>
        <v>-6530.2183333333332</v>
      </c>
      <c r="D121" s="281">
        <f>D118-D119-D120</f>
        <v>156688.09045657131</v>
      </c>
      <c r="E121" s="281">
        <f>E118-E119-E120</f>
        <v>156995.99588082838</v>
      </c>
      <c r="F121" s="281">
        <f t="shared" ref="F121:H121" si="53">F118-F119-F120</f>
        <v>157322.89223791481</v>
      </c>
      <c r="G121" s="281">
        <f t="shared" si="53"/>
        <v>157669.95084701281</v>
      </c>
      <c r="H121" s="121">
        <f t="shared" si="53"/>
        <v>158038.41527170871</v>
      </c>
      <c r="I121" s="121"/>
      <c r="J121" s="121"/>
      <c r="K121" s="121"/>
      <c r="L121" s="121"/>
      <c r="M121" s="121"/>
      <c r="N121" s="121"/>
      <c r="O121" s="121"/>
      <c r="P121" s="121"/>
      <c r="Q121" s="121"/>
      <c r="R121" s="121"/>
    </row>
    <row r="122" spans="2:18" s="24" customFormat="1">
      <c r="B122" s="211"/>
      <c r="C122" s="121"/>
      <c r="D122" s="121"/>
      <c r="E122" s="121"/>
      <c r="F122" s="121"/>
      <c r="G122" s="121"/>
      <c r="H122" s="121"/>
      <c r="I122" s="121"/>
      <c r="J122" s="121"/>
      <c r="K122" s="121"/>
      <c r="L122" s="121"/>
      <c r="M122" s="121"/>
      <c r="N122" s="121"/>
      <c r="O122" s="121"/>
      <c r="P122" s="121"/>
      <c r="Q122" s="121"/>
      <c r="R122" s="121"/>
    </row>
    <row r="123" spans="2:18">
      <c r="B123" s="211" t="s">
        <v>95</v>
      </c>
      <c r="C123" s="212" t="str">
        <f t="shared" ref="C123:H123" si="54">IFERROR(C116/C114,"N/A")</f>
        <v>N/A</v>
      </c>
      <c r="D123" s="212">
        <f>IFERROR(D116/D114,"N/A")</f>
        <v>0.71689228765755864</v>
      </c>
      <c r="E123" s="212">
        <f t="shared" si="54"/>
        <v>0.71689228765755864</v>
      </c>
      <c r="F123" s="212">
        <f t="shared" si="54"/>
        <v>0.71689228765755864</v>
      </c>
      <c r="G123" s="212">
        <f t="shared" si="54"/>
        <v>0.71689228765755864</v>
      </c>
      <c r="H123" s="336">
        <f t="shared" si="54"/>
        <v>0.71689228765755864</v>
      </c>
      <c r="I123" s="268"/>
      <c r="J123" s="268"/>
      <c r="K123" s="268"/>
      <c r="L123" s="268"/>
      <c r="M123" s="268"/>
      <c r="N123" s="268"/>
      <c r="O123" s="268"/>
      <c r="P123" s="268"/>
      <c r="Q123" s="268"/>
      <c r="R123" s="268"/>
    </row>
    <row r="124" spans="2:18">
      <c r="B124" s="199" t="s">
        <v>158</v>
      </c>
      <c r="C124" s="203" t="str">
        <f>IFERROR(C118/C114,"N/A")</f>
        <v>N/A</v>
      </c>
      <c r="D124" s="203">
        <f>IFERROR(D118/D114,"N/A")</f>
        <v>0.67188921265322388</v>
      </c>
      <c r="E124" s="203">
        <f t="shared" ref="E124:H124" si="55">IFERROR(E118/E114,"N/A")</f>
        <v>0.67188921265322388</v>
      </c>
      <c r="F124" s="203">
        <f t="shared" si="55"/>
        <v>0.67188921265322388</v>
      </c>
      <c r="G124" s="203">
        <f t="shared" si="55"/>
        <v>0.67188921265322388</v>
      </c>
      <c r="H124" s="336">
        <f t="shared" si="55"/>
        <v>0.67188921265322388</v>
      </c>
      <c r="I124" s="268"/>
      <c r="J124" s="268"/>
      <c r="K124" s="268"/>
      <c r="L124" s="268"/>
      <c r="M124" s="268"/>
      <c r="N124" s="268"/>
      <c r="O124" s="268"/>
      <c r="P124" s="268"/>
      <c r="Q124" s="268"/>
      <c r="R124" s="268"/>
    </row>
    <row r="125" spans="2:18">
      <c r="B125" s="199" t="s">
        <v>161</v>
      </c>
      <c r="C125" s="203" t="str">
        <f>IFERROR(C117/C114,"N/A")</f>
        <v>N/A</v>
      </c>
      <c r="D125" s="203">
        <f>IFERROR(D117/D114,"N/A")</f>
        <v>0.71943265367042941</v>
      </c>
      <c r="E125" s="203">
        <f t="shared" ref="E125:H125" si="56">IFERROR(E117/E114,"N/A")</f>
        <v>0.71943265367042941</v>
      </c>
      <c r="F125" s="203">
        <f t="shared" si="56"/>
        <v>0.71943265367042941</v>
      </c>
      <c r="G125" s="203">
        <f t="shared" si="56"/>
        <v>0.71943265367042941</v>
      </c>
      <c r="H125" s="336">
        <f t="shared" si="56"/>
        <v>0.71943265367042941</v>
      </c>
      <c r="I125" s="268"/>
      <c r="J125" s="268"/>
      <c r="K125" s="268"/>
      <c r="L125" s="268"/>
      <c r="M125" s="268"/>
      <c r="N125" s="268"/>
      <c r="O125" s="268"/>
      <c r="P125" s="268"/>
      <c r="Q125" s="268"/>
      <c r="R125" s="268"/>
    </row>
    <row r="126" spans="2:18">
      <c r="B126" s="202" t="s">
        <v>96</v>
      </c>
      <c r="C126" s="203" t="str">
        <f>IFERROR(C121/C114,"N/A")</f>
        <v>N/A</v>
      </c>
      <c r="D126" s="203">
        <f>IFERROR(D121/D114,"N/A")</f>
        <v>0.51152609900163659</v>
      </c>
      <c r="E126" s="203">
        <f t="shared" ref="E126:H126" si="57">IFERROR(E121/E114,"N/A")</f>
        <v>0.51253129129208264</v>
      </c>
      <c r="F126" s="203">
        <f t="shared" si="57"/>
        <v>0.51359848164350641</v>
      </c>
      <c r="G126" s="203">
        <f t="shared" si="57"/>
        <v>0.51473149396064888</v>
      </c>
      <c r="H126" s="336">
        <f t="shared" si="57"/>
        <v>0.51593438799832825</v>
      </c>
      <c r="I126" s="268"/>
      <c r="J126" s="268"/>
      <c r="K126" s="268"/>
      <c r="L126" s="268"/>
      <c r="M126" s="268"/>
      <c r="N126" s="268"/>
      <c r="O126" s="268"/>
      <c r="P126" s="268"/>
      <c r="Q126" s="268"/>
      <c r="R126" s="268"/>
    </row>
    <row r="127" spans="2:18">
      <c r="B127" s="199" t="s">
        <v>673</v>
      </c>
      <c r="C127" s="268"/>
      <c r="D127" s="268">
        <f>(D114-(D33+D52))/(D33+D52)</f>
        <v>2.5322245082126917</v>
      </c>
      <c r="E127" s="268">
        <f t="shared" ref="E127:H127" si="58">(E114-(E33+E52))/(E33+E52)</f>
        <v>2.5322245082126917</v>
      </c>
      <c r="F127" s="268">
        <f t="shared" si="58"/>
        <v>2.5322245082126917</v>
      </c>
      <c r="G127" s="268">
        <f t="shared" si="58"/>
        <v>2.5322245082126917</v>
      </c>
      <c r="H127" s="268">
        <f t="shared" si="58"/>
        <v>2.5322245082126917</v>
      </c>
      <c r="I127" s="268"/>
      <c r="J127" s="268"/>
      <c r="K127" s="268"/>
      <c r="L127" s="268"/>
      <c r="M127" s="268"/>
      <c r="N127" s="268"/>
      <c r="O127" s="268"/>
      <c r="P127" s="268"/>
      <c r="Q127" s="268"/>
      <c r="R127" s="268"/>
    </row>
    <row r="128" spans="2:18">
      <c r="B128" s="199"/>
      <c r="C128" s="268"/>
      <c r="D128" s="268"/>
      <c r="E128" s="268"/>
      <c r="F128" s="268"/>
      <c r="G128" s="268"/>
      <c r="H128" s="268"/>
      <c r="I128" s="268"/>
      <c r="J128" s="268"/>
      <c r="K128" s="268"/>
      <c r="L128" s="268"/>
      <c r="M128" s="268"/>
      <c r="N128" s="268"/>
      <c r="O128" s="268"/>
      <c r="P128" s="268"/>
      <c r="Q128" s="268"/>
      <c r="R128" s="268"/>
    </row>
    <row r="129" spans="2:5" s="24" customFormat="1"/>
    <row r="130" spans="2:5">
      <c r="B130" s="12" t="s">
        <v>646</v>
      </c>
      <c r="C130" s="258">
        <f>INTERCEPT($C$4:$R$4,C107:R107)</f>
        <v>0.33394570185932615</v>
      </c>
    </row>
    <row r="131" spans="2:5">
      <c r="B131" s="12" t="s">
        <v>756</v>
      </c>
      <c r="C131" s="258">
        <f>INTERCEPT($C$4:$R$4,C109:R109)</f>
        <v>0.28588197651447578</v>
      </c>
    </row>
    <row r="132" spans="2:5">
      <c r="B132" s="12" t="s">
        <v>644</v>
      </c>
      <c r="C132" s="269">
        <f>IFERROR(IRR(C106:H106,0.1),"N/A")</f>
        <v>2.9969890783943716</v>
      </c>
    </row>
    <row r="133" spans="2:5">
      <c r="B133" s="12" t="s">
        <v>645</v>
      </c>
      <c r="C133" s="281">
        <f>NPV(General_Financial_WACC,D106:H106)+C106</f>
        <v>734974.71913597302</v>
      </c>
      <c r="D133" s="204" t="s">
        <v>676</v>
      </c>
      <c r="E133" s="182"/>
    </row>
    <row r="134" spans="2:5">
      <c r="C134" s="281">
        <f>SUM(C108:H108)</f>
        <v>734974.7191359729</v>
      </c>
      <c r="D134" s="12" t="s">
        <v>677</v>
      </c>
    </row>
  </sheetData>
  <sheetProtection algorithmName="SHA-512" hashValue="TuARuQBZQTOCWBE+j+Sijdyr9NBPVJ0CCDqo0JgL0zxgRFjIt/AkMW/UCx8PBKxtaAQD/LcoYkqi9/8G2t0BFQ==" saltValue="CMRV/xmZnjH8eRSKVksSPw==" spinCount="100000" sheet="1" objects="1" scenarios="1"/>
  <conditionalFormatting sqref="C121 C115:C118 C123:R128 F114:I114 K114:Q114 J118">
    <cfRule type="cellIs" dxfId="897" priority="136" operator="greaterThan">
      <formula>0</formula>
    </cfRule>
  </conditionalFormatting>
  <conditionalFormatting sqref="C121 C115:C118 C123:R128 F114:I114 K114:Q114 J118">
    <cfRule type="cellIs" dxfId="896" priority="135" operator="lessThan">
      <formula>0</formula>
    </cfRule>
  </conditionalFormatting>
  <conditionalFormatting sqref="D121 D114 D116:D118 E116:R116">
    <cfRule type="cellIs" dxfId="895" priority="134" operator="greaterThan">
      <formula>0</formula>
    </cfRule>
  </conditionalFormatting>
  <conditionalFormatting sqref="D121 D114 D116:D118 E116:R116">
    <cfRule type="cellIs" dxfId="894" priority="133" operator="lessThan">
      <formula>0</formula>
    </cfRule>
  </conditionalFormatting>
  <conditionalFormatting sqref="E121 E114 E116:E118">
    <cfRule type="cellIs" dxfId="893" priority="132" operator="greaterThan">
      <formula>0</formula>
    </cfRule>
  </conditionalFormatting>
  <conditionalFormatting sqref="E121 E114 E116:E118">
    <cfRule type="cellIs" dxfId="892" priority="131" operator="lessThan">
      <formula>0</formula>
    </cfRule>
  </conditionalFormatting>
  <conditionalFormatting sqref="F121:Q121 F116:Q117 F118:I118 K118:Q118">
    <cfRule type="cellIs" dxfId="891" priority="130" operator="greaterThan">
      <formula>0</formula>
    </cfRule>
  </conditionalFormatting>
  <conditionalFormatting sqref="F121:Q121 F116:Q117 F118:I118 K118:Q118">
    <cfRule type="cellIs" dxfId="890" priority="129" operator="lessThan">
      <formula>0</formula>
    </cfRule>
  </conditionalFormatting>
  <conditionalFormatting sqref="R121 R114 R116:R118">
    <cfRule type="cellIs" dxfId="889" priority="128" operator="greaterThan">
      <formula>0</formula>
    </cfRule>
  </conditionalFormatting>
  <conditionalFormatting sqref="R121 R114 R116:R118">
    <cfRule type="cellIs" dxfId="888" priority="127" operator="lessThan">
      <formula>0</formula>
    </cfRule>
  </conditionalFormatting>
  <conditionalFormatting sqref="C7:C14 C114:I114 K114:R114 C115:R121">
    <cfRule type="expression" dxfId="887" priority="120">
      <formula>IF(INDIRECT("General_Currency_Selection")="CHF",TRUE)</formula>
    </cfRule>
    <cfRule type="expression" dxfId="886" priority="121">
      <formula>IF(INDIRECT("General_Currency_Selection")="EUR",TRUE)</formula>
    </cfRule>
    <cfRule type="expression" dxfId="885" priority="122">
      <formula>IF(INDIRECT("General_Currency_Selection")="USD",TRUE)</formula>
    </cfRule>
  </conditionalFormatting>
  <conditionalFormatting sqref="D7:R14">
    <cfRule type="expression" dxfId="884" priority="117">
      <formula>IF(INDIRECT("General_Currency_Selection")="CHF",TRUE)</formula>
    </cfRule>
    <cfRule type="expression" dxfId="883" priority="118">
      <formula>IF(INDIRECT("General_Currency_Selection")="EUR",TRUE)</formula>
    </cfRule>
    <cfRule type="expression" dxfId="882" priority="119">
      <formula>IF(INDIRECT("General_Currency_Selection")="USD",TRUE)</formula>
    </cfRule>
  </conditionalFormatting>
  <conditionalFormatting sqref="C6">
    <cfRule type="expression" dxfId="881" priority="114">
      <formula>IF(INDIRECT("General_Currency_Selection")="CHF",TRUE)</formula>
    </cfRule>
    <cfRule type="expression" dxfId="880" priority="115">
      <formula>IF(INDIRECT("General_Currency_Selection")="EUR",TRUE)</formula>
    </cfRule>
    <cfRule type="expression" dxfId="879" priority="116">
      <formula>IF(INDIRECT("General_Currency_Selection")="USD",TRUE)</formula>
    </cfRule>
  </conditionalFormatting>
  <conditionalFormatting sqref="D6:R6">
    <cfRule type="expression" dxfId="878" priority="111">
      <formula>IF(INDIRECT("General_Currency_Selection")="CHF",TRUE)</formula>
    </cfRule>
    <cfRule type="expression" dxfId="877" priority="112">
      <formula>IF(INDIRECT("General_Currency_Selection")="EUR",TRUE)</formula>
    </cfRule>
    <cfRule type="expression" dxfId="876" priority="113">
      <formula>IF(INDIRECT("General_Currency_Selection")="USD",TRUE)</formula>
    </cfRule>
  </conditionalFormatting>
  <conditionalFormatting sqref="C20:C28">
    <cfRule type="expression" dxfId="875" priority="105">
      <formula>IF(INDIRECT("General_Currency_Selection")="CHF",TRUE)</formula>
    </cfRule>
    <cfRule type="expression" dxfId="874" priority="106">
      <formula>IF(INDIRECT("General_Currency_Selection")="EUR",TRUE)</formula>
    </cfRule>
    <cfRule type="expression" dxfId="873" priority="107">
      <formula>IF(INDIRECT("General_Currency_Selection")="USD",TRUE)</formula>
    </cfRule>
  </conditionalFormatting>
  <conditionalFormatting sqref="C19">
    <cfRule type="expression" dxfId="872" priority="102">
      <formula>IF(INDIRECT("General_Currency_Selection")="CHF",TRUE)</formula>
    </cfRule>
    <cfRule type="expression" dxfId="871" priority="103">
      <formula>IF(INDIRECT("General_Currency_Selection")="EUR",TRUE)</formula>
    </cfRule>
    <cfRule type="expression" dxfId="870" priority="104">
      <formula>IF(INDIRECT("General_Currency_Selection")="USD",TRUE)</formula>
    </cfRule>
  </conditionalFormatting>
  <conditionalFormatting sqref="D19:R19">
    <cfRule type="expression" dxfId="869" priority="99">
      <formula>IF(INDIRECT("General_Currency_Selection")="CHF",TRUE)</formula>
    </cfRule>
    <cfRule type="expression" dxfId="868" priority="100">
      <formula>IF(INDIRECT("General_Currency_Selection")="EUR",TRUE)</formula>
    </cfRule>
    <cfRule type="expression" dxfId="867" priority="101">
      <formula>IF(INDIRECT("General_Currency_Selection")="USD",TRUE)</formula>
    </cfRule>
  </conditionalFormatting>
  <conditionalFormatting sqref="D20:R20 D22:R28 D21:I21 K21:R21">
    <cfRule type="expression" dxfId="866" priority="96">
      <formula>IF(INDIRECT("General_Currency_Selection")="CHF",TRUE)</formula>
    </cfRule>
    <cfRule type="expression" dxfId="865" priority="97">
      <formula>IF(INDIRECT("General_Currency_Selection")="EUR",TRUE)</formula>
    </cfRule>
    <cfRule type="expression" dxfId="864" priority="98">
      <formula>IF(INDIRECT("General_Currency_Selection")="USD",TRUE)</formula>
    </cfRule>
  </conditionalFormatting>
  <conditionalFormatting sqref="C33:R33">
    <cfRule type="expression" dxfId="863" priority="93">
      <formula>IF(INDIRECT("General_Currency_Selection")="CHF",TRUE)</formula>
    </cfRule>
    <cfRule type="expression" dxfId="862" priority="94">
      <formula>IF(INDIRECT("General_Currency_Selection")="EUR",TRUE)</formula>
    </cfRule>
    <cfRule type="expression" dxfId="861" priority="95">
      <formula>IF(INDIRECT("General_Currency_Selection")="USD",TRUE)</formula>
    </cfRule>
  </conditionalFormatting>
  <conditionalFormatting sqref="C34">
    <cfRule type="expression" dxfId="860" priority="90">
      <formula>IF(INDIRECT("General_Currency_Selection")="CHF",TRUE)</formula>
    </cfRule>
    <cfRule type="expression" dxfId="859" priority="91">
      <formula>IF(INDIRECT("General_Currency_Selection")="EUR",TRUE)</formula>
    </cfRule>
    <cfRule type="expression" dxfId="858" priority="92">
      <formula>IF(INDIRECT("General_Currency_Selection")="USD",TRUE)</formula>
    </cfRule>
  </conditionalFormatting>
  <conditionalFormatting sqref="D34:R34">
    <cfRule type="expression" dxfId="857" priority="87">
      <formula>IF(INDIRECT("General_Currency_Selection")="CHF",TRUE)</formula>
    </cfRule>
    <cfRule type="expression" dxfId="856" priority="88">
      <formula>IF(INDIRECT("General_Currency_Selection")="EUR",TRUE)</formula>
    </cfRule>
    <cfRule type="expression" dxfId="855" priority="89">
      <formula>IF(INDIRECT("General_Currency_Selection")="USD",TRUE)</formula>
    </cfRule>
  </conditionalFormatting>
  <conditionalFormatting sqref="C35:R40">
    <cfRule type="expression" dxfId="854" priority="84">
      <formula>IF(INDIRECT("General_Currency_Selection")="CHF",TRUE)</formula>
    </cfRule>
    <cfRule type="expression" dxfId="853" priority="85">
      <formula>IF(INDIRECT("General_Currency_Selection")="EUR",TRUE)</formula>
    </cfRule>
    <cfRule type="expression" dxfId="852" priority="86">
      <formula>IF(INDIRECT("General_Currency_Selection")="USD",TRUE)</formula>
    </cfRule>
  </conditionalFormatting>
  <conditionalFormatting sqref="C42">
    <cfRule type="expression" dxfId="851" priority="81">
      <formula>IF(INDIRECT("General_Currency_Selection")="CHF",TRUE)</formula>
    </cfRule>
    <cfRule type="expression" dxfId="850" priority="82">
      <formula>IF(INDIRECT("General_Currency_Selection")="EUR",TRUE)</formula>
    </cfRule>
    <cfRule type="expression" dxfId="849" priority="83">
      <formula>IF(INDIRECT("General_Currency_Selection")="USD",TRUE)</formula>
    </cfRule>
  </conditionalFormatting>
  <conditionalFormatting sqref="D42:R42">
    <cfRule type="expression" dxfId="848" priority="78">
      <formula>IF(INDIRECT("General_Currency_Selection")="CHF",TRUE)</formula>
    </cfRule>
    <cfRule type="expression" dxfId="847" priority="79">
      <formula>IF(INDIRECT("General_Currency_Selection")="EUR",TRUE)</formula>
    </cfRule>
    <cfRule type="expression" dxfId="846" priority="80">
      <formula>IF(INDIRECT("General_Currency_Selection")="USD",TRUE)</formula>
    </cfRule>
  </conditionalFormatting>
  <conditionalFormatting sqref="C43:R47 C48:I48 K48:R48">
    <cfRule type="expression" dxfId="845" priority="75">
      <formula>IF(INDIRECT("General_Currency_Selection")="CHF",TRUE)</formula>
    </cfRule>
    <cfRule type="expression" dxfId="844" priority="76">
      <formula>IF(INDIRECT("General_Currency_Selection")="EUR",TRUE)</formula>
    </cfRule>
    <cfRule type="expression" dxfId="843" priority="77">
      <formula>IF(INDIRECT("General_Currency_Selection")="USD",TRUE)</formula>
    </cfRule>
  </conditionalFormatting>
  <conditionalFormatting sqref="C52:R52">
    <cfRule type="expression" dxfId="842" priority="72">
      <formula>IF(INDIRECT("General_Currency_Selection")="CHF",TRUE)</formula>
    </cfRule>
    <cfRule type="expression" dxfId="841" priority="73">
      <formula>IF(INDIRECT("General_Currency_Selection")="EUR",TRUE)</formula>
    </cfRule>
    <cfRule type="expression" dxfId="840" priority="74">
      <formula>IF(INDIRECT("General_Currency_Selection")="USD",TRUE)</formula>
    </cfRule>
  </conditionalFormatting>
  <conditionalFormatting sqref="C53:R53">
    <cfRule type="expression" dxfId="839" priority="69">
      <formula>IF(INDIRECT("General_Currency_Selection")="CHF",TRUE)</formula>
    </cfRule>
    <cfRule type="expression" dxfId="838" priority="70">
      <formula>IF(INDIRECT("General_Currency_Selection")="EUR",TRUE)</formula>
    </cfRule>
    <cfRule type="expression" dxfId="837" priority="71">
      <formula>IF(INDIRECT("General_Currency_Selection")="USD",TRUE)</formula>
    </cfRule>
  </conditionalFormatting>
  <conditionalFormatting sqref="C54:R59">
    <cfRule type="expression" dxfId="836" priority="66">
      <formula>IF(INDIRECT("General_Currency_Selection")="CHF",TRUE)</formula>
    </cfRule>
    <cfRule type="expression" dxfId="835" priority="67">
      <formula>IF(INDIRECT("General_Currency_Selection")="EUR",TRUE)</formula>
    </cfRule>
    <cfRule type="expression" dxfId="834" priority="68">
      <formula>IF(INDIRECT("General_Currency_Selection")="USD",TRUE)</formula>
    </cfRule>
  </conditionalFormatting>
  <conditionalFormatting sqref="C61:R61">
    <cfRule type="expression" dxfId="833" priority="63">
      <formula>IF(INDIRECT("General_Currency_Selection")="CHF",TRUE)</formula>
    </cfRule>
    <cfRule type="expression" dxfId="832" priority="64">
      <formula>IF(INDIRECT("General_Currency_Selection")="EUR",TRUE)</formula>
    </cfRule>
    <cfRule type="expression" dxfId="831" priority="65">
      <formula>IF(INDIRECT("General_Currency_Selection")="USD",TRUE)</formula>
    </cfRule>
  </conditionalFormatting>
  <conditionalFormatting sqref="C62:R67">
    <cfRule type="expression" dxfId="830" priority="60">
      <formula>IF(INDIRECT("General_Currency_Selection")="CHF",TRUE)</formula>
    </cfRule>
    <cfRule type="expression" dxfId="829" priority="61">
      <formula>IF(INDIRECT("General_Currency_Selection")="EUR",TRUE)</formula>
    </cfRule>
    <cfRule type="expression" dxfId="828" priority="62">
      <formula>IF(INDIRECT("General_Currency_Selection")="USD",TRUE)</formula>
    </cfRule>
  </conditionalFormatting>
  <conditionalFormatting sqref="C69:R69">
    <cfRule type="expression" dxfId="827" priority="57">
      <formula>IF(INDIRECT("General_Currency_Selection")="CHF",TRUE)</formula>
    </cfRule>
    <cfRule type="expression" dxfId="826" priority="58">
      <formula>IF(INDIRECT("General_Currency_Selection")="EUR",TRUE)</formula>
    </cfRule>
    <cfRule type="expression" dxfId="825" priority="59">
      <formula>IF(INDIRECT("General_Currency_Selection")="USD",TRUE)</formula>
    </cfRule>
  </conditionalFormatting>
  <conditionalFormatting sqref="C70:R75">
    <cfRule type="expression" dxfId="824" priority="54">
      <formula>IF(INDIRECT("General_Currency_Selection")="CHF",TRUE)</formula>
    </cfRule>
    <cfRule type="expression" dxfId="823" priority="55">
      <formula>IF(INDIRECT("General_Currency_Selection")="EUR",TRUE)</formula>
    </cfRule>
    <cfRule type="expression" dxfId="822" priority="56">
      <formula>IF(INDIRECT("General_Currency_Selection")="USD",TRUE)</formula>
    </cfRule>
  </conditionalFormatting>
  <conditionalFormatting sqref="C77:R77">
    <cfRule type="expression" dxfId="821" priority="51">
      <formula>IF(INDIRECT("General_Currency_Selection")="CHF",TRUE)</formula>
    </cfRule>
    <cfRule type="expression" dxfId="820" priority="52">
      <formula>IF(INDIRECT("General_Currency_Selection")="EUR",TRUE)</formula>
    </cfRule>
    <cfRule type="expression" dxfId="819" priority="53">
      <formula>IF(INDIRECT("General_Currency_Selection")="USD",TRUE)</formula>
    </cfRule>
  </conditionalFormatting>
  <conditionalFormatting sqref="C78:R80">
    <cfRule type="expression" dxfId="818" priority="48">
      <formula>IF(INDIRECT("General_Currency_Selection")="CHF",TRUE)</formula>
    </cfRule>
    <cfRule type="expression" dxfId="817" priority="49">
      <formula>IF(INDIRECT("General_Currency_Selection")="EUR",TRUE)</formula>
    </cfRule>
    <cfRule type="expression" dxfId="816" priority="50">
      <formula>IF(INDIRECT("General_Currency_Selection")="USD",TRUE)</formula>
    </cfRule>
  </conditionalFormatting>
  <conditionalFormatting sqref="C82:R82">
    <cfRule type="expression" dxfId="815" priority="45">
      <formula>IF(INDIRECT("General_Currency_Selection")="CHF",TRUE)</formula>
    </cfRule>
    <cfRule type="expression" dxfId="814" priority="46">
      <formula>IF(INDIRECT("General_Currency_Selection")="EUR",TRUE)</formula>
    </cfRule>
    <cfRule type="expression" dxfId="813" priority="47">
      <formula>IF(INDIRECT("General_Currency_Selection")="USD",TRUE)</formula>
    </cfRule>
  </conditionalFormatting>
  <conditionalFormatting sqref="C83:R83">
    <cfRule type="expression" dxfId="812" priority="42">
      <formula>IF(INDIRECT("General_Currency_Selection")="CHF",TRUE)</formula>
    </cfRule>
    <cfRule type="expression" dxfId="811" priority="43">
      <formula>IF(INDIRECT("General_Currency_Selection")="EUR",TRUE)</formula>
    </cfRule>
    <cfRule type="expression" dxfId="810" priority="44">
      <formula>IF(INDIRECT("General_Currency_Selection")="USD",TRUE)</formula>
    </cfRule>
  </conditionalFormatting>
  <conditionalFormatting sqref="C85:R85">
    <cfRule type="expression" dxfId="809" priority="39">
      <formula>IF(INDIRECT("General_Currency_Selection")="CHF",TRUE)</formula>
    </cfRule>
    <cfRule type="expression" dxfId="808" priority="40">
      <formula>IF(INDIRECT("General_Currency_Selection")="EUR",TRUE)</formula>
    </cfRule>
    <cfRule type="expression" dxfId="807" priority="41">
      <formula>IF(INDIRECT("General_Currency_Selection")="USD",TRUE)</formula>
    </cfRule>
  </conditionalFormatting>
  <conditionalFormatting sqref="C86:R88 C90:R95 C89:I89 K89:R89">
    <cfRule type="expression" dxfId="806" priority="33">
      <formula>IF(INDIRECT("General_Currency_Selection")="CHF",TRUE)</formula>
    </cfRule>
    <cfRule type="expression" dxfId="805" priority="34">
      <formula>IF(INDIRECT("General_Currency_Selection")="EUR",TRUE)</formula>
    </cfRule>
    <cfRule type="expression" dxfId="804" priority="35">
      <formula>IF(INDIRECT("General_Currency_Selection")="USD",TRUE)</formula>
    </cfRule>
  </conditionalFormatting>
  <conditionalFormatting sqref="C100:R102 C103">
    <cfRule type="expression" dxfId="803" priority="30">
      <formula>IF(INDIRECT("General_Currency_Selection")="CHF",TRUE)</formula>
    </cfRule>
    <cfRule type="expression" dxfId="802" priority="31">
      <formula>IF(INDIRECT("General_Currency_Selection")="EUR",TRUE)</formula>
    </cfRule>
    <cfRule type="expression" dxfId="801" priority="32">
      <formula>IF(INDIRECT("General_Currency_Selection")="USD",TRUE)</formula>
    </cfRule>
  </conditionalFormatting>
  <conditionalFormatting sqref="C106:R109">
    <cfRule type="expression" dxfId="800" priority="27">
      <formula>IF(INDIRECT("General_Currency_Selection")="CHF",TRUE)</formula>
    </cfRule>
    <cfRule type="expression" dxfId="799" priority="28">
      <formula>IF(INDIRECT("General_Currency_Selection")="EUR",TRUE)</formula>
    </cfRule>
    <cfRule type="expression" dxfId="798" priority="29">
      <formula>IF(INDIRECT("General_Currency_Selection")="USD",TRUE)</formula>
    </cfRule>
  </conditionalFormatting>
  <conditionalFormatting sqref="C133:C134">
    <cfRule type="expression" dxfId="797" priority="16">
      <formula>IF(INDIRECT("General_Currency_Selection")="CHF",TRUE)</formula>
    </cfRule>
    <cfRule type="expression" dxfId="796" priority="17">
      <formula>IF(INDIRECT("General_Currency_Selection")="EUR",TRUE)</formula>
    </cfRule>
    <cfRule type="expression" dxfId="795" priority="18">
      <formula>IF(INDIRECT("General_Currency_Selection")="USD",TRUE)</formula>
    </cfRule>
  </conditionalFormatting>
  <conditionalFormatting sqref="C133:C134">
    <cfRule type="cellIs" dxfId="794" priority="20" operator="greaterThan">
      <formula>0</formula>
    </cfRule>
  </conditionalFormatting>
  <conditionalFormatting sqref="C133:C134">
    <cfRule type="cellIs" dxfId="793" priority="19" operator="lessThan">
      <formula>0</formula>
    </cfRule>
  </conditionalFormatting>
  <conditionalFormatting sqref="D110:D112">
    <cfRule type="expression" dxfId="792" priority="13">
      <formula>IF(INDIRECT("General_Currency_Selection")="CHF",TRUE)</formula>
    </cfRule>
    <cfRule type="expression" dxfId="791" priority="14">
      <formula>IF(INDIRECT("General_Currency_Selection")="EUR",TRUE)</formula>
    </cfRule>
    <cfRule type="expression" dxfId="790" priority="15">
      <formula>IF(INDIRECT("General_Currency_Selection")="USD",TRUE)</formula>
    </cfRule>
  </conditionalFormatting>
  <conditionalFormatting sqref="D113">
    <cfRule type="expression" dxfId="789" priority="10">
      <formula>IF(INDIRECT("General_Currency_Selection")="CHF",TRUE)</formula>
    </cfRule>
    <cfRule type="expression" dxfId="788" priority="11">
      <formula>IF(INDIRECT("General_Currency_Selection")="EUR",TRUE)</formula>
    </cfRule>
    <cfRule type="expression" dxfId="787" priority="12">
      <formula>IF(INDIRECT("General_Currency_Selection")="USD",TRUE)</formula>
    </cfRule>
  </conditionalFormatting>
  <conditionalFormatting sqref="D103:R103">
    <cfRule type="expression" dxfId="786" priority="7">
      <formula>IF(INDIRECT("General_Currency_Selection")="CHF",TRUE)</formula>
    </cfRule>
    <cfRule type="expression" dxfId="785" priority="8">
      <formula>IF(INDIRECT("General_Currency_Selection")="EUR",TRUE)</formula>
    </cfRule>
    <cfRule type="expression" dxfId="784" priority="9">
      <formula>IF(INDIRECT("General_Currency_Selection")="USD",TRUE)</formula>
    </cfRule>
  </conditionalFormatting>
  <conditionalFormatting sqref="C104:R104">
    <cfRule type="expression" dxfId="783" priority="4">
      <formula>IF(INDIRECT("General_Currency_Selection")="CHF",TRUE)</formula>
    </cfRule>
    <cfRule type="expression" dxfId="782" priority="5">
      <formula>IF(INDIRECT("General_Currency_Selection")="EUR",TRUE)</formula>
    </cfRule>
    <cfRule type="expression" dxfId="781" priority="6">
      <formula>IF(INDIRECT("General_Currency_Selection")="USD",TRUE)</formula>
    </cfRule>
  </conditionalFormatting>
  <conditionalFormatting sqref="S103:S104">
    <cfRule type="expression" dxfId="780" priority="1">
      <formula>IF(INDIRECT("General_Currency_Selection")="CHF",TRUE)</formula>
    </cfRule>
    <cfRule type="expression" dxfId="779" priority="2">
      <formula>IF(INDIRECT("General_Currency_Selection")="EUR",TRUE)</formula>
    </cfRule>
    <cfRule type="expression" dxfId="778" priority="3">
      <formula>IF(INDIRECT("General_Currency_Selection")="USD",TRUE)</formula>
    </cfRule>
  </conditionalFormatting>
  <pageMargins left="0.7" right="0.7" top="0.75" bottom="0.75" header="0.3" footer="0.3"/>
  <pageSetup paperSize="9" scale="48" orientation="portrait" horizontalDpi="4294967293"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79998168889431442"/>
  </sheetPr>
  <dimension ref="B1:N74"/>
  <sheetViews>
    <sheetView zoomScale="85" zoomScaleNormal="85" workbookViewId="0"/>
  </sheetViews>
  <sheetFormatPr defaultColWidth="11.140625" defaultRowHeight="15"/>
  <cols>
    <col min="1" max="1" width="0.85546875" style="12" customWidth="1"/>
    <col min="2" max="2" width="22.42578125" style="12" customWidth="1"/>
    <col min="3" max="3" width="22.140625" style="12" bestFit="1" customWidth="1"/>
    <col min="4" max="4" width="24.42578125" style="12" customWidth="1"/>
    <col min="5" max="5" width="26.140625" style="12" customWidth="1"/>
    <col min="6" max="6" width="25.140625" style="12" customWidth="1"/>
    <col min="7" max="7" width="36.140625" style="12" customWidth="1"/>
    <col min="8" max="8" width="18.28515625" style="12" bestFit="1" customWidth="1"/>
    <col min="9" max="9" width="24.42578125" style="12" customWidth="1"/>
    <col min="10" max="11" width="27.7109375" style="12" customWidth="1"/>
    <col min="12" max="13" width="20.42578125" style="12" customWidth="1"/>
    <col min="14" max="14" width="21.85546875" style="12" customWidth="1"/>
    <col min="15" max="15" width="18.5703125" style="12" customWidth="1"/>
    <col min="16" max="16" width="20.140625" style="12" customWidth="1"/>
    <col min="17" max="17" width="27.7109375" style="12" customWidth="1"/>
    <col min="18" max="18" width="43.7109375" style="12" bestFit="1" customWidth="1"/>
    <col min="19" max="19" width="12.5703125" style="12" customWidth="1"/>
    <col min="20" max="20" width="17.85546875" style="12" bestFit="1" customWidth="1"/>
    <col min="21" max="21" width="20.140625" style="12" bestFit="1" customWidth="1"/>
    <col min="22" max="22" width="5" style="12" bestFit="1" customWidth="1"/>
    <col min="23" max="23" width="17.42578125" style="12" bestFit="1" customWidth="1"/>
    <col min="24" max="24" width="4.5703125" style="12" bestFit="1" customWidth="1"/>
    <col min="25" max="25" width="22.85546875" style="12" bestFit="1" customWidth="1"/>
    <col min="26" max="26" width="5" style="12" bestFit="1" customWidth="1"/>
    <col min="27" max="16384" width="11.140625" style="12"/>
  </cols>
  <sheetData>
    <row r="1" spans="2:10" ht="5.0999999999999996" customHeight="1"/>
    <row r="2" spans="2:10" ht="18.75">
      <c r="B2" s="353" t="s">
        <v>662</v>
      </c>
      <c r="C2" s="354"/>
      <c r="D2" s="355"/>
      <c r="E2" s="355"/>
      <c r="F2" s="355"/>
      <c r="G2" s="355"/>
      <c r="H2" s="355"/>
      <c r="I2" s="355"/>
    </row>
    <row r="4" spans="2:10">
      <c r="B4" s="12" t="s">
        <v>930</v>
      </c>
    </row>
    <row r="6" spans="2:10" ht="15.75" thickBot="1">
      <c r="B6" s="324" t="s">
        <v>929</v>
      </c>
      <c r="C6" s="327" t="s">
        <v>891</v>
      </c>
      <c r="D6" s="324" t="s">
        <v>890</v>
      </c>
      <c r="E6" s="324" t="s">
        <v>888</v>
      </c>
      <c r="F6" s="324" t="s">
        <v>887</v>
      </c>
      <c r="G6" s="324" t="s">
        <v>936</v>
      </c>
      <c r="H6" s="324" t="s">
        <v>144</v>
      </c>
      <c r="I6" s="327" t="s">
        <v>927</v>
      </c>
    </row>
    <row r="7" spans="2:10">
      <c r="B7" s="12" t="s">
        <v>705</v>
      </c>
      <c r="C7" s="328">
        <f>'5.1-Financial Analysis'!D35</f>
        <v>0</v>
      </c>
      <c r="D7" s="281">
        <f>'5.1-Financial Analysis'!D43</f>
        <v>2003.2348366082435</v>
      </c>
      <c r="E7" s="281">
        <f>'5.1-Financial Analysis'!D54</f>
        <v>1881.6</v>
      </c>
      <c r="F7" s="281">
        <f>'5.1-Financial Analysis'!D62</f>
        <v>551.59999999999991</v>
      </c>
      <c r="G7" s="281">
        <f>'5.1-Financial Analysis'!D70</f>
        <v>127.4</v>
      </c>
      <c r="H7" s="121">
        <f>'5.3-Unit W'!$G$35</f>
        <v>1201.1541666666667</v>
      </c>
      <c r="I7" s="328">
        <f t="shared" ref="I7:I12" si="0">SUM(C7:H7)</f>
        <v>5764.9890032749099</v>
      </c>
    </row>
    <row r="8" spans="2:10">
      <c r="B8" s="12" t="s">
        <v>706</v>
      </c>
      <c r="C8" s="328">
        <f>'5.1-Financial Analysis'!D36</f>
        <v>0</v>
      </c>
      <c r="D8" s="281">
        <f>'5.1-Financial Analysis'!D44</f>
        <v>4383.0938643152094</v>
      </c>
      <c r="E8" s="281">
        <f>'5.1-Financial Analysis'!D55</f>
        <v>1344</v>
      </c>
      <c r="F8" s="281">
        <f>'5.1-Financial Analysis'!D63</f>
        <v>4012.3999999999996</v>
      </c>
      <c r="G8" s="281">
        <f>'5.1-Financial Analysis'!D71</f>
        <v>992.6</v>
      </c>
      <c r="H8" s="121">
        <f>'5.3-Unit T'!$G$35</f>
        <v>434.6541666666667</v>
      </c>
      <c r="I8" s="328">
        <f t="shared" si="0"/>
        <v>11166.748030981877</v>
      </c>
    </row>
    <row r="9" spans="2:10">
      <c r="B9" s="12" t="s">
        <v>707</v>
      </c>
      <c r="C9" s="328">
        <f>'5.1-Financial Analysis'!D37</f>
        <v>0</v>
      </c>
      <c r="D9" s="281">
        <f>'5.1-Financial Analysis'!D45</f>
        <v>7309.8438826566016</v>
      </c>
      <c r="E9" s="281">
        <f>'5.1-Financial Analysis'!D56</f>
        <v>1680</v>
      </c>
      <c r="F9" s="281">
        <f>'5.1-Financial Analysis'!D64</f>
        <v>5789.2333333333327</v>
      </c>
      <c r="G9" s="281">
        <f>'5.1-Financial Analysis'!D72</f>
        <v>1436.575</v>
      </c>
      <c r="H9" s="121">
        <f>'5.3-Unit H'!$G$35</f>
        <v>637.37420306666661</v>
      </c>
      <c r="I9" s="328">
        <f t="shared" si="0"/>
        <v>16853.026419056601</v>
      </c>
      <c r="J9" s="330"/>
    </row>
    <row r="10" spans="2:10">
      <c r="B10" s="12" t="s">
        <v>708</v>
      </c>
      <c r="C10" s="328">
        <f>'5.1-Financial Analysis'!D38</f>
        <v>5780.237177151902</v>
      </c>
      <c r="D10" s="281">
        <f>'5.1-Financial Analysis'!D46</f>
        <v>23099.999999999996</v>
      </c>
      <c r="E10" s="281">
        <f>'5.1-Financial Analysis'!D57</f>
        <v>4032</v>
      </c>
      <c r="F10" s="281">
        <f>'5.1-Financial Analysis'!D65</f>
        <v>3692.0333333333333</v>
      </c>
      <c r="G10" s="281">
        <f>'5.1-Financial Analysis'!D73</f>
        <v>554.15500000000009</v>
      </c>
      <c r="H10" s="121">
        <f>'5.3-Unit N (17DOL-Egg)'!$G$35+'5.3-Unit N (Egg-5DOL)'!$G$35+'5.3-Unit N (5DOL-17DOL)'!$G$35</f>
        <v>1943.6138266276039</v>
      </c>
      <c r="I10" s="328">
        <f t="shared" si="0"/>
        <v>39102.03933711283</v>
      </c>
      <c r="J10" s="330"/>
    </row>
    <row r="11" spans="2:10">
      <c r="B11" s="12" t="s">
        <v>709</v>
      </c>
      <c r="C11" s="328">
        <f>'5.1-Financial Analysis'!D39</f>
        <v>0</v>
      </c>
      <c r="D11" s="281">
        <f>'5.1-Financial Analysis'!D47</f>
        <v>0</v>
      </c>
      <c r="E11" s="281">
        <f>'5.1-Financial Analysis'!D58</f>
        <v>1344</v>
      </c>
      <c r="F11" s="281">
        <f>'5.1-Financial Analysis'!D66</f>
        <v>496.99999999999994</v>
      </c>
      <c r="G11" s="281">
        <f>'5.1-Financial Analysis'!D74</f>
        <v>119.21</v>
      </c>
      <c r="H11" s="121">
        <f>'5.3-Unit P'!$G$35</f>
        <v>208.63399999999999</v>
      </c>
      <c r="I11" s="328">
        <f t="shared" si="0"/>
        <v>2168.8440000000001</v>
      </c>
    </row>
    <row r="12" spans="2:10" ht="15.75" thickBot="1">
      <c r="B12" s="62" t="s">
        <v>710</v>
      </c>
      <c r="C12" s="329">
        <f>'5.1-Financial Analysis'!D40</f>
        <v>0</v>
      </c>
      <c r="D12" s="325">
        <f>'5.1-Financial Analysis'!D48</f>
        <v>9823.8274164199447</v>
      </c>
      <c r="E12" s="325">
        <f>'5.1-Financial Analysis'!D59</f>
        <v>1814.3999999999999</v>
      </c>
      <c r="F12" s="325">
        <f>'5.1-Financial Analysis'!D67</f>
        <v>20.999999999999996</v>
      </c>
      <c r="G12" s="325">
        <f>'5.1-Financial Analysis'!D75</f>
        <v>5.25</v>
      </c>
      <c r="H12" s="326">
        <f>'5.3-Unit R'!$G$35</f>
        <v>0</v>
      </c>
      <c r="I12" s="329">
        <f t="shared" si="0"/>
        <v>11664.477416419944</v>
      </c>
    </row>
    <row r="13" spans="2:10">
      <c r="B13" s="12" t="s">
        <v>927</v>
      </c>
      <c r="C13" s="330">
        <f>SUM(C7:C12)</f>
        <v>5780.237177151902</v>
      </c>
      <c r="D13" s="88">
        <f t="shared" ref="D13:G13" si="1">SUM(D7:D12)</f>
        <v>46619.999999999993</v>
      </c>
      <c r="E13" s="88">
        <f t="shared" si="1"/>
        <v>12096</v>
      </c>
      <c r="F13" s="88">
        <f t="shared" si="1"/>
        <v>14563.266666666666</v>
      </c>
      <c r="G13" s="88">
        <f t="shared" si="1"/>
        <v>3235.19</v>
      </c>
      <c r="H13" s="88">
        <f t="shared" ref="H13" si="2">SUM(H7:H12)</f>
        <v>4425.4303630276045</v>
      </c>
      <c r="I13" s="330">
        <f t="shared" ref="I13" si="3">SUM(I7:I12)</f>
        <v>86720.124206846158</v>
      </c>
      <c r="J13" s="24"/>
    </row>
    <row r="14" spans="2:10">
      <c r="H14" s="88"/>
      <c r="I14" s="88"/>
      <c r="J14" s="24"/>
    </row>
    <row r="15" spans="2:10">
      <c r="B15" s="12" t="s">
        <v>928</v>
      </c>
      <c r="H15" s="88"/>
      <c r="I15" s="88"/>
      <c r="J15" s="24"/>
    </row>
    <row r="16" spans="2:10">
      <c r="J16" s="24"/>
    </row>
    <row r="17" spans="2:12" ht="15.75" thickBot="1">
      <c r="B17" s="324" t="s">
        <v>929</v>
      </c>
      <c r="C17" s="327" t="s">
        <v>891</v>
      </c>
      <c r="D17" s="324" t="s">
        <v>890</v>
      </c>
      <c r="E17" s="324" t="s">
        <v>888</v>
      </c>
      <c r="F17" s="324" t="s">
        <v>887</v>
      </c>
      <c r="G17" s="324" t="s">
        <v>886</v>
      </c>
      <c r="H17" s="324" t="s">
        <v>144</v>
      </c>
      <c r="J17" s="24"/>
    </row>
    <row r="18" spans="2:12">
      <c r="B18" s="12" t="s">
        <v>136</v>
      </c>
      <c r="C18" s="159">
        <f t="shared" ref="C18:H23" si="4">C7/C$13</f>
        <v>0</v>
      </c>
      <c r="D18" s="159">
        <f t="shared" si="4"/>
        <v>4.2969430214677043E-2</v>
      </c>
      <c r="E18" s="159">
        <f t="shared" si="4"/>
        <v>0.15555555555555556</v>
      </c>
      <c r="F18" s="159">
        <f t="shared" si="4"/>
        <v>3.7876117537731915E-2</v>
      </c>
      <c r="G18" s="159">
        <f t="shared" si="4"/>
        <v>3.9379449120453512E-2</v>
      </c>
      <c r="H18" s="159">
        <f t="shared" si="4"/>
        <v>0.27142087167425488</v>
      </c>
      <c r="I18" s="294"/>
      <c r="J18" s="24"/>
    </row>
    <row r="19" spans="2:12">
      <c r="B19" s="12" t="s">
        <v>137</v>
      </c>
      <c r="C19" s="159">
        <f t="shared" si="4"/>
        <v>0</v>
      </c>
      <c r="D19" s="159">
        <f t="shared" si="4"/>
        <v>9.4017457407018667E-2</v>
      </c>
      <c r="E19" s="159">
        <f t="shared" si="4"/>
        <v>0.1111111111111111</v>
      </c>
      <c r="F19" s="159">
        <f t="shared" si="4"/>
        <v>0.2755151087896946</v>
      </c>
      <c r="G19" s="159">
        <f t="shared" si="4"/>
        <v>0.30681351018023673</v>
      </c>
      <c r="H19" s="159">
        <f t="shared" si="4"/>
        <v>9.8217377974806341E-2</v>
      </c>
      <c r="I19" s="294"/>
      <c r="J19" s="24"/>
    </row>
    <row r="20" spans="2:12">
      <c r="B20" s="12" t="s">
        <v>138</v>
      </c>
      <c r="C20" s="159">
        <f t="shared" si="4"/>
        <v>0</v>
      </c>
      <c r="D20" s="159">
        <f t="shared" si="4"/>
        <v>0.15679630807929221</v>
      </c>
      <c r="E20" s="159">
        <f t="shared" si="4"/>
        <v>0.1388888888888889</v>
      </c>
      <c r="F20" s="159">
        <f t="shared" si="4"/>
        <v>0.3975229916364918</v>
      </c>
      <c r="G20" s="159">
        <f t="shared" si="4"/>
        <v>0.44404656295302597</v>
      </c>
      <c r="H20" s="159">
        <f t="shared" si="4"/>
        <v>0.14402536042406841</v>
      </c>
      <c r="I20" s="294"/>
    </row>
    <row r="21" spans="2:12">
      <c r="B21" s="12" t="s">
        <v>550</v>
      </c>
      <c r="C21" s="159">
        <f t="shared" si="4"/>
        <v>1</v>
      </c>
      <c r="D21" s="159">
        <f t="shared" si="4"/>
        <v>0.49549549549549549</v>
      </c>
      <c r="E21" s="159">
        <f t="shared" si="4"/>
        <v>0.33333333333333331</v>
      </c>
      <c r="F21" s="159">
        <f t="shared" si="4"/>
        <v>0.25351683917069889</v>
      </c>
      <c r="G21" s="159">
        <f t="shared" si="4"/>
        <v>0.17128978514399465</v>
      </c>
      <c r="H21" s="159">
        <f t="shared" si="4"/>
        <v>0.43919204849896315</v>
      </c>
      <c r="I21" s="294"/>
    </row>
    <row r="22" spans="2:12">
      <c r="B22" s="12" t="s">
        <v>276</v>
      </c>
      <c r="C22" s="159">
        <f t="shared" si="4"/>
        <v>0</v>
      </c>
      <c r="D22" s="159">
        <f t="shared" si="4"/>
        <v>0</v>
      </c>
      <c r="E22" s="159">
        <f t="shared" si="4"/>
        <v>0.1111111111111111</v>
      </c>
      <c r="F22" s="159">
        <f t="shared" si="4"/>
        <v>3.4126958695164543E-2</v>
      </c>
      <c r="G22" s="159">
        <f t="shared" si="4"/>
        <v>3.6847913105567211E-2</v>
      </c>
      <c r="H22" s="159">
        <f t="shared" si="4"/>
        <v>4.7144341427907042E-2</v>
      </c>
      <c r="I22" s="294"/>
    </row>
    <row r="23" spans="2:12" ht="15.75" thickBot="1">
      <c r="B23" s="62" t="s">
        <v>184</v>
      </c>
      <c r="C23" s="332">
        <f t="shared" si="4"/>
        <v>0</v>
      </c>
      <c r="D23" s="332">
        <f t="shared" si="4"/>
        <v>0.21072130880351664</v>
      </c>
      <c r="E23" s="332">
        <f t="shared" si="4"/>
        <v>0.15</v>
      </c>
      <c r="F23" s="332">
        <f t="shared" si="4"/>
        <v>1.44198417021822E-3</v>
      </c>
      <c r="G23" s="332">
        <f t="shared" si="4"/>
        <v>1.6227794967219854E-3</v>
      </c>
      <c r="H23" s="332">
        <f t="shared" si="4"/>
        <v>0</v>
      </c>
      <c r="I23" s="294"/>
    </row>
    <row r="24" spans="2:12">
      <c r="B24" s="24" t="s">
        <v>926</v>
      </c>
      <c r="C24" s="27">
        <f>SUM(C18:C23)</f>
        <v>1</v>
      </c>
      <c r="D24" s="27">
        <f t="shared" ref="D24:H24" si="5">SUM(D18:D23)</f>
        <v>1</v>
      </c>
      <c r="E24" s="27">
        <f t="shared" si="5"/>
        <v>1</v>
      </c>
      <c r="F24" s="27">
        <f t="shared" si="5"/>
        <v>1</v>
      </c>
      <c r="G24" s="27">
        <f t="shared" si="5"/>
        <v>1</v>
      </c>
      <c r="H24" s="27">
        <f t="shared" si="5"/>
        <v>0.99999999999999989</v>
      </c>
      <c r="L24" s="121"/>
    </row>
    <row r="27" spans="2:12" ht="15.75" thickBot="1">
      <c r="B27" s="324" t="s">
        <v>937</v>
      </c>
      <c r="C27" s="324" t="s">
        <v>136</v>
      </c>
      <c r="D27" s="324" t="s">
        <v>137</v>
      </c>
      <c r="E27" s="324" t="s">
        <v>138</v>
      </c>
      <c r="F27" s="324" t="s">
        <v>550</v>
      </c>
      <c r="G27" s="324" t="s">
        <v>276</v>
      </c>
      <c r="H27" s="324" t="s">
        <v>184</v>
      </c>
    </row>
    <row r="28" spans="2:12">
      <c r="B28" s="31" t="s">
        <v>891</v>
      </c>
      <c r="C28" s="159">
        <f>C7/$I$7</f>
        <v>0</v>
      </c>
      <c r="D28" s="159">
        <f>C8/$I$8</f>
        <v>0</v>
      </c>
      <c r="E28" s="159">
        <f>C9/$I$9</f>
        <v>0</v>
      </c>
      <c r="F28" s="159">
        <f>C10/$I$10</f>
        <v>0.14782444279487281</v>
      </c>
      <c r="G28" s="159">
        <f>C11/$I$11</f>
        <v>0</v>
      </c>
      <c r="H28" s="159">
        <f>C12/$I$12</f>
        <v>0</v>
      </c>
    </row>
    <row r="29" spans="2:12">
      <c r="B29" s="31" t="s">
        <v>890</v>
      </c>
      <c r="C29" s="159">
        <f>D7/$I$7</f>
        <v>0.34748285477565843</v>
      </c>
      <c r="D29" s="159">
        <f>D8/$I$8</f>
        <v>0.39251300845639392</v>
      </c>
      <c r="E29" s="159">
        <f>D9/$I$9</f>
        <v>0.43374072412246251</v>
      </c>
      <c r="F29" s="159">
        <f>D10/$I$10</f>
        <v>0.5907620265236434</v>
      </c>
      <c r="G29" s="159">
        <f>D11/$I$11</f>
        <v>0</v>
      </c>
      <c r="H29" s="159">
        <f>D12/$I$12</f>
        <v>0.84220038889964</v>
      </c>
    </row>
    <row r="30" spans="2:12">
      <c r="B30" s="31" t="s">
        <v>888</v>
      </c>
      <c r="C30" s="159">
        <f>E7/$I$7</f>
        <v>0.32638397036509903</v>
      </c>
      <c r="D30" s="159">
        <f>E8/$I$8</f>
        <v>0.12035733198878527</v>
      </c>
      <c r="E30" s="159">
        <f>E9/$I$9</f>
        <v>9.9685359663373926E-2</v>
      </c>
      <c r="F30" s="159">
        <f>E10/$I$10</f>
        <v>0.10311482644776322</v>
      </c>
      <c r="G30" s="159">
        <f>E11/$I$11</f>
        <v>0.61968495659438849</v>
      </c>
      <c r="H30" s="159">
        <f>E12/$I$12</f>
        <v>0.15554918880856941</v>
      </c>
    </row>
    <row r="31" spans="2:12">
      <c r="B31" s="31" t="s">
        <v>887</v>
      </c>
      <c r="C31" s="159">
        <f>F7/$I$7</f>
        <v>9.5681015121911461E-2</v>
      </c>
      <c r="D31" s="159">
        <f>F8/$I$8</f>
        <v>0.35931678487485269</v>
      </c>
      <c r="E31" s="159">
        <f>F9/$I$9</f>
        <v>0.34351298036221806</v>
      </c>
      <c r="F31" s="159">
        <f>F10/$I$10</f>
        <v>9.4420480259430409E-2</v>
      </c>
      <c r="G31" s="159">
        <f>F11/$I$11</f>
        <v>0.22915433290729989</v>
      </c>
      <c r="H31" s="159">
        <f>F12/$I$12</f>
        <v>1.8003378334325161E-3</v>
      </c>
    </row>
    <row r="32" spans="2:12">
      <c r="B32" s="31" t="s">
        <v>886</v>
      </c>
      <c r="C32" s="159">
        <f>G7/$I$7</f>
        <v>2.2098914660136915E-2</v>
      </c>
      <c r="D32" s="159">
        <f>G8/$I$8</f>
        <v>8.8888904562550788E-2</v>
      </c>
      <c r="E32" s="159">
        <f>G9/$I$9</f>
        <v>8.5241366403816313E-2</v>
      </c>
      <c r="F32" s="159">
        <f>G10/$I$10</f>
        <v>1.4172022978710376E-2</v>
      </c>
      <c r="G32" s="159">
        <f>G11/$I$11</f>
        <v>5.4964764639596021E-2</v>
      </c>
      <c r="H32" s="159">
        <f>G12/$I$12</f>
        <v>4.5008445835812913E-4</v>
      </c>
    </row>
    <row r="33" spans="2:8" ht="15.75" thickBot="1">
      <c r="B33" s="229" t="s">
        <v>144</v>
      </c>
      <c r="C33" s="332">
        <f>H7/$I$7</f>
        <v>0.20835324507719419</v>
      </c>
      <c r="D33" s="332">
        <f>H8/$I$8</f>
        <v>3.8923970117417273E-2</v>
      </c>
      <c r="E33" s="332">
        <f>H9/$I$9</f>
        <v>3.7819569448129156E-2</v>
      </c>
      <c r="F33" s="332">
        <f>H10/$I$10</f>
        <v>4.9706200995579944E-2</v>
      </c>
      <c r="G33" s="332">
        <f>H11/$I$11</f>
        <v>9.6195945858715506E-2</v>
      </c>
      <c r="H33" s="332">
        <f>H12/$I$12</f>
        <v>0</v>
      </c>
    </row>
    <row r="34" spans="2:8">
      <c r="B34" s="12" t="s">
        <v>926</v>
      </c>
      <c r="C34" s="159">
        <f>SUM(C28:C33)</f>
        <v>1</v>
      </c>
      <c r="D34" s="159">
        <f t="shared" ref="D34" si="6">SUM(D28:D33)</f>
        <v>1</v>
      </c>
      <c r="E34" s="159">
        <f>SUM(E28:E33)</f>
        <v>1</v>
      </c>
      <c r="F34" s="159">
        <f>SUM(F28:F33)</f>
        <v>1.0000000000000002</v>
      </c>
      <c r="G34" s="159">
        <f>SUM(G28:G33)</f>
        <v>0.99999999999999989</v>
      </c>
      <c r="H34" s="159">
        <f>SUM(H28:H33)</f>
        <v>1</v>
      </c>
    </row>
    <row r="39" spans="2:8">
      <c r="B39" s="12" t="s">
        <v>932</v>
      </c>
      <c r="E39" s="12" t="s">
        <v>933</v>
      </c>
    </row>
    <row r="41" spans="2:8" ht="15.75" thickBot="1">
      <c r="B41" s="324" t="s">
        <v>929</v>
      </c>
      <c r="C41" s="324" t="s">
        <v>931</v>
      </c>
      <c r="E41" s="324" t="s">
        <v>802</v>
      </c>
      <c r="F41" s="324" t="s">
        <v>931</v>
      </c>
    </row>
    <row r="42" spans="2:8">
      <c r="B42" s="12" t="s">
        <v>136</v>
      </c>
      <c r="C42" s="159">
        <f t="shared" ref="C42:C47" si="7">I7/$I$13</f>
        <v>6.6478099011068881E-2</v>
      </c>
      <c r="E42" s="31" t="s">
        <v>891</v>
      </c>
      <c r="F42" s="159">
        <f>C13/$I$13</f>
        <v>6.6653931022570861E-2</v>
      </c>
    </row>
    <row r="43" spans="2:8">
      <c r="B43" s="12" t="s">
        <v>137</v>
      </c>
      <c r="C43" s="159">
        <f t="shared" si="7"/>
        <v>0.1287676664801215</v>
      </c>
      <c r="E43" s="31" t="s">
        <v>890</v>
      </c>
      <c r="F43" s="159">
        <f>D13/$I$13</f>
        <v>0.53759148094393017</v>
      </c>
    </row>
    <row r="44" spans="2:8">
      <c r="B44" s="12" t="s">
        <v>138</v>
      </c>
      <c r="C44" s="159">
        <f t="shared" si="7"/>
        <v>0.19433812593324368</v>
      </c>
      <c r="E44" s="31" t="s">
        <v>888</v>
      </c>
      <c r="F44" s="159">
        <f>E13/$I$13</f>
        <v>0.13948319505572243</v>
      </c>
    </row>
    <row r="45" spans="2:8">
      <c r="B45" s="12" t="s">
        <v>550</v>
      </c>
      <c r="C45" s="159">
        <f t="shared" si="7"/>
        <v>0.45089925429357147</v>
      </c>
      <c r="E45" s="31" t="s">
        <v>887</v>
      </c>
      <c r="F45" s="159">
        <f>F13/$I$13</f>
        <v>0.16793410756573804</v>
      </c>
    </row>
    <row r="46" spans="2:8">
      <c r="B46" s="12" t="s">
        <v>276</v>
      </c>
      <c r="C46" s="159">
        <f t="shared" si="7"/>
        <v>2.5009696651573519E-2</v>
      </c>
      <c r="E46" s="31" t="s">
        <v>886</v>
      </c>
      <c r="F46" s="159">
        <f>G13/$I$13</f>
        <v>3.7306104316494934E-2</v>
      </c>
    </row>
    <row r="47" spans="2:8" ht="15.75" thickBot="1">
      <c r="B47" s="62" t="s">
        <v>184</v>
      </c>
      <c r="C47" s="332">
        <f t="shared" si="7"/>
        <v>0.13450715763042101</v>
      </c>
      <c r="E47" s="229" t="s">
        <v>144</v>
      </c>
      <c r="F47" s="332">
        <f>H13/$I$13</f>
        <v>5.1031181095543644E-2</v>
      </c>
    </row>
    <row r="48" spans="2:8">
      <c r="B48" s="24" t="s">
        <v>926</v>
      </c>
      <c r="C48" s="159">
        <f>SUM(C42:C47)</f>
        <v>1</v>
      </c>
      <c r="E48" s="24" t="s">
        <v>926</v>
      </c>
      <c r="F48" s="159">
        <f>SUM(F42:F47)</f>
        <v>1.0000000000000002</v>
      </c>
    </row>
    <row r="51" spans="2:14">
      <c r="B51" s="12" t="s">
        <v>934</v>
      </c>
      <c r="M51" s="121"/>
      <c r="N51" s="121"/>
    </row>
    <row r="52" spans="2:14">
      <c r="M52" s="121"/>
      <c r="N52" s="121"/>
    </row>
    <row r="53" spans="2:14" ht="15.75" thickBot="1">
      <c r="B53" s="324" t="s">
        <v>145</v>
      </c>
      <c r="C53" s="324" t="s">
        <v>925</v>
      </c>
      <c r="D53" s="324" t="s">
        <v>935</v>
      </c>
    </row>
    <row r="54" spans="2:14">
      <c r="B54" s="12" t="s">
        <v>90</v>
      </c>
      <c r="C54" s="88">
        <f>I13</f>
        <v>86720.124206846158</v>
      </c>
      <c r="D54" s="159">
        <f>$I$13/($I$13+$C$67)</f>
        <v>0.86284183044316798</v>
      </c>
    </row>
    <row r="55" spans="2:14" ht="15.75" thickBot="1">
      <c r="B55" s="62" t="s">
        <v>135</v>
      </c>
      <c r="C55" s="326">
        <f>C67</f>
        <v>13785.114583333332</v>
      </c>
      <c r="D55" s="332">
        <f>$C$67/($I$13+$C$67)</f>
        <v>0.13715816955683205</v>
      </c>
    </row>
    <row r="56" spans="2:14">
      <c r="B56" s="12" t="s">
        <v>926</v>
      </c>
      <c r="C56" s="88">
        <f>SUM(C54:C55)</f>
        <v>100505.23879017949</v>
      </c>
      <c r="D56" s="159">
        <f>SUM(D54:D55)</f>
        <v>1</v>
      </c>
    </row>
    <row r="59" spans="2:14" ht="15.75" thickBot="1">
      <c r="B59" s="324" t="s">
        <v>142</v>
      </c>
      <c r="C59" s="331"/>
      <c r="D59" s="62"/>
    </row>
    <row r="60" spans="2:14">
      <c r="B60" s="12" t="s">
        <v>139</v>
      </c>
      <c r="C60" s="328">
        <f>'5.1-Financial Analysis'!D86</f>
        <v>4703.9999999999991</v>
      </c>
      <c r="D60" s="159">
        <f t="shared" ref="D60:D66" si="8">C60/$C$67</f>
        <v>0.34123764235426041</v>
      </c>
    </row>
    <row r="61" spans="2:14">
      <c r="B61" s="12" t="s">
        <v>650</v>
      </c>
      <c r="C61" s="328">
        <f>'5.1-Financial Analysis'!D87</f>
        <v>6530.2183333333332</v>
      </c>
      <c r="D61" s="159">
        <f t="shared" si="8"/>
        <v>0.47371520155723529</v>
      </c>
    </row>
    <row r="62" spans="2:14">
      <c r="B62" s="26" t="s">
        <v>651</v>
      </c>
      <c r="C62" s="281">
        <f>'5.1-Financial Analysis'!D88</f>
        <v>0</v>
      </c>
      <c r="D62" s="159">
        <f t="shared" si="8"/>
        <v>0</v>
      </c>
      <c r="F62" s="24"/>
      <c r="G62" s="121"/>
      <c r="H62" s="121"/>
    </row>
    <row r="63" spans="2:14">
      <c r="B63" s="26" t="s">
        <v>140</v>
      </c>
      <c r="C63" s="281">
        <f>'5.1-Financial Analysis'!D89</f>
        <v>2550.8962499999998</v>
      </c>
      <c r="D63" s="159">
        <f t="shared" si="8"/>
        <v>0.18504715608850428</v>
      </c>
    </row>
    <row r="64" spans="2:14">
      <c r="B64" s="12" t="s">
        <v>141</v>
      </c>
      <c r="C64" s="328">
        <f>'5.1-Financial Analysis'!D90</f>
        <v>0</v>
      </c>
      <c r="D64" s="159">
        <f t="shared" si="8"/>
        <v>0</v>
      </c>
    </row>
    <row r="65" spans="2:4">
      <c r="B65" s="12" t="s">
        <v>143</v>
      </c>
      <c r="C65" s="328">
        <f>'5.1-Financial Analysis'!D91</f>
        <v>0</v>
      </c>
      <c r="D65" s="159">
        <f t="shared" si="8"/>
        <v>0</v>
      </c>
    </row>
    <row r="66" spans="2:4" ht="15.75" thickBot="1">
      <c r="B66" s="62" t="s">
        <v>160</v>
      </c>
      <c r="C66" s="329">
        <f>'5.1-Financial Analysis'!D92</f>
        <v>0</v>
      </c>
      <c r="D66" s="332">
        <f t="shared" si="8"/>
        <v>0</v>
      </c>
    </row>
    <row r="67" spans="2:4">
      <c r="B67" s="12" t="s">
        <v>926</v>
      </c>
      <c r="C67" s="328">
        <f>SUM(C60:C66)</f>
        <v>13785.114583333332</v>
      </c>
      <c r="D67" s="159">
        <f>SUM(D60:D66)</f>
        <v>1</v>
      </c>
    </row>
    <row r="70" spans="2:4" ht="15.75" thickBot="1">
      <c r="B70" s="324" t="s">
        <v>144</v>
      </c>
      <c r="C70" s="324" t="s">
        <v>925</v>
      </c>
      <c r="D70" s="326"/>
    </row>
    <row r="71" spans="2:4">
      <c r="B71" s="273" t="s">
        <v>102</v>
      </c>
      <c r="C71" s="121">
        <f>'5.1-Financial Analysis'!D78</f>
        <v>521.94999999999993</v>
      </c>
      <c r="D71" s="24">
        <f>C71/$C$74</f>
        <v>0.11794333142391021</v>
      </c>
    </row>
    <row r="72" spans="2:4">
      <c r="B72" s="273" t="s">
        <v>101</v>
      </c>
      <c r="C72" s="121">
        <f>'5.1-Financial Analysis'!D79</f>
        <v>3136.9803630276037</v>
      </c>
      <c r="D72" s="24">
        <f>C72/$C$74</f>
        <v>0.70885317487664123</v>
      </c>
    </row>
    <row r="73" spans="2:4" ht="15.75" thickBot="1">
      <c r="B73" s="356" t="s">
        <v>103</v>
      </c>
      <c r="C73" s="326">
        <f>'5.1-Financial Analysis'!D80</f>
        <v>766.49999999999989</v>
      </c>
      <c r="D73" s="62">
        <f>C73/$C$74</f>
        <v>0.17320349369944857</v>
      </c>
    </row>
    <row r="74" spans="2:4">
      <c r="B74" s="24" t="s">
        <v>926</v>
      </c>
      <c r="C74" s="121">
        <f>SUM(C71:C73)</f>
        <v>4425.4303630276036</v>
      </c>
      <c r="D74" s="27">
        <f>SUM(D71:D73)</f>
        <v>1</v>
      </c>
    </row>
  </sheetData>
  <sheetProtection algorithmName="SHA-512" hashValue="tqUjT11gZmMFpYaLK/0vqdWZR5hQXpkxfmLbY40CN2qT38ZnduXhRgnStnc6gnx/UQSK2OqHY8Z1l09qRLiU+A==" saltValue="ltvpDl/kzrHY54bvwtTmJA==" spinCount="100000" sheet="1" objects="1" scenarios="1"/>
  <conditionalFormatting sqref="D7:D12">
    <cfRule type="expression" dxfId="777" priority="58">
      <formula>IF(INDIRECT("General_Currency_Selection")="CHF",TRUE)</formula>
    </cfRule>
    <cfRule type="expression" dxfId="776" priority="59">
      <formula>IF(INDIRECT("General_Currency_Selection")="EUR",TRUE)</formula>
    </cfRule>
    <cfRule type="expression" dxfId="775" priority="60">
      <formula>IF(INDIRECT("General_Currency_Selection")="USD",TRUE)</formula>
    </cfRule>
  </conditionalFormatting>
  <conditionalFormatting sqref="C7:C12">
    <cfRule type="expression" dxfId="774" priority="61">
      <formula>IF(INDIRECT("General_Currency_Selection")="CHF",TRUE)</formula>
    </cfRule>
    <cfRule type="expression" dxfId="773" priority="62">
      <formula>IF(INDIRECT("General_Currency_Selection")="EUR",TRUE)</formula>
    </cfRule>
    <cfRule type="expression" dxfId="772" priority="63">
      <formula>IF(INDIRECT("General_Currency_Selection")="USD",TRUE)</formula>
    </cfRule>
  </conditionalFormatting>
  <conditionalFormatting sqref="F7:F12">
    <cfRule type="expression" dxfId="771" priority="52">
      <formula>IF(INDIRECT("General_Currency_Selection")="CHF",TRUE)</formula>
    </cfRule>
    <cfRule type="expression" dxfId="770" priority="53">
      <formula>IF(INDIRECT("General_Currency_Selection")="EUR",TRUE)</formula>
    </cfRule>
    <cfRule type="expression" dxfId="769" priority="54">
      <formula>IF(INDIRECT("General_Currency_Selection")="USD",TRUE)</formula>
    </cfRule>
  </conditionalFormatting>
  <conditionalFormatting sqref="E7:E12">
    <cfRule type="expression" dxfId="768" priority="55">
      <formula>IF(INDIRECT("General_Currency_Selection")="CHF",TRUE)</formula>
    </cfRule>
    <cfRule type="expression" dxfId="767" priority="56">
      <formula>IF(INDIRECT("General_Currency_Selection")="EUR",TRUE)</formula>
    </cfRule>
    <cfRule type="expression" dxfId="766" priority="57">
      <formula>IF(INDIRECT("General_Currency_Selection")="USD",TRUE)</formula>
    </cfRule>
  </conditionalFormatting>
  <conditionalFormatting sqref="G7:G12">
    <cfRule type="expression" dxfId="765" priority="49">
      <formula>IF(INDIRECT("General_Currency_Selection")="CHF",TRUE)</formula>
    </cfRule>
    <cfRule type="expression" dxfId="764" priority="50">
      <formula>IF(INDIRECT("General_Currency_Selection")="EUR",TRUE)</formula>
    </cfRule>
    <cfRule type="expression" dxfId="763" priority="51">
      <formula>IF(INDIRECT("General_Currency_Selection")="USD",TRUE)</formula>
    </cfRule>
  </conditionalFormatting>
  <conditionalFormatting sqref="C71:C73">
    <cfRule type="expression" dxfId="762" priority="46">
      <formula>IF(INDIRECT("General_Currency_Selection")="CHF",TRUE)</formula>
    </cfRule>
    <cfRule type="expression" dxfId="761" priority="47">
      <formula>IF(INDIRECT("General_Currency_Selection")="EUR",TRUE)</formula>
    </cfRule>
    <cfRule type="expression" dxfId="760" priority="48">
      <formula>IF(INDIRECT("General_Currency_Selection")="USD",TRUE)</formula>
    </cfRule>
  </conditionalFormatting>
  <conditionalFormatting sqref="C60:C66">
    <cfRule type="expression" dxfId="759" priority="43">
      <formula>IF(INDIRECT("General_Currency_Selection")="CHF",TRUE)</formula>
    </cfRule>
    <cfRule type="expression" dxfId="758" priority="44">
      <formula>IF(INDIRECT("General_Currency_Selection")="EUR",TRUE)</formula>
    </cfRule>
    <cfRule type="expression" dxfId="757" priority="45">
      <formula>IF(INDIRECT("General_Currency_Selection")="USD",TRUE)</formula>
    </cfRule>
  </conditionalFormatting>
  <conditionalFormatting sqref="G62:H62 C67">
    <cfRule type="expression" dxfId="756" priority="37">
      <formula>IF(INDIRECT("General_Currency_Selection")="CHF",TRUE)</formula>
    </cfRule>
    <cfRule type="expression" dxfId="755" priority="38">
      <formula>IF(INDIRECT("General_Currency_Selection")="EUR",TRUE)</formula>
    </cfRule>
    <cfRule type="expression" dxfId="754" priority="39">
      <formula>IF(INDIRECT("General_Currency_Selection")="USD",TRUE)</formula>
    </cfRule>
  </conditionalFormatting>
  <conditionalFormatting sqref="H7:H12">
    <cfRule type="expression" dxfId="753" priority="31">
      <formula>IF(INDIRECT("General_Currency_Selection")="CHF",TRUE)</formula>
    </cfRule>
    <cfRule type="expression" dxfId="752" priority="32">
      <formula>IF(INDIRECT("General_Currency_Selection")="EUR",TRUE)</formula>
    </cfRule>
    <cfRule type="expression" dxfId="751" priority="33">
      <formula>IF(INDIRECT("General_Currency_Selection")="USD",TRUE)</formula>
    </cfRule>
  </conditionalFormatting>
  <conditionalFormatting sqref="I7:I12">
    <cfRule type="expression" dxfId="750" priority="22">
      <formula>IF(INDIRECT("General_Currency_Selection")="CHF",TRUE)</formula>
    </cfRule>
    <cfRule type="expression" dxfId="749" priority="23">
      <formula>IF(INDIRECT("General_Currency_Selection")="EUR",TRUE)</formula>
    </cfRule>
    <cfRule type="expression" dxfId="748" priority="24">
      <formula>IF(INDIRECT("General_Currency_Selection")="USD",TRUE)</formula>
    </cfRule>
  </conditionalFormatting>
  <conditionalFormatting sqref="J10">
    <cfRule type="expression" dxfId="747" priority="19">
      <formula>IF(INDIRECT("General_Currency_Selection")="CHF",TRUE)</formula>
    </cfRule>
    <cfRule type="expression" dxfId="746" priority="20">
      <formula>IF(INDIRECT("General_Currency_Selection")="EUR",TRUE)</formula>
    </cfRule>
    <cfRule type="expression" dxfId="745" priority="21">
      <formula>IF(INDIRECT("General_Currency_Selection")="USD",TRUE)</formula>
    </cfRule>
  </conditionalFormatting>
  <conditionalFormatting sqref="J9">
    <cfRule type="expression" dxfId="744" priority="16">
      <formula>IF(INDIRECT("General_Currency_Selection")="CHF",TRUE)</formula>
    </cfRule>
    <cfRule type="expression" dxfId="743" priority="17">
      <formula>IF(INDIRECT("General_Currency_Selection")="EUR",TRUE)</formula>
    </cfRule>
    <cfRule type="expression" dxfId="742" priority="18">
      <formula>IF(INDIRECT("General_Currency_Selection")="USD",TRUE)</formula>
    </cfRule>
  </conditionalFormatting>
  <conditionalFormatting sqref="M51:N52 D70">
    <cfRule type="expression" dxfId="741" priority="13">
      <formula>IF(INDIRECT("General_Currency_Selection")="CHF",TRUE)</formula>
    </cfRule>
    <cfRule type="expression" dxfId="740" priority="14">
      <formula>IF(INDIRECT("General_Currency_Selection")="EUR",TRUE)</formula>
    </cfRule>
    <cfRule type="expression" dxfId="739" priority="15">
      <formula>IF(INDIRECT("General_Currency_Selection")="USD",TRUE)</formula>
    </cfRule>
  </conditionalFormatting>
  <conditionalFormatting sqref="C74">
    <cfRule type="expression" dxfId="738" priority="1">
      <formula>IF(INDIRECT("General_Currency_Selection")="CHF",TRUE)</formula>
    </cfRule>
    <cfRule type="expression" dxfId="737" priority="2">
      <formula>IF(INDIRECT("General_Currency_Selection")="EUR",TRUE)</formula>
    </cfRule>
    <cfRule type="expression" dxfId="736" priority="3">
      <formula>IF(INDIRECT("General_Currency_Selection")="USD",TRUE)</formula>
    </cfRule>
  </conditionalFormatting>
  <conditionalFormatting sqref="L24">
    <cfRule type="expression" dxfId="735" priority="4">
      <formula>IF(INDIRECT("General_Currency_Selection")="CHF",TRUE)</formula>
    </cfRule>
    <cfRule type="expression" dxfId="734" priority="5">
      <formula>IF(INDIRECT("General_Currency_Selection")="EUR",TRUE)</formula>
    </cfRule>
    <cfRule type="expression" dxfId="733" priority="6">
      <formula>IF(INDIRECT("General_Currency_Selection")="USD",TRUE)</formula>
    </cfRule>
  </conditionalFormatting>
  <pageMargins left="0.7" right="0.7" top="0.75" bottom="0.75" header="0.3" footer="0.3"/>
  <pageSetup paperSize="9" orientation="portrait" horizontalDpi="4294967293"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79998168889431442"/>
  </sheetPr>
  <dimension ref="B1:W189"/>
  <sheetViews>
    <sheetView zoomScale="70" zoomScaleNormal="70" workbookViewId="0">
      <selection activeCell="E11" sqref="E10:E11"/>
    </sheetView>
  </sheetViews>
  <sheetFormatPr defaultColWidth="11.140625" defaultRowHeight="15"/>
  <cols>
    <col min="1" max="1" width="0.85546875" style="12" customWidth="1"/>
    <col min="2" max="2" width="17.85546875" style="12" customWidth="1"/>
    <col min="3" max="3" width="18.42578125" style="12" customWidth="1"/>
    <col min="4" max="4" width="20.42578125" style="12" bestFit="1" customWidth="1"/>
    <col min="5" max="5" width="17.85546875" style="12" customWidth="1"/>
    <col min="6" max="6" width="23.85546875" style="12" customWidth="1"/>
    <col min="7" max="7" width="19.7109375" style="12" bestFit="1" customWidth="1"/>
    <col min="8" max="23" width="19.5703125" style="12" customWidth="1"/>
    <col min="24" max="16384" width="11.140625" style="12"/>
  </cols>
  <sheetData>
    <row r="1" spans="2:16" ht="21">
      <c r="B1" s="1" t="s">
        <v>97</v>
      </c>
      <c r="C1" s="6"/>
    </row>
    <row r="2" spans="2:16" ht="15.75" thickBot="1"/>
    <row r="3" spans="2:16" ht="18.75">
      <c r="B3" s="2" t="s">
        <v>0</v>
      </c>
      <c r="C3" s="110"/>
      <c r="D3" s="61"/>
      <c r="E3" s="61"/>
      <c r="F3" s="61"/>
      <c r="G3" s="61"/>
      <c r="H3" s="61"/>
      <c r="I3" s="61"/>
      <c r="J3" s="61"/>
      <c r="K3" s="61"/>
      <c r="L3" s="61"/>
      <c r="M3" s="61"/>
      <c r="N3" s="61"/>
      <c r="O3" s="61"/>
      <c r="P3" s="61"/>
    </row>
    <row r="4" spans="2:16" ht="15.75">
      <c r="B4" s="67"/>
    </row>
    <row r="12" spans="2:16" ht="15.75">
      <c r="B12" s="105" t="s">
        <v>70</v>
      </c>
      <c r="C12" s="105" t="s">
        <v>71</v>
      </c>
      <c r="E12" s="67" t="s">
        <v>74</v>
      </c>
    </row>
    <row r="13" spans="2:16">
      <c r="B13" s="124" t="s">
        <v>259</v>
      </c>
      <c r="C13" s="125">
        <f>General_Waste_toTreatment</f>
        <v>1699.075</v>
      </c>
    </row>
    <row r="14" spans="2:16" ht="15.75" thickBot="1">
      <c r="G14" s="62"/>
    </row>
    <row r="15" spans="2:16" ht="30.75">
      <c r="B15" s="2" t="s">
        <v>73</v>
      </c>
      <c r="C15" s="110"/>
      <c r="D15" s="61"/>
      <c r="E15" s="61"/>
      <c r="F15" s="108" t="s">
        <v>128</v>
      </c>
      <c r="G15" s="422">
        <f>E33*C13*1000</f>
        <v>0</v>
      </c>
      <c r="H15" s="61"/>
      <c r="I15" s="61"/>
      <c r="J15" s="61"/>
      <c r="K15" s="61"/>
      <c r="L15" s="61"/>
      <c r="M15" s="61"/>
      <c r="N15" s="61"/>
      <c r="O15" s="61"/>
      <c r="P15" s="61"/>
    </row>
    <row r="16" spans="2:16" ht="15.75">
      <c r="B16" s="67" t="s">
        <v>441</v>
      </c>
      <c r="I16" s="24"/>
      <c r="J16" s="24"/>
      <c r="K16" s="24"/>
      <c r="L16" s="24"/>
      <c r="M16" s="24"/>
    </row>
    <row r="17" spans="2:13">
      <c r="B17" s="105" t="s">
        <v>78</v>
      </c>
      <c r="C17" s="86" t="s">
        <v>64</v>
      </c>
      <c r="I17" s="24"/>
      <c r="J17" s="24"/>
      <c r="K17" s="24"/>
      <c r="L17" s="24"/>
      <c r="M17" s="24"/>
    </row>
    <row r="18" spans="2:13">
      <c r="I18" s="24"/>
      <c r="J18" s="138"/>
      <c r="K18" s="96"/>
      <c r="L18" s="121"/>
      <c r="M18" s="24"/>
    </row>
    <row r="19" spans="2:13">
      <c r="B19" s="115" t="s">
        <v>416</v>
      </c>
      <c r="C19" s="115" t="s">
        <v>417</v>
      </c>
      <c r="D19" s="105" t="s">
        <v>915</v>
      </c>
      <c r="E19" s="105" t="s">
        <v>109</v>
      </c>
      <c r="F19" s="105" t="s">
        <v>649</v>
      </c>
      <c r="I19" s="24"/>
      <c r="J19" s="122"/>
      <c r="K19" s="121"/>
      <c r="L19" s="121"/>
      <c r="M19" s="24"/>
    </row>
    <row r="20" spans="2:13">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93" t="str">
        <f t="shared" ref="E20:E31" si="2">IF($B20="N/A","N/A",INDEX(Material_Unit_Price,MATCH($B20,Material_Code,0)))</f>
        <v>N/A</v>
      </c>
      <c r="F20" s="277" t="str">
        <f>IFERROR(E20*D20,"")</f>
        <v/>
      </c>
      <c r="I20" s="24"/>
      <c r="J20" s="122"/>
      <c r="K20" s="121"/>
      <c r="L20" s="121"/>
      <c r="M20" s="24"/>
    </row>
    <row r="21" spans="2:13">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93" t="str">
        <f t="shared" si="2"/>
        <v>N/A</v>
      </c>
      <c r="F21" s="277" t="str">
        <f t="shared" ref="F21:F31" si="3">IFERROR(E21*D21,"")</f>
        <v/>
      </c>
      <c r="I21" s="24"/>
      <c r="J21" s="122"/>
      <c r="K21" s="121"/>
      <c r="L21" s="121"/>
      <c r="M21" s="24"/>
    </row>
    <row r="22" spans="2:13">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93" t="str">
        <f t="shared" si="2"/>
        <v>N/A</v>
      </c>
      <c r="F22" s="277" t="str">
        <f t="shared" si="3"/>
        <v/>
      </c>
      <c r="I22" s="24"/>
      <c r="J22" s="24"/>
      <c r="K22" s="24"/>
      <c r="L22" s="24"/>
      <c r="M22" s="24"/>
    </row>
    <row r="23" spans="2:13">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row>
    <row r="24" spans="2:13">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row>
    <row r="25" spans="2:13">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row>
    <row r="26" spans="2:13">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row>
    <row r="27" spans="2:13">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row>
    <row r="28" spans="2:13">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row>
    <row r="29" spans="2:13">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row>
    <row r="30" spans="2:13">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row>
    <row r="31" spans="2:13">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row>
    <row r="32" spans="2:13">
      <c r="B32" s="24"/>
      <c r="C32" s="122"/>
      <c r="D32" s="121"/>
      <c r="E32" s="121"/>
    </row>
    <row r="33" spans="2:16">
      <c r="B33" s="909" t="s">
        <v>260</v>
      </c>
      <c r="C33" s="909"/>
      <c r="D33" s="909"/>
      <c r="E33" s="209">
        <f>SUM(F20:F31)</f>
        <v>0</v>
      </c>
    </row>
    <row r="34" spans="2:16" ht="15.75" thickBot="1">
      <c r="G34" s="62"/>
    </row>
    <row r="35" spans="2:16" ht="18.75">
      <c r="B35" s="2" t="s">
        <v>144</v>
      </c>
      <c r="C35" s="110"/>
      <c r="D35" s="61"/>
      <c r="E35" s="61"/>
      <c r="F35" s="108" t="s">
        <v>187</v>
      </c>
      <c r="G35" s="422">
        <f>F43</f>
        <v>1201.1541666666667</v>
      </c>
      <c r="H35" s="61"/>
      <c r="I35" s="61"/>
      <c r="J35" s="61"/>
      <c r="K35" s="61"/>
      <c r="L35" s="61"/>
      <c r="M35" s="61"/>
      <c r="N35" s="61"/>
      <c r="O35" s="61"/>
      <c r="P35" s="61"/>
    </row>
    <row r="36" spans="2:16" ht="15.75">
      <c r="B36" s="67" t="s">
        <v>541</v>
      </c>
      <c r="C36" s="24"/>
      <c r="D36" s="24"/>
      <c r="E36" s="24"/>
    </row>
    <row r="37" spans="2:16">
      <c r="B37" s="32"/>
      <c r="C37" s="138"/>
      <c r="D37" s="24"/>
      <c r="E37" s="24"/>
      <c r="H37" s="24"/>
      <c r="I37" s="24"/>
      <c r="J37" s="24"/>
      <c r="K37" s="24"/>
      <c r="L37" s="24"/>
    </row>
    <row r="38" spans="2:16" ht="15.75">
      <c r="C38" s="97" t="s">
        <v>527</v>
      </c>
      <c r="D38" s="97" t="s">
        <v>78</v>
      </c>
      <c r="E38" s="97" t="s">
        <v>648</v>
      </c>
      <c r="F38" s="97" t="s">
        <v>647</v>
      </c>
      <c r="H38" s="24"/>
      <c r="I38" s="79"/>
      <c r="J38" s="96"/>
      <c r="K38" s="121"/>
      <c r="L38" s="24"/>
    </row>
    <row r="39" spans="2:16">
      <c r="B39" s="105" t="str">
        <f>INDEX(Equipment_Utility_Spec_List,2)</f>
        <v>Water</v>
      </c>
      <c r="C39" s="141">
        <f>SUMPRODUCT($F$110:$F$147,$G$110:$G$147,$M$110:$M$147)</f>
        <v>0.85119047619047616</v>
      </c>
      <c r="D39" s="140" t="s">
        <v>528</v>
      </c>
      <c r="E39" s="277">
        <f>SUMIF($B$110:$B$147,("&lt;&gt;N/A"),$H$110:$H$147)</f>
        <v>0.35749999999999998</v>
      </c>
      <c r="F39" s="277">
        <f>E39*Staff_Days_Operation</f>
        <v>130.48749999999998</v>
      </c>
      <c r="H39" s="24"/>
      <c r="I39" s="79"/>
      <c r="J39" s="96"/>
      <c r="K39" s="121"/>
      <c r="L39" s="24"/>
    </row>
    <row r="40" spans="2:16">
      <c r="B40" s="105" t="str">
        <f>INDEX(Equipment_Utility_Spec_List,3)</f>
        <v>Electricity</v>
      </c>
      <c r="C40" s="141">
        <f>SUMPRODUCT($F$110:$F$147,$I$110:$I$147,$M$110:$M$147)</f>
        <v>3.9682539682539684</v>
      </c>
      <c r="D40" s="140" t="s">
        <v>530</v>
      </c>
      <c r="E40" s="277">
        <f>SUMIF($B$110:$B$147,("&lt;&gt;N/A"),$J$110:$J$147)</f>
        <v>0.83333333333333337</v>
      </c>
      <c r="F40" s="277">
        <f>E40*Staff_Days_Operation</f>
        <v>304.16666666666669</v>
      </c>
      <c r="H40" s="24"/>
      <c r="I40" s="122"/>
      <c r="J40" s="121"/>
      <c r="K40" s="121"/>
      <c r="L40" s="24"/>
    </row>
    <row r="41" spans="2:16">
      <c r="B41" s="105" t="str">
        <f>INDEX(Equipment_Utility_Spec_List,4)</f>
        <v>Fuel</v>
      </c>
      <c r="C41" s="141">
        <f>SUMPRODUCT($F$110:$F$147,$K$110:$K$147,$M$110:$M$147)</f>
        <v>6</v>
      </c>
      <c r="D41" s="140" t="s">
        <v>529</v>
      </c>
      <c r="E41" s="277">
        <f>SUMIF($B$110:$B$147,("&lt;&gt;N/A"),$L$110:$L$147)</f>
        <v>2.0999999999999996</v>
      </c>
      <c r="F41" s="277">
        <f>E41*Staff_Days_Operation</f>
        <v>766.49999999999989</v>
      </c>
      <c r="H41" s="24"/>
      <c r="I41" s="122"/>
      <c r="J41" s="121"/>
      <c r="K41" s="121"/>
      <c r="L41" s="24"/>
    </row>
    <row r="42" spans="2:16">
      <c r="B42" s="8"/>
      <c r="C42" s="122"/>
      <c r="D42" s="24"/>
      <c r="E42" s="139"/>
      <c r="H42" s="24"/>
      <c r="I42" s="122"/>
      <c r="J42" s="121"/>
      <c r="K42" s="121"/>
      <c r="L42" s="24"/>
    </row>
    <row r="43" spans="2:16">
      <c r="B43" s="908" t="s">
        <v>452</v>
      </c>
      <c r="C43" s="908"/>
      <c r="D43" s="908"/>
      <c r="E43" s="277">
        <f>SUM(E39:E41)</f>
        <v>3.2908333333333331</v>
      </c>
      <c r="F43" s="277">
        <f>SUM(F39:F41)</f>
        <v>1201.1541666666667</v>
      </c>
      <c r="G43" s="24"/>
      <c r="H43" s="24"/>
      <c r="I43" s="24"/>
      <c r="J43" s="24"/>
      <c r="K43" s="121"/>
      <c r="L43" s="24"/>
    </row>
    <row r="44" spans="2:16" ht="15.75" thickBot="1">
      <c r="F44" s="62"/>
      <c r="G44" s="62"/>
    </row>
    <row r="45" spans="2:16" ht="18.75">
      <c r="B45" s="111" t="s">
        <v>3</v>
      </c>
      <c r="C45" s="112"/>
      <c r="D45" s="85"/>
      <c r="E45" s="85"/>
      <c r="F45" s="148" t="s">
        <v>129</v>
      </c>
      <c r="G45" s="278">
        <f>SUM(G52:G74)</f>
        <v>2003.2348366082435</v>
      </c>
      <c r="H45" s="85"/>
      <c r="I45" s="85"/>
      <c r="J45" s="85"/>
      <c r="K45" s="85"/>
      <c r="L45" s="85"/>
      <c r="M45" s="85"/>
      <c r="N45" s="85"/>
      <c r="O45" s="85"/>
      <c r="P45" s="85"/>
    </row>
    <row r="46" spans="2:16" ht="15.75">
      <c r="B46" s="67" t="s">
        <v>80</v>
      </c>
    </row>
    <row r="47" spans="2:16" ht="15.75">
      <c r="B47" s="67" t="s">
        <v>81</v>
      </c>
    </row>
    <row r="48" spans="2:16">
      <c r="B48" s="105" t="s">
        <v>77</v>
      </c>
      <c r="C48" s="907" t="s">
        <v>68</v>
      </c>
      <c r="D48" s="907"/>
    </row>
    <row r="49" spans="2:9">
      <c r="B49" s="105" t="s">
        <v>78</v>
      </c>
      <c r="C49" s="907" t="s">
        <v>64</v>
      </c>
      <c r="D49" s="907"/>
      <c r="I49" s="89"/>
    </row>
    <row r="51" spans="2:9" ht="15.75">
      <c r="B51" s="97" t="s">
        <v>211</v>
      </c>
      <c r="C51" s="97" t="s">
        <v>5</v>
      </c>
      <c r="D51" s="97" t="s">
        <v>79</v>
      </c>
      <c r="E51" s="98" t="s">
        <v>233</v>
      </c>
      <c r="F51" s="97" t="s">
        <v>121</v>
      </c>
      <c r="G51" s="97" t="s">
        <v>122</v>
      </c>
    </row>
    <row r="52" spans="2:9">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7" t="str">
        <f>IF($B52="N/A","N/A",INDEX(Staff_position[],MATCH(B52,Staff_Position_ID,0)))</f>
        <v>General worker</v>
      </c>
      <c r="D52" s="277">
        <f>IF($B52="N/A","N/A",INDEX(Staff_net_salary[],MATCH(B52,Staff_Position_ID,0)))</f>
        <v>1680</v>
      </c>
      <c r="E52" s="91">
        <f t="shared" ref="E52:E74" si="4">IF($B52="N/A","N/A",INDEX(Staff_number_of_employees,MATCH(B52,Staff_Position_ID,0)))</f>
        <v>14</v>
      </c>
      <c r="F52" s="92">
        <f t="shared" ref="F52:F74" si="5">IFERROR(INDEX(Staff_Position_Allocation,MATCH(B52,Staff_Position_ID),MATCH($C$49,Unit_codes,0)),"")</f>
        <v>8.5171549175520556E-2</v>
      </c>
      <c r="G52" s="277">
        <f>IFERROR(D52*E52*F52,"")</f>
        <v>2003.2348366082435</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4"/>
        <v>N/A</v>
      </c>
      <c r="F53" s="92" t="str">
        <f t="shared" si="5"/>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si="5"/>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si="5"/>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4"/>
        <v>N/A</v>
      </c>
      <c r="F56" s="92" t="str">
        <f t="shared" si="5"/>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4"/>
        <v>N/A</v>
      </c>
      <c r="F57" s="92" t="str">
        <f t="shared" si="5"/>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4"/>
        <v>N/A</v>
      </c>
      <c r="F58" s="92" t="str">
        <f t="shared" si="5"/>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4"/>
        <v>N/A</v>
      </c>
      <c r="F59" s="92" t="str">
        <f t="shared" si="5"/>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4"/>
        <v>N/A</v>
      </c>
      <c r="F60" s="92" t="str">
        <f t="shared" si="5"/>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4"/>
        <v>N/A</v>
      </c>
      <c r="F61" s="92" t="str">
        <f t="shared" si="5"/>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4"/>
        <v>N/A</v>
      </c>
      <c r="F62" s="92" t="str">
        <f t="shared" si="5"/>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4"/>
        <v>N/A</v>
      </c>
      <c r="F63" s="92" t="str">
        <f t="shared" si="5"/>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4"/>
        <v>N/A</v>
      </c>
      <c r="F64" s="92" t="str">
        <f t="shared" si="5"/>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4"/>
        <v>N/A</v>
      </c>
      <c r="F65" s="92" t="str">
        <f t="shared" si="5"/>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4"/>
        <v>N/A</v>
      </c>
      <c r="F66" s="92" t="str">
        <f t="shared" si="5"/>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4"/>
        <v>N/A</v>
      </c>
      <c r="F67" s="92" t="str">
        <f t="shared" si="5"/>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4"/>
        <v>N/A</v>
      </c>
      <c r="F68" s="92" t="str">
        <f t="shared" si="5"/>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4"/>
        <v>N/A</v>
      </c>
      <c r="F69" s="92" t="str">
        <f t="shared" si="5"/>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4"/>
        <v>N/A</v>
      </c>
      <c r="F70" s="92" t="str">
        <f t="shared" si="5"/>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4"/>
        <v>N/A</v>
      </c>
      <c r="F71" s="92" t="str">
        <f t="shared" si="5"/>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4"/>
        <v>N/A</v>
      </c>
      <c r="F72" s="92" t="str">
        <f t="shared" si="5"/>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4"/>
        <v>N/A</v>
      </c>
      <c r="F73" s="92" t="str">
        <f t="shared" si="5"/>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4"/>
        <v>N/A</v>
      </c>
      <c r="F74" s="92" t="str">
        <f t="shared" si="5"/>
        <v/>
      </c>
      <c r="G74" s="277" t="str">
        <f t="shared" si="6"/>
        <v/>
      </c>
    </row>
    <row r="75" spans="2:16" ht="15.75" thickBot="1">
      <c r="F75" s="62"/>
      <c r="G75" s="62"/>
    </row>
    <row r="76" spans="2:16" ht="30.75">
      <c r="B76" s="111" t="s">
        <v>83</v>
      </c>
      <c r="C76" s="112"/>
      <c r="D76" s="85"/>
      <c r="E76" s="85"/>
      <c r="F76" s="148" t="s">
        <v>123</v>
      </c>
      <c r="G76" s="422">
        <f>SUMIF(G83:G103,("&lt;&gt;N/A"),G83:G103)</f>
        <v>1881.6</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64</v>
      </c>
      <c r="D80" s="907"/>
    </row>
    <row r="82" spans="2:7" ht="15.75">
      <c r="B82" s="97" t="s">
        <v>211</v>
      </c>
      <c r="C82" s="97" t="s">
        <v>5</v>
      </c>
      <c r="D82" s="97" t="s">
        <v>79</v>
      </c>
      <c r="E82" s="98" t="s">
        <v>233</v>
      </c>
      <c r="F82" s="97" t="s">
        <v>121</v>
      </c>
      <c r="G82" s="97"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7" t="str">
        <f>IF($B83="N/A","N/A",INDEX(Staff_position[],MATCH(B83,Staff_Position_ID,0)))</f>
        <v>Waste units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IFERROR(INDEX(Staff_Position_Allocation,MATCH(B83,Staff_Position_ID),MATCH($C$80,Unit_codes,0)),"")</f>
        <v>0.26</v>
      </c>
      <c r="G83" s="277">
        <f>IFERROR(D83*E83*F83,"")</f>
        <v>873.6</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0.1</v>
      </c>
      <c r="G84" s="277">
        <f t="shared" ref="G84:G103" si="9">IFERROR(D84*E84*F84,"")</f>
        <v>1007.9999999999999</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16" ht="15.75" thickBot="1">
      <c r="E104" s="150"/>
      <c r="F104" s="150"/>
      <c r="G104" s="150"/>
    </row>
    <row r="105" spans="2:16" ht="45">
      <c r="B105" s="2" t="s">
        <v>2</v>
      </c>
      <c r="C105" s="110"/>
      <c r="D105" s="61"/>
      <c r="F105" s="149" t="s">
        <v>153</v>
      </c>
      <c r="G105" s="278">
        <f>SUMIF(B110:B147,("&lt;&gt;N/A"),N110:N147)</f>
        <v>551.59999999999991</v>
      </c>
      <c r="H105" s="61"/>
      <c r="I105" s="61"/>
      <c r="J105" s="61"/>
      <c r="K105" s="61"/>
      <c r="L105" s="61"/>
      <c r="M105" s="61"/>
      <c r="N105" s="61"/>
      <c r="O105" s="272"/>
      <c r="P105" s="61"/>
    </row>
    <row r="106" spans="2:16" ht="15.75">
      <c r="B106" s="67" t="s">
        <v>542</v>
      </c>
    </row>
    <row r="107" spans="2:16">
      <c r="B107" s="105" t="s">
        <v>78</v>
      </c>
      <c r="C107" s="86" t="s">
        <v>64</v>
      </c>
    </row>
    <row r="109" spans="2:16" ht="47.25">
      <c r="B109" s="97" t="s">
        <v>84</v>
      </c>
      <c r="C109" s="97" t="s">
        <v>53</v>
      </c>
      <c r="D109" s="99" t="s">
        <v>152</v>
      </c>
      <c r="E109" s="123" t="s">
        <v>50</v>
      </c>
      <c r="F109" s="99" t="s">
        <v>514</v>
      </c>
      <c r="G109" s="99" t="s">
        <v>451</v>
      </c>
      <c r="H109" s="99" t="s">
        <v>515</v>
      </c>
      <c r="I109" s="99" t="s">
        <v>519</v>
      </c>
      <c r="J109" s="99" t="s">
        <v>516</v>
      </c>
      <c r="K109" s="99" t="s">
        <v>518</v>
      </c>
      <c r="L109" s="318" t="s">
        <v>517</v>
      </c>
      <c r="M109" s="99" t="s">
        <v>104</v>
      </c>
      <c r="N109" s="99" t="s">
        <v>154</v>
      </c>
      <c r="O109" s="290" t="s">
        <v>714</v>
      </c>
      <c r="P109" s="292"/>
    </row>
    <row r="110" spans="2:16">
      <c r="B110" s="76" t="str">
        <f t="array" ref="B110">IF(COUNTIFS(INDEX(Equipment_Allocation_New,0,MATCH($C$107,Unit_codes,0)),"&gt;0")&lt;ROWS('2.2-Equipment input'!$X$8:$X8),"N/A",INDEX('2.2-Equipment input'!B:B,SMALL(IF(INDEX(Equipment_Allocation_New,0,MATCH($C$107,Unit_codes,0))&gt;0,ROW(equipment_ID)),ROW('2.2-Equipment input'!B1))))</f>
        <v>eq0004</v>
      </c>
      <c r="C110" s="76" t="str">
        <f>IF($B110="N/A","N/A",INDEX(Equipment_name[],MATCH(B110,equipment_ID,0)))</f>
        <v>Pallets</v>
      </c>
      <c r="D110" s="277">
        <f t="shared" ref="D110:D147" si="10">IF($B110="N/A","N/A",INDEX(Equipment_Depreciation,MATCH(B110,equipment_ID,0)))</f>
        <v>2.0999999999999996</v>
      </c>
      <c r="E110" s="94">
        <f t="shared" ref="E110:E147" si="11">IF($B110="N/A","N/A",INDEX(Equipment_Quantity_New,MATCH(B110,equipment_ID,0)))</f>
        <v>120</v>
      </c>
      <c r="F110" s="137" t="str">
        <f>IF($B110="N/A","",IF(INDEX(Equipment_Utility_Decision,MATCH($B110,equipment_ID,0))='4.2-Settings Internal'!$B$32,INDEX(Equipment_Utility_Run,MATCH($B110,equipment_ID,0)),""))</f>
        <v/>
      </c>
      <c r="G110" s="137" t="str">
        <f>IF($B110="N/A","",IF(INDEX(Equipment_Utility_Decision,MATCH($B110,equipment_ID,0))='4.2-Settings Internal'!$B$32,INDEX(Equipment_Utility_Water,MATCH($B110,equipment_ID,0)),""))</f>
        <v/>
      </c>
      <c r="H110" s="277" t="str">
        <f t="shared" ref="H110:H147" si="12">IFERROR($E110*$F110*G110*$M110*General_Water_Price,"")</f>
        <v/>
      </c>
      <c r="I110" s="137" t="str">
        <f>IF($B110="N/A","",IF(INDEX(Equipment_Utility_Decision,MATCH($B110,equipment_ID,0))='4.2-Settings Internal'!$B$32,INDEX(Equipment_Utility_Electricity,MATCH($B110,equipment_ID,0)),""))</f>
        <v/>
      </c>
      <c r="J110" s="277" t="str">
        <f t="shared" ref="J110:J147" si="13">IFERROR($E110*$F110*I110*$M110*General_Electricity_Price,"")</f>
        <v/>
      </c>
      <c r="K110" s="137" t="str">
        <f>IF($B110="N/A","",IF(INDEX(Equipment_Utility_Decision,MATCH($B110,equipment_ID,0))=INDEX(Yes_No_Choice[],1),INDEX(Equipment_Utility_Fuel,MATCH($B110,equipment_ID,0)),""))</f>
        <v/>
      </c>
      <c r="L110" s="277" t="str">
        <f t="shared" ref="L110:L147" si="14">IFERROR($E110*$F110*$K110*$M110*INDEX(General_Utilities,MATCH(INDEX(Equipment_Utility_Fuel_Selection,MATCH($B110,equipment_ID,0)),General_Utilities_Type,0),4),"")</f>
        <v/>
      </c>
      <c r="M110" s="95">
        <f t="shared" ref="M110:M147" si="15">IFERROR(INDEX(Equipment_Allocation_New,MATCH(B110,equipment_ID,0),MATCH($C$107,Unit_codes,0)),"")</f>
        <v>0.1</v>
      </c>
      <c r="N110" s="277">
        <f t="shared" ref="N110:N147" si="16">IFERROR($D110*E110*M110,"")</f>
        <v>25.199999999999996</v>
      </c>
      <c r="O110" s="291">
        <f t="shared" ref="O110:O147" si="17">IF($B110="N/A","",IF(INDEX(Equipment_Space_Selection,MATCH(B110,equipment_ID,0))="Yes",INDEX(Equipment_Space_Footprint,MATCH(B110,equipment_ID,0))*INDEX(Equipment_Quantity_New,MATCH(B110,equipment_ID,0))*M110,""))</f>
        <v>18.885600000000004</v>
      </c>
      <c r="P110" s="293"/>
    </row>
    <row r="111" spans="2:16">
      <c r="B111" s="76" t="str">
        <f t="array" ref="B111">IF(COUNTIFS(INDEX(Equipment_Allocation_New,0,MATCH($C$107,Unit_codes,0)),"&gt;0")&lt;ROWS('2.2-Equipment input'!$X$8:$X9),"N/A",INDEX('2.2-Equipment input'!B:B,SMALL(IF(INDEX(Equipment_Allocation_New,0,MATCH($C$107,Unit_codes,0))&gt;0,ROW(equipment_ID)),ROW('2.2-Equipment input'!B2))))</f>
        <v>eq0006</v>
      </c>
      <c r="C111" s="76" t="str">
        <f>IF($B111="N/A","N/A",INDEX(Equipment_name[],MATCH(B111,equipment_ID,0)))</f>
        <v>Pallet trolley</v>
      </c>
      <c r="D111" s="277">
        <f t="shared" si="10"/>
        <v>41.999999999999993</v>
      </c>
      <c r="E111" s="94">
        <f t="shared" si="11"/>
        <v>2</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95">
        <f t="shared" si="15"/>
        <v>0.1</v>
      </c>
      <c r="N111" s="277">
        <f t="shared" si="16"/>
        <v>8.3999999999999986</v>
      </c>
      <c r="O111" s="291" t="str">
        <f t="shared" si="17"/>
        <v/>
      </c>
      <c r="P111" s="293"/>
    </row>
    <row r="112" spans="2:16">
      <c r="B112" s="76" t="str">
        <f t="array" ref="B112">IF(COUNTIFS(INDEX(Equipment_Allocation_New,0,MATCH($C$107,Unit_codes,0)),"&gt;0")&lt;ROWS('2.2-Equipment input'!$X$8:$X10),"N/A",INDEX('2.2-Equipment input'!B:B,SMALL(IF(INDEX(Equipment_Allocation_New,0,MATCH($C$107,Unit_codes,0))&gt;0,ROW(equipment_ID)),ROW('2.2-Equipment input'!B3))))</f>
        <v>eq0007</v>
      </c>
      <c r="C112" s="76" t="str">
        <f>IF($B112="N/A","N/A",INDEX(Equipment_name[],MATCH(B112,equipment_ID,0)))</f>
        <v>Shredder</v>
      </c>
      <c r="D112" s="277">
        <f t="shared" si="10"/>
        <v>349.99999999999994</v>
      </c>
      <c r="E112" s="94">
        <f t="shared" si="11"/>
        <v>1</v>
      </c>
      <c r="F112" s="137">
        <f>IF($B112="N/A","",IF(INDEX(Equipment_Utility_Decision,MATCH($B112,equipment_ID,0))='4.2-Settings Internal'!$B$32,INDEX(Equipment_Utility_Run,MATCH($B112,equipment_ID,0)),""))</f>
        <v>5</v>
      </c>
      <c r="G112" s="137">
        <f>IF($B112="N/A","",IF(INDEX(Equipment_Utility_Decision,MATCH($B112,equipment_ID,0))='4.2-Settings Internal'!$B$32,INDEX(Equipment_Utility_Water,MATCH($B112,equipment_ID,0)),""))</f>
        <v>0</v>
      </c>
      <c r="H112" s="277">
        <f t="shared" si="12"/>
        <v>0</v>
      </c>
      <c r="I112" s="137">
        <f>IF($B112="N/A","",IF(INDEX(Equipment_Utility_Decision,MATCH($B112,equipment_ID,0))='4.2-Settings Internal'!$B$32,INDEX(Equipment_Utility_Electricity,MATCH($B112,equipment_ID,0)),""))</f>
        <v>0</v>
      </c>
      <c r="J112" s="277">
        <f t="shared" si="13"/>
        <v>0</v>
      </c>
      <c r="K112" s="137">
        <f>IF($B112="N/A","",IF(INDEX(Equipment_Utility_Decision,MATCH($B112,equipment_ID,0))=INDEX(Yes_No_Choice[],1),INDEX(Equipment_Utility_Fuel,MATCH($B112,equipment_ID,0)),""))</f>
        <v>1.2</v>
      </c>
      <c r="L112" s="277">
        <f t="shared" si="14"/>
        <v>2.0999999999999996</v>
      </c>
      <c r="M112" s="95">
        <f t="shared" si="15"/>
        <v>1</v>
      </c>
      <c r="N112" s="277">
        <f t="shared" si="16"/>
        <v>349.99999999999994</v>
      </c>
      <c r="O112" s="291">
        <f t="shared" si="17"/>
        <v>4</v>
      </c>
      <c r="P112" s="293"/>
    </row>
    <row r="113" spans="2:16">
      <c r="B113" s="76" t="str">
        <f t="array" ref="B113">IF(COUNTIFS(INDEX(Equipment_Allocation_New,0,MATCH($C$107,Unit_codes,0)),"&gt;0")&lt;ROWS('2.2-Equipment input'!$X$8:$X11),"N/A",INDEX('2.2-Equipment input'!B:B,SMALL(IF(INDEX(Equipment_Allocation_New,0,MATCH($C$107,Unit_codes,0))&gt;0,ROW(equipment_ID)),ROW('2.2-Equipment input'!B4))))</f>
        <v>eq0008</v>
      </c>
      <c r="C113" s="76" t="str">
        <f>IF($B113="N/A","N/A",INDEX(Equipment_name[],MATCH(B113,equipment_ID,0)))</f>
        <v>High pressure cleaner</v>
      </c>
      <c r="D113" s="277">
        <f t="shared" si="10"/>
        <v>210</v>
      </c>
      <c r="E113" s="94">
        <f t="shared" si="11"/>
        <v>2</v>
      </c>
      <c r="F113" s="137">
        <f>IF($B113="N/A","",IF(INDEX(Equipment_Utility_Decision,MATCH($B113,equipment_ID,0))='4.2-Settings Internal'!$B$32,INDEX(Equipment_Utility_Run,MATCH($B113,equipment_ID,0)),""))</f>
        <v>7.9365079365079367</v>
      </c>
      <c r="G113" s="137">
        <f>IF($B113="N/A","",IF(INDEX(Equipment_Utility_Decision,MATCH($B113,equipment_ID,0))='4.2-Settings Internal'!$B$32,INDEX(Equipment_Utility_Water,MATCH($B113,equipment_ID,0)),""))</f>
        <v>0.42899999999999999</v>
      </c>
      <c r="H113" s="277">
        <f t="shared" si="12"/>
        <v>0.35749999999999998</v>
      </c>
      <c r="I113" s="137">
        <f>IF($B113="N/A","",IF(INDEX(Equipment_Utility_Decision,MATCH($B113,equipment_ID,0))='4.2-Settings Internal'!$B$32,INDEX(Equipment_Utility_Electricity,MATCH($B113,equipment_ID,0)),""))</f>
        <v>2</v>
      </c>
      <c r="J113" s="277">
        <f t="shared" si="13"/>
        <v>0.83333333333333337</v>
      </c>
      <c r="K113" s="137">
        <f>IF($B113="N/A","",IF(INDEX(Equipment_Utility_Decision,MATCH($B113,equipment_ID,0))=INDEX(Yes_No_Choice[],1),INDEX(Equipment_Utility_Fuel,MATCH($B113,equipment_ID,0)),""))</f>
        <v>0</v>
      </c>
      <c r="L113" s="277" t="str">
        <f t="shared" si="14"/>
        <v/>
      </c>
      <c r="M113" s="95">
        <f t="shared" si="15"/>
        <v>0.25</v>
      </c>
      <c r="N113" s="277">
        <f t="shared" si="16"/>
        <v>105</v>
      </c>
      <c r="O113" s="291">
        <f t="shared" si="17"/>
        <v>0.125</v>
      </c>
      <c r="P113" s="293"/>
    </row>
    <row r="114" spans="2:16">
      <c r="B114" s="76" t="str">
        <f t="array" ref="B114">IF(COUNTIFS(INDEX(Equipment_Allocation_New,0,MATCH($C$107,Unit_codes,0)),"&gt;0")&lt;ROWS('2.2-Equipment input'!$X$8:$X12),"N/A",INDEX('2.2-Equipment input'!B:B,SMALL(IF(INDEX(Equipment_Allocation_New,0,MATCH($C$107,Unit_codes,0))&gt;0,ROW(equipment_ID)),ROW('2.2-Equipment input'!B5))))</f>
        <v>eq0030</v>
      </c>
      <c r="C114" s="76" t="str">
        <f>IF($B114="N/A","N/A",INDEX(Equipment_name[],MATCH(B114,equipment_ID,0)))</f>
        <v>Measuring balance ("heavy" duty)</v>
      </c>
      <c r="D114" s="277">
        <f t="shared" si="10"/>
        <v>34.999999999999993</v>
      </c>
      <c r="E114" s="94">
        <f t="shared" si="11"/>
        <v>3</v>
      </c>
      <c r="F114" s="137">
        <f>IF($B114="N/A","",IF(INDEX(Equipment_Utility_Decision,MATCH($B114,equipment_ID,0))='4.2-Settings Internal'!$B$32,INDEX(Equipment_Utility_Run,MATCH($B114,equipment_ID,0)),""))</f>
        <v>0</v>
      </c>
      <c r="G114" s="137">
        <f>IF($B114="N/A","",IF(INDEX(Equipment_Utility_Decision,MATCH($B114,equipment_ID,0))='4.2-Settings Internal'!$B$32,INDEX(Equipment_Utility_Water,MATCH($B114,equipment_ID,0)),""))</f>
        <v>0</v>
      </c>
      <c r="H114" s="277">
        <f t="shared" si="12"/>
        <v>0</v>
      </c>
      <c r="I114" s="137">
        <f>IF($B114="N/A","",IF(INDEX(Equipment_Utility_Decision,MATCH($B114,equipment_ID,0))='4.2-Settings Internal'!$B$32,INDEX(Equipment_Utility_Electricity,MATCH($B114,equipment_ID,0)),""))</f>
        <v>0</v>
      </c>
      <c r="J114" s="277">
        <f t="shared" si="13"/>
        <v>0</v>
      </c>
      <c r="K114" s="137">
        <f>IF($B114="N/A","",IF(INDEX(Equipment_Utility_Decision,MATCH($B114,equipment_ID,0))=INDEX(Yes_No_Choice[],1),INDEX(Equipment_Utility_Fuel,MATCH($B114,equipment_ID,0)),""))</f>
        <v>0</v>
      </c>
      <c r="L114" s="277" t="str">
        <f t="shared" si="14"/>
        <v/>
      </c>
      <c r="M114" s="95">
        <f t="shared" si="15"/>
        <v>0.2</v>
      </c>
      <c r="N114" s="277">
        <f t="shared" si="16"/>
        <v>20.999999999999996</v>
      </c>
      <c r="O114" s="291" t="str">
        <f t="shared" si="17"/>
        <v/>
      </c>
      <c r="P114" s="293"/>
    </row>
    <row r="115" spans="2:16">
      <c r="B115" s="76" t="str">
        <f t="array" ref="B115">IF(COUNTIFS(INDEX(Equipment_Allocation_New,0,MATCH($C$107,Unit_codes,0)),"&gt;0")&lt;ROWS('2.2-Equipment input'!$X$8:$X13),"N/A",INDEX('2.2-Equipment input'!B:B,SMALL(IF(INDEX(Equipment_Allocation_New,0,MATCH($C$107,Unit_codes,0))&gt;0,ROW(equipment_ID)),ROW('2.2-Equipment input'!B6))))</f>
        <v>eq0032</v>
      </c>
      <c r="C115" s="76" t="str">
        <f>IF($B115="N/A","N/A",INDEX(Equipment_name[],MATCH(B115,equipment_ID,0)))</f>
        <v>Measuring balance (nursery)</v>
      </c>
      <c r="D115" s="277">
        <f t="shared" si="10"/>
        <v>69.999999999999986</v>
      </c>
      <c r="E115" s="94">
        <f t="shared" si="11"/>
        <v>3</v>
      </c>
      <c r="F115" s="137">
        <f>IF($B115="N/A","",IF(INDEX(Equipment_Utility_Decision,MATCH($B115,equipment_ID,0))='4.2-Settings Internal'!$B$32,INDEX(Equipment_Utility_Run,MATCH($B115,equipment_ID,0)),""))</f>
        <v>0</v>
      </c>
      <c r="G115" s="137">
        <f>IF($B115="N/A","",IF(INDEX(Equipment_Utility_Decision,MATCH($B115,equipment_ID,0))='4.2-Settings Internal'!$B$32,INDEX(Equipment_Utility_Water,MATCH($B115,equipment_ID,0)),""))</f>
        <v>0</v>
      </c>
      <c r="H115" s="277">
        <f t="shared" si="12"/>
        <v>0</v>
      </c>
      <c r="I115" s="137">
        <f>IF($B115="N/A","",IF(INDEX(Equipment_Utility_Decision,MATCH($B115,equipment_ID,0))='4.2-Settings Internal'!$B$32,INDEX(Equipment_Utility_Electricity,MATCH($B115,equipment_ID,0)),""))</f>
        <v>0</v>
      </c>
      <c r="J115" s="277">
        <f t="shared" si="13"/>
        <v>0</v>
      </c>
      <c r="K115" s="137">
        <f>IF($B115="N/A","",IF(INDEX(Equipment_Utility_Decision,MATCH($B115,equipment_ID,0))=INDEX(Yes_No_Choice[],1),INDEX(Equipment_Utility_Fuel,MATCH($B115,equipment_ID,0)),""))</f>
        <v>0</v>
      </c>
      <c r="L115" s="277" t="str">
        <f t="shared" si="14"/>
        <v/>
      </c>
      <c r="M115" s="95">
        <f t="shared" si="15"/>
        <v>0.2</v>
      </c>
      <c r="N115" s="277">
        <f t="shared" si="16"/>
        <v>41.999999999999993</v>
      </c>
      <c r="O115" s="291" t="str">
        <f t="shared" si="17"/>
        <v/>
      </c>
      <c r="P115" s="293"/>
    </row>
    <row r="116" spans="2:16">
      <c r="B116" s="76" t="str">
        <f t="array" ref="B116">IF(COUNTIFS(INDEX(Equipment_Allocation_New,0,MATCH($C$107,Unit_codes,0)),"&gt;0")&lt;ROWS('2.2-Equipment input'!$X$8:$X14),"N/A",INDEX('2.2-Equipment input'!B:B,SMALL(IF(INDEX(Equipment_Allocation_New,0,MATCH($C$107,Unit_codes,0))&gt;0,ROW(equipment_ID)),ROW('2.2-Equipment input'!B7))))</f>
        <v>N/A</v>
      </c>
      <c r="C116" s="76" t="str">
        <f>IF($B116="N/A","N/A",INDEX(Equipment_name[],MATCH(B116,equipment_ID,0)))</f>
        <v>N/A</v>
      </c>
      <c r="D116" s="277" t="str">
        <f t="shared" si="10"/>
        <v>N/A</v>
      </c>
      <c r="E116" s="94" t="str">
        <f t="shared" si="11"/>
        <v>N/A</v>
      </c>
      <c r="F116" s="137" t="str">
        <f>IF($B116="N/A","",IF(INDEX(Equipment_Utility_Decision,MATCH($B116,equipment_ID,0))='4.2-Settings Internal'!$B$32,INDEX(Equipment_Utility_Run,MATCH($B116,equipment_ID,0)),""))</f>
        <v/>
      </c>
      <c r="G116" s="137" t="str">
        <f>IF($B116="N/A","",IF(INDEX(Equipment_Utility_Decision,MATCH($B116,equipment_ID,0))='4.2-Settings Internal'!$B$32,INDEX(Equipment_Utility_Water,MATCH($B116,equipment_ID,0)),""))</f>
        <v/>
      </c>
      <c r="H116" s="277" t="str">
        <f t="shared" si="12"/>
        <v/>
      </c>
      <c r="I116" s="137" t="str">
        <f>IF($B116="N/A","",IF(INDEX(Equipment_Utility_Decision,MATCH($B116,equipment_ID,0))='4.2-Settings Internal'!$B$32,INDEX(Equipment_Utility_Electricity,MATCH($B116,equipment_ID,0)),""))</f>
        <v/>
      </c>
      <c r="J116" s="277" t="str">
        <f t="shared" si="13"/>
        <v/>
      </c>
      <c r="K116" s="137" t="str">
        <f>IF($B116="N/A","",IF(INDEX(Equipment_Utility_Decision,MATCH($B116,equipment_ID,0))=INDEX(Yes_No_Choice[],1),INDEX(Equipment_Utility_Fuel,MATCH($B116,equipment_ID,0)),""))</f>
        <v/>
      </c>
      <c r="L116" s="277" t="str">
        <f t="shared" si="14"/>
        <v/>
      </c>
      <c r="M116" s="95" t="str">
        <f t="shared" si="15"/>
        <v/>
      </c>
      <c r="N116" s="277" t="str">
        <f t="shared" si="16"/>
        <v/>
      </c>
      <c r="O116" s="291" t="str">
        <f t="shared" si="17"/>
        <v/>
      </c>
      <c r="P116" s="293"/>
    </row>
    <row r="117" spans="2:16">
      <c r="B117" s="76" t="str">
        <f t="array" ref="B117">IF(COUNTIFS(INDEX(Equipment_Allocation_New,0,MATCH($C$107,Unit_codes,0)),"&gt;0")&lt;ROWS('2.2-Equipment input'!$X$8:$X15),"N/A",INDEX('2.2-Equipment input'!B:B,SMALL(IF(INDEX(Equipment_Allocation_New,0,MATCH($C$107,Unit_codes,0))&gt;0,ROW(equipment_ID)),ROW('2.2-Equipment input'!B8))))</f>
        <v>N/A</v>
      </c>
      <c r="C117" s="76" t="str">
        <f>IF($B117="N/A","N/A",INDEX(Equipment_name[],MATCH(B117,equipment_ID,0)))</f>
        <v>N/A</v>
      </c>
      <c r="D117" s="277" t="str">
        <f t="shared" si="10"/>
        <v>N/A</v>
      </c>
      <c r="E117" s="94" t="str">
        <f t="shared" si="11"/>
        <v>N/A</v>
      </c>
      <c r="F117" s="137" t="str">
        <f>IF($B117="N/A","",IF(INDEX(Equipment_Utility_Decision,MATCH($B117,equipment_ID,0))='4.2-Settings Internal'!$B$32,INDEX(Equipment_Utility_Run,MATCH($B117,equipment_ID,0)),""))</f>
        <v/>
      </c>
      <c r="G117" s="137" t="str">
        <f>IF($B117="N/A","",IF(INDEX(Equipment_Utility_Decision,MATCH($B117,equipment_ID,0))='4.2-Settings Internal'!$B$32,INDEX(Equipment_Utility_Water,MATCH($B117,equipment_ID,0)),""))</f>
        <v/>
      </c>
      <c r="H117" s="277" t="str">
        <f t="shared" si="12"/>
        <v/>
      </c>
      <c r="I117" s="137" t="str">
        <f>IF($B117="N/A","",IF(INDEX(Equipment_Utility_Decision,MATCH($B117,equipment_ID,0))='4.2-Settings Internal'!$B$32,INDEX(Equipment_Utility_Electricity,MATCH($B117,equipment_ID,0)),""))</f>
        <v/>
      </c>
      <c r="J117" s="277" t="str">
        <f t="shared" si="13"/>
        <v/>
      </c>
      <c r="K117" s="137" t="str">
        <f>IF($B117="N/A","",IF(INDEX(Equipment_Utility_Decision,MATCH($B117,equipment_ID,0))=INDEX(Yes_No_Choice[],1),INDEX(Equipment_Utility_Fuel,MATCH($B117,equipment_ID,0)),""))</f>
        <v/>
      </c>
      <c r="L117" s="277" t="str">
        <f t="shared" si="14"/>
        <v/>
      </c>
      <c r="M117" s="95" t="str">
        <f t="shared" si="15"/>
        <v/>
      </c>
      <c r="N117" s="277" t="str">
        <f t="shared" si="16"/>
        <v/>
      </c>
      <c r="O117" s="291" t="str">
        <f t="shared" si="17"/>
        <v/>
      </c>
      <c r="P117" s="293"/>
    </row>
    <row r="118" spans="2:16">
      <c r="B118" s="76" t="str">
        <f t="array" ref="B118">IF(COUNTIFS(INDEX(Equipment_Allocation_New,0,MATCH($C$107,Unit_codes,0)),"&gt;0")&lt;ROWS('2.2-Equipment input'!$X$8:$X16),"N/A",INDEX('2.2-Equipment input'!B:B,SMALL(IF(INDEX(Equipment_Allocation_New,0,MATCH($C$107,Unit_codes,0))&gt;0,ROW(equipment_ID)),ROW('2.2-Equipment input'!B9))))</f>
        <v>N/A</v>
      </c>
      <c r="C118" s="76" t="str">
        <f>IF($B118="N/A","N/A",INDEX(Equipment_name[],MATCH(B118,equipment_ID,0)))</f>
        <v>N/A</v>
      </c>
      <c r="D118" s="277" t="str">
        <f t="shared" si="10"/>
        <v>N/A</v>
      </c>
      <c r="E118" s="94" t="str">
        <f t="shared" si="11"/>
        <v>N/A</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12"/>
        <v/>
      </c>
      <c r="I118" s="137" t="str">
        <f>IF($B118="N/A","",IF(INDEX(Equipment_Utility_Decision,MATCH($B118,equipment_ID,0))='4.2-Settings Internal'!$B$32,INDEX(Equipment_Utility_Electricity,MATCH($B118,equipment_ID,0)),""))</f>
        <v/>
      </c>
      <c r="J118" s="277" t="str">
        <f t="shared" si="13"/>
        <v/>
      </c>
      <c r="K118" s="137" t="str">
        <f>IF($B118="N/A","",IF(INDEX(Equipment_Utility_Decision,MATCH($B118,equipment_ID,0))=INDEX(Yes_No_Choice[],1),INDEX(Equipment_Utility_Fuel,MATCH($B118,equipment_ID,0)),""))</f>
        <v/>
      </c>
      <c r="L118" s="277" t="str">
        <f t="shared" si="14"/>
        <v/>
      </c>
      <c r="M118" s="95" t="str">
        <f t="shared" si="15"/>
        <v/>
      </c>
      <c r="N118" s="277" t="str">
        <f t="shared" si="16"/>
        <v/>
      </c>
      <c r="O118" s="291" t="str">
        <f t="shared" si="17"/>
        <v/>
      </c>
      <c r="P118" s="293"/>
    </row>
    <row r="119" spans="2:16">
      <c r="B119" s="76" t="str">
        <f t="array" ref="B119">IF(COUNTIFS(INDEX(Equipment_Allocation_New,0,MATCH($C$107,Unit_codes,0)),"&gt;0")&lt;ROWS('2.2-Equipment input'!$X$8:$X17),"N/A",INDEX('2.2-Equipment input'!B:B,SMALL(IF(INDEX(Equipment_Allocation_New,0,MATCH($C$107,Unit_codes,0))&gt;0,ROW(equipment_ID)),ROW('2.2-Equipment input'!B10))))</f>
        <v>N/A</v>
      </c>
      <c r="C119" s="76" t="str">
        <f>IF($B119="N/A","N/A",INDEX(Equipment_name[],MATCH(B119,equipment_ID,0)))</f>
        <v>N/A</v>
      </c>
      <c r="D119" s="277" t="str">
        <f t="shared" si="10"/>
        <v>N/A</v>
      </c>
      <c r="E119" s="94" t="str">
        <f t="shared" si="11"/>
        <v>N/A</v>
      </c>
      <c r="F119" s="137" t="str">
        <f>IF($B119="N/A","",IF(INDEX(Equipment_Utility_Decision,MATCH($B119,equipment_ID,0))='4.2-Settings Internal'!$B$32,INDEX(Equipment_Utility_Run,MATCH($B119,equipment_ID,0)),""))</f>
        <v/>
      </c>
      <c r="G119" s="137" t="str">
        <f>IF($B119="N/A","",IF(INDEX(Equipment_Utility_Decision,MATCH($B119,equipment_ID,0))='4.2-Settings Internal'!$B$32,INDEX(Equipment_Utility_Water,MATCH($B119,equipment_ID,0)),""))</f>
        <v/>
      </c>
      <c r="H119" s="277" t="str">
        <f t="shared" si="12"/>
        <v/>
      </c>
      <c r="I119" s="137" t="str">
        <f>IF($B119="N/A","",IF(INDEX(Equipment_Utility_Decision,MATCH($B119,equipment_ID,0))='4.2-Settings Internal'!$B$32,INDEX(Equipment_Utility_Electricity,MATCH($B119,equipment_ID,0)),""))</f>
        <v/>
      </c>
      <c r="J119" s="277" t="str">
        <f t="shared" si="13"/>
        <v/>
      </c>
      <c r="K119" s="137" t="str">
        <f>IF($B119="N/A","",IF(INDEX(Equipment_Utility_Decision,MATCH($B119,equipment_ID,0))=INDEX(Yes_No_Choice[],1),INDEX(Equipment_Utility_Fuel,MATCH($B119,equipment_ID,0)),""))</f>
        <v/>
      </c>
      <c r="L119" s="277" t="str">
        <f t="shared" si="14"/>
        <v/>
      </c>
      <c r="M119" s="95" t="str">
        <f t="shared" si="15"/>
        <v/>
      </c>
      <c r="N119" s="277" t="str">
        <f t="shared" si="16"/>
        <v/>
      </c>
      <c r="O119" s="291" t="str">
        <f t="shared" si="17"/>
        <v/>
      </c>
      <c r="P119" s="293"/>
    </row>
    <row r="120" spans="2:16">
      <c r="B120" s="76" t="str">
        <f t="array" ref="B120">IF(COUNTIFS(INDEX(Equipment_Allocation_New,0,MATCH($C$107,Unit_codes,0)),"&gt;0")&lt;ROWS('2.2-Equipment input'!$X$8:$X18),"N/A",INDEX('2.2-Equipment input'!B:B,SMALL(IF(INDEX(Equipment_Allocation_New,0,MATCH($C$107,Unit_codes,0))&gt;0,ROW(equipment_ID)),ROW('2.2-Equipment input'!B11))))</f>
        <v>N/A</v>
      </c>
      <c r="C120" s="76" t="str">
        <f>IF($B120="N/A","N/A",INDEX(Equipment_name[],MATCH(B120,equipment_ID,0)))</f>
        <v>N/A</v>
      </c>
      <c r="D120" s="277" t="str">
        <f t="shared" si="10"/>
        <v>N/A</v>
      </c>
      <c r="E120" s="94" t="str">
        <f t="shared" si="11"/>
        <v>N/A</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12"/>
        <v/>
      </c>
      <c r="I120" s="137" t="str">
        <f>IF($B120="N/A","",IF(INDEX(Equipment_Utility_Decision,MATCH($B120,equipment_ID,0))='4.2-Settings Internal'!$B$32,INDEX(Equipment_Utility_Electricity,MATCH($B120,equipment_ID,0)),""))</f>
        <v/>
      </c>
      <c r="J120" s="277" t="str">
        <f t="shared" si="13"/>
        <v/>
      </c>
      <c r="K120" s="137" t="str">
        <f>IF($B120="N/A","",IF(INDEX(Equipment_Utility_Decision,MATCH($B120,equipment_ID,0))=INDEX(Yes_No_Choice[],1),INDEX(Equipment_Utility_Fuel,MATCH($B120,equipment_ID,0)),""))</f>
        <v/>
      </c>
      <c r="L120" s="277" t="str">
        <f t="shared" si="14"/>
        <v/>
      </c>
      <c r="M120" s="95" t="str">
        <f t="shared" si="15"/>
        <v/>
      </c>
      <c r="N120" s="277" t="str">
        <f t="shared" si="16"/>
        <v/>
      </c>
      <c r="O120" s="291" t="str">
        <f t="shared" si="17"/>
        <v/>
      </c>
      <c r="P120" s="293"/>
    </row>
    <row r="121" spans="2:16">
      <c r="B121" s="76" t="str">
        <f t="array" ref="B121">IF(COUNTIFS(INDEX(Equipment_Allocation_New,0,MATCH($C$107,Unit_codes,0)),"&gt;0")&lt;ROWS('2.2-Equipment input'!$X$8:$X19),"N/A",INDEX('2.2-Equipment input'!B:B,SMALL(IF(INDEX(Equipment_Allocation_New,0,MATCH($C$107,Unit_codes,0))&gt;0,ROW(equipment_ID)),ROW('2.2-Equipment input'!B12))))</f>
        <v>N/A</v>
      </c>
      <c r="C121" s="76" t="str">
        <f>IF($B121="N/A","N/A",INDEX(Equipment_name[],MATCH(B121,equipment_ID,0)))</f>
        <v>N/A</v>
      </c>
      <c r="D121" s="277" t="str">
        <f t="shared" si="10"/>
        <v>N/A</v>
      </c>
      <c r="E121" s="94" t="str">
        <f t="shared" si="11"/>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95" t="str">
        <f t="shared" si="15"/>
        <v/>
      </c>
      <c r="N121" s="277" t="str">
        <f t="shared" si="16"/>
        <v/>
      </c>
      <c r="O121" s="291" t="str">
        <f t="shared" si="17"/>
        <v/>
      </c>
      <c r="P121" s="293"/>
    </row>
    <row r="122" spans="2:16">
      <c r="B122" s="76" t="str">
        <f t="array" ref="B122">IF(COUNTIFS(INDEX(Equipment_Allocation_New,0,MATCH($C$107,Unit_codes,0)),"&gt;0")&lt;ROWS('2.2-Equipment input'!$X$8:$X20),"N/A",INDEX('2.2-Equipment input'!B:B,SMALL(IF(INDEX(Equipment_Allocation_New,0,MATCH($C$107,Unit_codes,0))&gt;0,ROW(equipment_ID)),ROW('2.2-Equipment input'!B13))))</f>
        <v>N/A</v>
      </c>
      <c r="C122" s="76" t="str">
        <f>IF($B122="N/A","N/A",INDEX(Equipment_name[],MATCH(B122,equipment_ID,0)))</f>
        <v>N/A</v>
      </c>
      <c r="D122" s="277" t="str">
        <f t="shared" si="10"/>
        <v>N/A</v>
      </c>
      <c r="E122" s="94" t="str">
        <f t="shared" si="11"/>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95" t="str">
        <f t="shared" si="15"/>
        <v/>
      </c>
      <c r="N122" s="277" t="str">
        <f t="shared" si="16"/>
        <v/>
      </c>
      <c r="O122" s="291" t="str">
        <f t="shared" si="17"/>
        <v/>
      </c>
      <c r="P122" s="293"/>
    </row>
    <row r="123" spans="2:16">
      <c r="B123" s="76" t="str">
        <f t="array" ref="B123">IF(COUNTIFS(INDEX(Equipment_Allocation_New,0,MATCH($C$107,Unit_codes,0)),"&gt;0")&lt;ROWS('2.2-Equipment input'!$X$8:$X21),"N/A",INDEX('2.2-Equipment input'!B:B,SMALL(IF(INDEX(Equipment_Allocation_New,0,MATCH($C$107,Unit_codes,0))&gt;0,ROW(equipment_ID)),ROW('2.2-Equipment input'!B14))))</f>
        <v>N/A</v>
      </c>
      <c r="C123" s="76" t="str">
        <f>IF($B123="N/A","N/A",INDEX(Equipment_name[],MATCH(B123,equipment_ID,0)))</f>
        <v>N/A</v>
      </c>
      <c r="D123" s="277" t="str">
        <f t="shared" si="10"/>
        <v>N/A</v>
      </c>
      <c r="E123" s="94" t="str">
        <f t="shared" si="11"/>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95" t="str">
        <f t="shared" si="15"/>
        <v/>
      </c>
      <c r="N123" s="277" t="str">
        <f t="shared" si="16"/>
        <v/>
      </c>
      <c r="O123" s="291" t="str">
        <f t="shared" si="17"/>
        <v/>
      </c>
      <c r="P123" s="293"/>
    </row>
    <row r="124" spans="2:16">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0"/>
        <v>N/A</v>
      </c>
      <c r="E124" s="94" t="str">
        <f t="shared" si="11"/>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95" t="str">
        <f t="shared" si="15"/>
        <v/>
      </c>
      <c r="N124" s="277" t="str">
        <f t="shared" si="16"/>
        <v/>
      </c>
      <c r="O124" s="291" t="str">
        <f t="shared" si="17"/>
        <v/>
      </c>
      <c r="P124" s="293"/>
    </row>
    <row r="125" spans="2:16">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0"/>
        <v>N/A</v>
      </c>
      <c r="E125" s="94" t="str">
        <f t="shared" si="11"/>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2"/>
        <v/>
      </c>
      <c r="I125" s="137" t="str">
        <f>IF($B125="N/A","",IF(INDEX(Equipment_Utility_Decision,MATCH($B125,equipment_ID,0))='4.2-Settings Internal'!$B$32,INDEX(Equipment_Utility_Electricity,MATCH($B125,equipment_ID,0)),""))</f>
        <v/>
      </c>
      <c r="J125" s="277" t="str">
        <f t="shared" si="13"/>
        <v/>
      </c>
      <c r="K125" s="137" t="str">
        <f>IF($B125="N/A","",IF(INDEX(Equipment_Utility_Decision,MATCH($B125,equipment_ID,0))=INDEX(Yes_No_Choice[],1),INDEX(Equipment_Utility_Fuel,MATCH($B125,equipment_ID,0)),""))</f>
        <v/>
      </c>
      <c r="L125" s="277" t="str">
        <f t="shared" si="14"/>
        <v/>
      </c>
      <c r="M125" s="95" t="str">
        <f t="shared" si="15"/>
        <v/>
      </c>
      <c r="N125" s="277" t="str">
        <f t="shared" si="16"/>
        <v/>
      </c>
      <c r="O125" s="291" t="str">
        <f t="shared" si="17"/>
        <v/>
      </c>
      <c r="P125" s="293"/>
    </row>
    <row r="126" spans="2:16">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0"/>
        <v>N/A</v>
      </c>
      <c r="E126" s="94" t="str">
        <f t="shared" si="11"/>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2"/>
        <v/>
      </c>
      <c r="I126" s="137" t="str">
        <f>IF($B126="N/A","",IF(INDEX(Equipment_Utility_Decision,MATCH($B126,equipment_ID,0))='4.2-Settings Internal'!$B$32,INDEX(Equipment_Utility_Electricity,MATCH($B126,equipment_ID,0)),""))</f>
        <v/>
      </c>
      <c r="J126" s="277" t="str">
        <f t="shared" si="13"/>
        <v/>
      </c>
      <c r="K126" s="137" t="str">
        <f>IF($B126="N/A","",IF(INDEX(Equipment_Utility_Decision,MATCH($B126,equipment_ID,0))=INDEX(Yes_No_Choice[],1),INDEX(Equipment_Utility_Fuel,MATCH($B126,equipment_ID,0)),""))</f>
        <v/>
      </c>
      <c r="L126" s="277" t="str">
        <f t="shared" si="14"/>
        <v/>
      </c>
      <c r="M126" s="95" t="str">
        <f t="shared" si="15"/>
        <v/>
      </c>
      <c r="N126" s="277" t="str">
        <f t="shared" si="16"/>
        <v/>
      </c>
      <c r="O126" s="291" t="str">
        <f t="shared" si="17"/>
        <v/>
      </c>
      <c r="P126" s="293"/>
    </row>
    <row r="127" spans="2:16">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0"/>
        <v>N/A</v>
      </c>
      <c r="E127" s="94" t="str">
        <f t="shared" si="11"/>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2"/>
        <v/>
      </c>
      <c r="I127" s="137" t="str">
        <f>IF($B127="N/A","",IF(INDEX(Equipment_Utility_Decision,MATCH($B127,equipment_ID,0))='4.2-Settings Internal'!$B$32,INDEX(Equipment_Utility_Electricity,MATCH($B127,equipment_ID,0)),""))</f>
        <v/>
      </c>
      <c r="J127" s="277" t="str">
        <f t="shared" si="13"/>
        <v/>
      </c>
      <c r="K127" s="137" t="str">
        <f>IF($B127="N/A","",IF(INDEX(Equipment_Utility_Decision,MATCH($B127,equipment_ID,0))=INDEX(Yes_No_Choice[],1),INDEX(Equipment_Utility_Fuel,MATCH($B127,equipment_ID,0)),""))</f>
        <v/>
      </c>
      <c r="L127" s="277" t="str">
        <f t="shared" si="14"/>
        <v/>
      </c>
      <c r="M127" s="95" t="str">
        <f t="shared" si="15"/>
        <v/>
      </c>
      <c r="N127" s="277" t="str">
        <f t="shared" si="16"/>
        <v/>
      </c>
      <c r="O127" s="291" t="str">
        <f t="shared" si="17"/>
        <v/>
      </c>
      <c r="P127" s="293"/>
    </row>
    <row r="128" spans="2:16">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0"/>
        <v>N/A</v>
      </c>
      <c r="E128" s="94" t="str">
        <f t="shared" si="11"/>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2"/>
        <v/>
      </c>
      <c r="I128" s="137" t="str">
        <f>IF($B128="N/A","",IF(INDEX(Equipment_Utility_Decision,MATCH($B128,equipment_ID,0))='4.2-Settings Internal'!$B$32,INDEX(Equipment_Utility_Electricity,MATCH($B128,equipment_ID,0)),""))</f>
        <v/>
      </c>
      <c r="J128" s="277" t="str">
        <f t="shared" si="13"/>
        <v/>
      </c>
      <c r="K128" s="137" t="str">
        <f>IF($B128="N/A","",IF(INDEX(Equipment_Utility_Decision,MATCH($B128,equipment_ID,0))=INDEX(Yes_No_Choice[],1),INDEX(Equipment_Utility_Fuel,MATCH($B128,equipment_ID,0)),""))</f>
        <v/>
      </c>
      <c r="L128" s="277" t="str">
        <f t="shared" si="14"/>
        <v/>
      </c>
      <c r="M128" s="95" t="str">
        <f t="shared" si="15"/>
        <v/>
      </c>
      <c r="N128" s="277" t="str">
        <f t="shared" si="16"/>
        <v/>
      </c>
      <c r="O128" s="291" t="str">
        <f t="shared" si="17"/>
        <v/>
      </c>
      <c r="P128" s="293"/>
    </row>
    <row r="129" spans="2:16">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0"/>
        <v>N/A</v>
      </c>
      <c r="E129" s="94" t="str">
        <f t="shared" si="11"/>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2"/>
        <v/>
      </c>
      <c r="I129" s="137" t="str">
        <f>IF($B129="N/A","",IF(INDEX(Equipment_Utility_Decision,MATCH($B129,equipment_ID,0))='4.2-Settings Internal'!$B$32,INDEX(Equipment_Utility_Electricity,MATCH($B129,equipment_ID,0)),""))</f>
        <v/>
      </c>
      <c r="J129" s="277" t="str">
        <f t="shared" si="13"/>
        <v/>
      </c>
      <c r="K129" s="137" t="str">
        <f>IF($B129="N/A","",IF(INDEX(Equipment_Utility_Decision,MATCH($B129,equipment_ID,0))=INDEX(Yes_No_Choice[],1),INDEX(Equipment_Utility_Fuel,MATCH($B129,equipment_ID,0)),""))</f>
        <v/>
      </c>
      <c r="L129" s="277" t="str">
        <f t="shared" si="14"/>
        <v/>
      </c>
      <c r="M129" s="95" t="str">
        <f t="shared" si="15"/>
        <v/>
      </c>
      <c r="N129" s="277" t="str">
        <f t="shared" si="16"/>
        <v/>
      </c>
      <c r="O129" s="291" t="str">
        <f t="shared" si="17"/>
        <v/>
      </c>
      <c r="P129" s="293"/>
    </row>
    <row r="130" spans="2:16">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95" t="str">
        <f t="shared" si="15"/>
        <v/>
      </c>
      <c r="N130" s="277" t="str">
        <f t="shared" si="16"/>
        <v/>
      </c>
      <c r="O130" s="291" t="str">
        <f t="shared" si="17"/>
        <v/>
      </c>
      <c r="P130" s="293"/>
    </row>
    <row r="131" spans="2:16">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95" t="str">
        <f t="shared" si="15"/>
        <v/>
      </c>
      <c r="N131" s="277" t="str">
        <f t="shared" si="16"/>
        <v/>
      </c>
      <c r="O131" s="291" t="str">
        <f t="shared" si="17"/>
        <v/>
      </c>
      <c r="P131" s="293"/>
    </row>
    <row r="132" spans="2:16">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95" t="str">
        <f t="shared" si="15"/>
        <v/>
      </c>
      <c r="N132" s="277" t="str">
        <f t="shared" si="16"/>
        <v/>
      </c>
      <c r="O132" s="291" t="str">
        <f t="shared" si="17"/>
        <v/>
      </c>
      <c r="P132" s="293"/>
    </row>
    <row r="133" spans="2:16">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95" t="str">
        <f t="shared" si="15"/>
        <v/>
      </c>
      <c r="N133" s="277" t="str">
        <f t="shared" si="16"/>
        <v/>
      </c>
      <c r="O133" s="291" t="str">
        <f t="shared" si="17"/>
        <v/>
      </c>
      <c r="P133" s="293"/>
    </row>
    <row r="134" spans="2:16">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95" t="str">
        <f t="shared" si="15"/>
        <v/>
      </c>
      <c r="N134" s="277" t="str">
        <f t="shared" si="16"/>
        <v/>
      </c>
      <c r="O134" s="291" t="str">
        <f t="shared" si="17"/>
        <v/>
      </c>
      <c r="P134" s="293"/>
    </row>
    <row r="135" spans="2:16">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95" t="str">
        <f t="shared" si="15"/>
        <v/>
      </c>
      <c r="N135" s="277" t="str">
        <f t="shared" si="16"/>
        <v/>
      </c>
      <c r="O135" s="291" t="str">
        <f t="shared" si="17"/>
        <v/>
      </c>
      <c r="P135" s="293"/>
    </row>
    <row r="136" spans="2:16">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95" t="str">
        <f t="shared" si="15"/>
        <v/>
      </c>
      <c r="N136" s="277" t="str">
        <f t="shared" si="16"/>
        <v/>
      </c>
      <c r="O136" s="291" t="str">
        <f t="shared" si="17"/>
        <v/>
      </c>
      <c r="P136" s="293"/>
    </row>
    <row r="137" spans="2:16">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95" t="str">
        <f t="shared" si="15"/>
        <v/>
      </c>
      <c r="N137" s="277" t="str">
        <f t="shared" si="16"/>
        <v/>
      </c>
      <c r="O137" s="291" t="str">
        <f t="shared" si="17"/>
        <v/>
      </c>
      <c r="P137" s="293"/>
    </row>
    <row r="138" spans="2:16">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95" t="str">
        <f t="shared" si="15"/>
        <v/>
      </c>
      <c r="N138" s="277" t="str">
        <f t="shared" si="16"/>
        <v/>
      </c>
      <c r="O138" s="291" t="str">
        <f t="shared" si="17"/>
        <v/>
      </c>
      <c r="P138" s="293"/>
    </row>
    <row r="139" spans="2:16">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95" t="str">
        <f t="shared" si="15"/>
        <v/>
      </c>
      <c r="N139" s="277" t="str">
        <f t="shared" si="16"/>
        <v/>
      </c>
      <c r="O139" s="291" t="str">
        <f t="shared" si="17"/>
        <v/>
      </c>
      <c r="P139" s="293"/>
    </row>
    <row r="140" spans="2:16">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95" t="str">
        <f t="shared" si="15"/>
        <v/>
      </c>
      <c r="N140" s="277" t="str">
        <f t="shared" si="16"/>
        <v/>
      </c>
      <c r="O140" s="291" t="str">
        <f t="shared" si="17"/>
        <v/>
      </c>
      <c r="P140" s="293"/>
    </row>
    <row r="141" spans="2:16">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95" t="str">
        <f t="shared" si="15"/>
        <v/>
      </c>
      <c r="N141" s="277" t="str">
        <f t="shared" si="16"/>
        <v/>
      </c>
      <c r="O141" s="291" t="str">
        <f t="shared" si="17"/>
        <v/>
      </c>
      <c r="P141" s="293"/>
    </row>
    <row r="142" spans="2:16">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95" t="str">
        <f t="shared" si="15"/>
        <v/>
      </c>
      <c r="N142" s="277" t="str">
        <f t="shared" si="16"/>
        <v/>
      </c>
      <c r="O142" s="291" t="str">
        <f t="shared" si="17"/>
        <v/>
      </c>
      <c r="P142" s="293"/>
    </row>
    <row r="143" spans="2:16">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95" t="str">
        <f t="shared" si="15"/>
        <v/>
      </c>
      <c r="N143" s="277" t="str">
        <f t="shared" si="16"/>
        <v/>
      </c>
      <c r="O143" s="291" t="str">
        <f t="shared" si="17"/>
        <v/>
      </c>
      <c r="P143" s="293"/>
    </row>
    <row r="144" spans="2:16">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95" t="str">
        <f t="shared" si="15"/>
        <v/>
      </c>
      <c r="N144" s="277" t="str">
        <f t="shared" si="16"/>
        <v/>
      </c>
      <c r="O144" s="291" t="str">
        <f t="shared" si="17"/>
        <v/>
      </c>
      <c r="P144" s="293"/>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95" t="str">
        <f t="shared" si="15"/>
        <v/>
      </c>
      <c r="N145" s="277" t="str">
        <f t="shared" si="16"/>
        <v/>
      </c>
      <c r="O145" s="291" t="str">
        <f t="shared" si="17"/>
        <v/>
      </c>
      <c r="P145" s="293"/>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95" t="str">
        <f t="shared" si="15"/>
        <v/>
      </c>
      <c r="N146" s="277" t="str">
        <f t="shared" si="16"/>
        <v/>
      </c>
      <c r="O146" s="291" t="str">
        <f t="shared" si="17"/>
        <v/>
      </c>
      <c r="P146" s="293"/>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95" t="str">
        <f t="shared" si="15"/>
        <v/>
      </c>
      <c r="N147" s="277" t="str">
        <f t="shared" si="16"/>
        <v/>
      </c>
      <c r="O147" s="291" t="str">
        <f t="shared" si="17"/>
        <v/>
      </c>
      <c r="P147" s="293"/>
    </row>
    <row r="148" spans="2:23" ht="33" customHeight="1">
      <c r="G148" s="182"/>
    </row>
    <row r="149" spans="2:23" ht="33" customHeight="1">
      <c r="G149" s="188" t="s">
        <v>620</v>
      </c>
      <c r="H149" s="278">
        <f>SUM(H152:H189)</f>
        <v>2548</v>
      </c>
      <c r="I149" s="278">
        <f t="shared" ref="I149:W149" si="18">SUM(I152:I189)</f>
        <v>0</v>
      </c>
      <c r="J149" s="278">
        <f t="shared" si="18"/>
        <v>0</v>
      </c>
      <c r="K149" s="278">
        <f t="shared" si="18"/>
        <v>315</v>
      </c>
      <c r="L149" s="278">
        <f t="shared" si="18"/>
        <v>0</v>
      </c>
      <c r="M149" s="278">
        <f t="shared" si="18"/>
        <v>2232.9999999999995</v>
      </c>
      <c r="N149" s="278">
        <f>SUM(N152:N189)</f>
        <v>315</v>
      </c>
      <c r="O149" s="278">
        <f>SUM(O152:O189)</f>
        <v>0</v>
      </c>
      <c r="P149" s="278">
        <f t="shared" si="18"/>
        <v>0</v>
      </c>
      <c r="Q149" s="278">
        <f t="shared" si="18"/>
        <v>315</v>
      </c>
      <c r="R149" s="278">
        <f t="shared" si="18"/>
        <v>2232.9999999999995</v>
      </c>
      <c r="S149" s="278">
        <f t="shared" si="18"/>
        <v>0</v>
      </c>
      <c r="T149" s="278">
        <f t="shared" si="18"/>
        <v>315</v>
      </c>
      <c r="U149" s="278">
        <f t="shared" si="18"/>
        <v>0</v>
      </c>
      <c r="V149" s="278">
        <f t="shared" si="18"/>
        <v>0</v>
      </c>
      <c r="W149" s="278">
        <f t="shared" si="18"/>
        <v>2548</v>
      </c>
    </row>
    <row r="151" spans="2:23" ht="31.5">
      <c r="B151" s="97" t="s">
        <v>84</v>
      </c>
      <c r="C151" s="97" t="s">
        <v>53</v>
      </c>
      <c r="D151" s="123" t="s">
        <v>52</v>
      </c>
      <c r="E151" s="184" t="s">
        <v>149</v>
      </c>
      <c r="F151" s="123" t="s">
        <v>50</v>
      </c>
      <c r="G151" s="123" t="s">
        <v>121</v>
      </c>
      <c r="H151" s="123" t="s">
        <v>617</v>
      </c>
      <c r="I151" s="123" t="s">
        <v>595</v>
      </c>
      <c r="J151" s="186" t="s">
        <v>596</v>
      </c>
      <c r="K151" s="186" t="s">
        <v>597</v>
      </c>
      <c r="L151" s="186" t="s">
        <v>598</v>
      </c>
      <c r="M151" s="186" t="s">
        <v>599</v>
      </c>
      <c r="N151" s="186" t="s">
        <v>600</v>
      </c>
      <c r="O151" s="186" t="s">
        <v>601</v>
      </c>
      <c r="P151" s="186" t="s">
        <v>602</v>
      </c>
      <c r="Q151" s="186" t="s">
        <v>603</v>
      </c>
      <c r="R151" s="186" t="s">
        <v>604</v>
      </c>
      <c r="S151" s="186" t="s">
        <v>605</v>
      </c>
      <c r="T151" s="186" t="s">
        <v>606</v>
      </c>
      <c r="U151" s="186" t="s">
        <v>607</v>
      </c>
      <c r="V151" s="186" t="s">
        <v>608</v>
      </c>
      <c r="W151" s="186"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eq0004</v>
      </c>
      <c r="C152" s="76" t="str">
        <f>IF($B152="N/A","N/A",INDEX(Equipment_name[],MATCH(B152,equipment_ID,0)))</f>
        <v>Pallets</v>
      </c>
      <c r="D152" s="277">
        <f t="shared" ref="D152:D189" si="19">IF($B152="N/A","N/A",INDEX(Equipment_Capital_Cost,MATCH($B152,equipment_ID,0)))</f>
        <v>10.499999999999998</v>
      </c>
      <c r="E152" s="94">
        <f t="shared" ref="E152:E189" si="20">IF($B152="N/A","N/A",INDEX(Equipment_Lifetime,MATCH($B152,equipment_ID,0)))</f>
        <v>5</v>
      </c>
      <c r="F152" s="94">
        <f t="shared" ref="F152:F189" si="21">IF($B152="N/A","N/A",INDEX(Equipment_Quantity_New,MATCH($B152,equipment_ID,0)))</f>
        <v>120</v>
      </c>
      <c r="G152" s="92">
        <f t="shared" ref="G152:G189" si="22">IF($B152="N/A","N/A",INDEX(Equipment_Allocation_New,MATCH($B152,equipment_ID,0),MATCH($C$107,Unit_codes,0)))</f>
        <v>0.1</v>
      </c>
      <c r="H152" s="277">
        <f>IFERROR(IF($B152="N/A","N/A",IF(MOD(COLUMNS(H$151:$H$151)-1,$E152)=0,$F152*$D152*$G152,)),)</f>
        <v>125.99999999999999</v>
      </c>
      <c r="I152" s="277">
        <f>IFERROR(IF($B152="N/A","N/A",IF(MOD(COLUMNS($H$151:I$151)-1,$E152)=0,$F152*$D152*$G152,)),)</f>
        <v>0</v>
      </c>
      <c r="J152" s="277">
        <f>IFERROR(IF($B152="N/A","N/A",IF(MOD(COLUMNS($H$151:J$151)-1,$E152)=0,$F152*$D152*$G152,)),)</f>
        <v>0</v>
      </c>
      <c r="K152" s="277">
        <f>IFERROR(IF($B152="N/A","N/A",IF(MOD(COLUMNS($H$151:K$151)-1,$E152)=0,$F152*$D152*$G152,)),)</f>
        <v>0</v>
      </c>
      <c r="L152" s="277">
        <f>IFERROR(IF($B152="N/A","N/A",IF(MOD(COLUMNS($H$151:L$151)-1,$E152)=0,$F152*$D152*$G152,)),)</f>
        <v>0</v>
      </c>
      <c r="M152" s="277">
        <f>IFERROR(IF($B152="N/A","N/A",IF(MOD(COLUMNS($H$151:M$151)-1,$E152)=0,$F152*$D152*$G152,)),)</f>
        <v>125.99999999999999</v>
      </c>
      <c r="N152" s="277">
        <f>IFERROR(IF($B152="N/A","N/A",IF(MOD(COLUMNS($H$151:N$151)-1,$E152)=0,$F152*$D152*$G152,)),)</f>
        <v>0</v>
      </c>
      <c r="O152" s="277">
        <f>IFERROR(IF($B152="N/A","N/A",IF(MOD(COLUMNS($H$151:O$151)-1,$E152)=0,$F152*$D152*$G152,)),)</f>
        <v>0</v>
      </c>
      <c r="P152" s="277">
        <f>IFERROR(IF($B152="N/A","N/A",IF(MOD(COLUMNS($H$151:P$151)-1,$E152)=0,$F152*$D152*$G152,)),)</f>
        <v>0</v>
      </c>
      <c r="Q152" s="277">
        <f>IFERROR(IF($B152="N/A","N/A",IF(MOD(COLUMNS($H$151:Q$151)-1,$E152)=0,$F152*$D152*$G152,)),)</f>
        <v>0</v>
      </c>
      <c r="R152" s="277">
        <f>IFERROR(IF($B152="N/A","N/A",IF(MOD(COLUMNS($H$151:R$151)-1,$E152)=0,$F152*$D152*$G152,)),)</f>
        <v>125.99999999999999</v>
      </c>
      <c r="S152" s="277">
        <f>IFERROR(IF($B152="N/A","N/A",IF(MOD(COLUMNS($H$151:S$151)-1,$E152)=0,$F152*$D152*$G152,)),)</f>
        <v>0</v>
      </c>
      <c r="T152" s="277">
        <f>IFERROR(IF($B152="N/A","N/A",IF(MOD(COLUMNS($H$151:T$151)-1,$E152)=0,$F152*$D152*$G152,)),)</f>
        <v>0</v>
      </c>
      <c r="U152" s="277">
        <f>IFERROR(IF($B152="N/A","N/A",IF(MOD(COLUMNS($H$151:U$151)-1,$E152)=0,$F152*$D152*$G152,)),)</f>
        <v>0</v>
      </c>
      <c r="V152" s="277">
        <f>IFERROR(IF($B152="N/A","N/A",IF(MOD(COLUMNS($H$151:V$151)-1,$E152)=0,$F152*$D152*$G152,)),)</f>
        <v>0</v>
      </c>
      <c r="W152" s="277">
        <f>IFERROR(IF($B152="N/A","N/A",IF(MOD(COLUMNS($H$151:W$151)-1,$E152)=0,$F152*$D152*$G152,)),)</f>
        <v>125.99999999999999</v>
      </c>
    </row>
    <row r="153" spans="2:23">
      <c r="B153" s="76" t="str">
        <f t="array" ref="B153">IF(COUNTIFS(INDEX(Equipment_Allocation_New,0,MATCH($C$107,Unit_codes,0)),"&gt;0")&lt;ROWS('2.2-Equipment input'!$X$8:$X9),"N/A",INDEX('2.2-Equipment input'!B:B,SMALL(IF(INDEX(Equipment_Allocation_New,0,MATCH($C$107,Unit_codes,0))&gt;0,ROW(equipment_ID)),ROW('2.2-Equipment input'!B2))))</f>
        <v>eq0006</v>
      </c>
      <c r="C153" s="76" t="str">
        <f>IF($B153="N/A","N/A",INDEX(Equipment_name[],MATCH(B153,equipment_ID,0)))</f>
        <v>Pallet trolley</v>
      </c>
      <c r="D153" s="277">
        <f t="shared" si="19"/>
        <v>209.99999999999997</v>
      </c>
      <c r="E153" s="94">
        <f t="shared" si="20"/>
        <v>5</v>
      </c>
      <c r="F153" s="94">
        <f t="shared" si="21"/>
        <v>2</v>
      </c>
      <c r="G153" s="92">
        <f t="shared" si="22"/>
        <v>0.1</v>
      </c>
      <c r="H153" s="277">
        <f>IFERROR(IF($B153="N/A","N/A",IF(MOD(COLUMNS(H$151:$H$151)-1,$E153)=0,$F153*$D153*$G153,)),)</f>
        <v>42</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42</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42</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42</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eq0007</v>
      </c>
      <c r="C154" s="76" t="str">
        <f>IF($B154="N/A","N/A",INDEX(Equipment_name[],MATCH(B154,equipment_ID,0)))</f>
        <v>Shredder</v>
      </c>
      <c r="D154" s="277">
        <f t="shared" si="19"/>
        <v>1749.9999999999998</v>
      </c>
      <c r="E154" s="94">
        <f t="shared" si="20"/>
        <v>5</v>
      </c>
      <c r="F154" s="94">
        <f t="shared" si="21"/>
        <v>1</v>
      </c>
      <c r="G154" s="92">
        <f t="shared" si="22"/>
        <v>1</v>
      </c>
      <c r="H154" s="277">
        <f>IFERROR(IF($B154="N/A","N/A",IF(MOD(COLUMNS(H$151:$H$151)-1,$E154)=0,$F154*$D154*$G154,)),)</f>
        <v>1749.9999999999998</v>
      </c>
      <c r="I154" s="277">
        <f>IFERROR(IF($B154="N/A","N/A",IF(MOD(COLUMNS($H$151:I$151)-1,$E154)=0,$F154*$D154*$G154,)),)</f>
        <v>0</v>
      </c>
      <c r="J154" s="277">
        <f>IFERROR(IF($B154="N/A","N/A",IF(MOD(COLUMNS($H$151:J$151)-1,$E154)=0,$F154*$D154*$G154,)),)</f>
        <v>0</v>
      </c>
      <c r="K154" s="277">
        <f>IFERROR(IF($B154="N/A","N/A",IF(MOD(COLUMNS($H$151:K$151)-1,$E154)=0,$F154*$D154*$G154,)),)</f>
        <v>0</v>
      </c>
      <c r="L154" s="277">
        <f>IFERROR(IF($B154="N/A","N/A",IF(MOD(COLUMNS($H$151:L$151)-1,$E154)=0,$F154*$D154*$G154,)),)</f>
        <v>0</v>
      </c>
      <c r="M154" s="277">
        <f>IFERROR(IF($B154="N/A","N/A",IF(MOD(COLUMNS($H$151:M$151)-1,$E154)=0,$F154*$D154*$G154,)),)</f>
        <v>1749.9999999999998</v>
      </c>
      <c r="N154" s="277">
        <f>IFERROR(IF($B154="N/A","N/A",IF(MOD(COLUMNS($H$151:N$151)-1,$E154)=0,$F154*$D154*$G154,)),)</f>
        <v>0</v>
      </c>
      <c r="O154" s="277">
        <f>IFERROR(IF($B154="N/A","N/A",IF(MOD(COLUMNS($H$151:O$151)-1,$E154)=0,$F154*$D154*$G154,)),)</f>
        <v>0</v>
      </c>
      <c r="P154" s="277">
        <f>IFERROR(IF($B154="N/A","N/A",IF(MOD(COLUMNS($H$151:P$151)-1,$E154)=0,$F154*$D154*$G154,)),)</f>
        <v>0</v>
      </c>
      <c r="Q154" s="277">
        <f>IFERROR(IF($B154="N/A","N/A",IF(MOD(COLUMNS($H$151:Q$151)-1,$E154)=0,$F154*$D154*$G154,)),)</f>
        <v>0</v>
      </c>
      <c r="R154" s="277">
        <f>IFERROR(IF($B154="N/A","N/A",IF(MOD(COLUMNS($H$151:R$151)-1,$E154)=0,$F154*$D154*$G154,)),)</f>
        <v>1749.9999999999998</v>
      </c>
      <c r="S154" s="277">
        <f>IFERROR(IF($B154="N/A","N/A",IF(MOD(COLUMNS($H$151:S$151)-1,$E154)=0,$F154*$D154*$G154,)),)</f>
        <v>0</v>
      </c>
      <c r="T154" s="277">
        <f>IFERROR(IF($B154="N/A","N/A",IF(MOD(COLUMNS($H$151:T$151)-1,$E154)=0,$F154*$D154*$G154,)),)</f>
        <v>0</v>
      </c>
      <c r="U154" s="277">
        <f>IFERROR(IF($B154="N/A","N/A",IF(MOD(COLUMNS($H$151:U$151)-1,$E154)=0,$F154*$D154*$G154,)),)</f>
        <v>0</v>
      </c>
      <c r="V154" s="277">
        <f>IFERROR(IF($B154="N/A","N/A",IF(MOD(COLUMNS($H$151:V$151)-1,$E154)=0,$F154*$D154*$G154,)),)</f>
        <v>0</v>
      </c>
      <c r="W154" s="277">
        <f>IFERROR(IF($B154="N/A","N/A",IF(MOD(COLUMNS($H$151:W$151)-1,$E154)=0,$F154*$D154*$G154,)),)</f>
        <v>1749.9999999999998</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eq0008</v>
      </c>
      <c r="C155" s="76" t="str">
        <f>IF($B155="N/A","N/A",INDEX(Equipment_name[],MATCH(B155,equipment_ID,0)))</f>
        <v>High pressure cleaner</v>
      </c>
      <c r="D155" s="277">
        <f t="shared" si="19"/>
        <v>630</v>
      </c>
      <c r="E155" s="94">
        <f t="shared" si="20"/>
        <v>3</v>
      </c>
      <c r="F155" s="94">
        <f t="shared" si="21"/>
        <v>2</v>
      </c>
      <c r="G155" s="92">
        <f t="shared" si="22"/>
        <v>0.25</v>
      </c>
      <c r="H155" s="277">
        <f>IFERROR(IF($B155="N/A","N/A",IF(MOD(COLUMNS(H$151:$H$151)-1,$E155)=0,$F155*$D155*$G155,)),)</f>
        <v>315</v>
      </c>
      <c r="I155" s="277">
        <f>IFERROR(IF($B155="N/A","N/A",IF(MOD(COLUMNS($H$151:I$151)-1,$E155)=0,$F155*$D155*$G155,)),)</f>
        <v>0</v>
      </c>
      <c r="J155" s="277">
        <f>IFERROR(IF($B155="N/A","N/A",IF(MOD(COLUMNS($H$151:J$151)-1,$E155)=0,$F155*$D155*$G155,)),)</f>
        <v>0</v>
      </c>
      <c r="K155" s="277">
        <f>IFERROR(IF($B155="N/A","N/A",IF(MOD(COLUMNS($H$151:K$151)-1,$E155)=0,$F155*$D155*$G155,)),)</f>
        <v>315</v>
      </c>
      <c r="L155" s="277">
        <f>IFERROR(IF($B155="N/A","N/A",IF(MOD(COLUMNS($H$151:L$151)-1,$E155)=0,$F155*$D155*$G155,)),)</f>
        <v>0</v>
      </c>
      <c r="M155" s="277">
        <f>IFERROR(IF($B155="N/A","N/A",IF(MOD(COLUMNS($H$151:M$151)-1,$E155)=0,$F155*$D155*$G155,)),)</f>
        <v>0</v>
      </c>
      <c r="N155" s="277">
        <f>IFERROR(IF($B155="N/A","N/A",IF(MOD(COLUMNS($H$151:N$151)-1,$E155)=0,$F155*$D155*$G155,)),)</f>
        <v>315</v>
      </c>
      <c r="O155" s="277">
        <f>IFERROR(IF($B155="N/A","N/A",IF(MOD(COLUMNS($H$151:O$151)-1,$E155)=0,$F155*$D155*$G155,)),)</f>
        <v>0</v>
      </c>
      <c r="P155" s="277">
        <f>IFERROR(IF($B155="N/A","N/A",IF(MOD(COLUMNS($H$151:P$151)-1,$E155)=0,$F155*$D155*$G155,)),)</f>
        <v>0</v>
      </c>
      <c r="Q155" s="277">
        <f>IFERROR(IF($B155="N/A","N/A",IF(MOD(COLUMNS($H$151:Q$151)-1,$E155)=0,$F155*$D155*$G155,)),)</f>
        <v>315</v>
      </c>
      <c r="R155" s="277">
        <f>IFERROR(IF($B155="N/A","N/A",IF(MOD(COLUMNS($H$151:R$151)-1,$E155)=0,$F155*$D155*$G155,)),)</f>
        <v>0</v>
      </c>
      <c r="S155" s="277">
        <f>IFERROR(IF($B155="N/A","N/A",IF(MOD(COLUMNS($H$151:S$151)-1,$E155)=0,$F155*$D155*$G155,)),)</f>
        <v>0</v>
      </c>
      <c r="T155" s="277">
        <f>IFERROR(IF($B155="N/A","N/A",IF(MOD(COLUMNS($H$151:T$151)-1,$E155)=0,$F155*$D155*$G155,)),)</f>
        <v>315</v>
      </c>
      <c r="U155" s="277">
        <f>IFERROR(IF($B155="N/A","N/A",IF(MOD(COLUMNS($H$151:U$151)-1,$E155)=0,$F155*$D155*$G155,)),)</f>
        <v>0</v>
      </c>
      <c r="V155" s="277">
        <f>IFERROR(IF($B155="N/A","N/A",IF(MOD(COLUMNS($H$151:V$151)-1,$E155)=0,$F155*$D155*$G155,)),)</f>
        <v>0</v>
      </c>
      <c r="W155" s="277">
        <f>IFERROR(IF($B155="N/A","N/A",IF(MOD(COLUMNS($H$151:W$151)-1,$E155)=0,$F155*$D155*$G155,)),)</f>
        <v>315</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eq0030</v>
      </c>
      <c r="C156" s="76" t="str">
        <f>IF($B156="N/A","N/A",INDEX(Equipment_name[],MATCH(B156,equipment_ID,0)))</f>
        <v>Measuring balance ("heavy" duty)</v>
      </c>
      <c r="D156" s="277">
        <f t="shared" si="19"/>
        <v>174.99999999999997</v>
      </c>
      <c r="E156" s="94">
        <f t="shared" si="20"/>
        <v>5</v>
      </c>
      <c r="F156" s="94">
        <f t="shared" si="21"/>
        <v>3</v>
      </c>
      <c r="G156" s="92">
        <f t="shared" si="22"/>
        <v>0.2</v>
      </c>
      <c r="H156" s="277">
        <f>IFERROR(IF($B156="N/A","N/A",IF(MOD(COLUMNS(H$151:$H$151)-1,$E156)=0,$F156*$D156*$G156,)),)</f>
        <v>104.99999999999999</v>
      </c>
      <c r="I156" s="277">
        <f>IFERROR(IF($B156="N/A","N/A",IF(MOD(COLUMNS($H$151:I$151)-1,$E156)=0,$F156*$D156*$G156,)),)</f>
        <v>0</v>
      </c>
      <c r="J156" s="277">
        <f>IFERROR(IF($B156="N/A","N/A",IF(MOD(COLUMNS($H$151:J$151)-1,$E156)=0,$F156*$D156*$G156,)),)</f>
        <v>0</v>
      </c>
      <c r="K156" s="277">
        <f>IFERROR(IF($B156="N/A","N/A",IF(MOD(COLUMNS($H$151:K$151)-1,$E156)=0,$F156*$D156*$G156,)),)</f>
        <v>0</v>
      </c>
      <c r="L156" s="277">
        <f>IFERROR(IF($B156="N/A","N/A",IF(MOD(COLUMNS($H$151:L$151)-1,$E156)=0,$F156*$D156*$G156,)),)</f>
        <v>0</v>
      </c>
      <c r="M156" s="277">
        <f>IFERROR(IF($B156="N/A","N/A",IF(MOD(COLUMNS($H$151:M$151)-1,$E156)=0,$F156*$D156*$G156,)),)</f>
        <v>104.99999999999999</v>
      </c>
      <c r="N156" s="277">
        <f>IFERROR(IF($B156="N/A","N/A",IF(MOD(COLUMNS($H$151:N$151)-1,$E156)=0,$F156*$D156*$G156,)),)</f>
        <v>0</v>
      </c>
      <c r="O156" s="277">
        <f>IFERROR(IF($B156="N/A","N/A",IF(MOD(COLUMNS($H$151:O$151)-1,$E156)=0,$F156*$D156*$G156,)),)</f>
        <v>0</v>
      </c>
      <c r="P156" s="277">
        <f>IFERROR(IF($B156="N/A","N/A",IF(MOD(COLUMNS($H$151:P$151)-1,$E156)=0,$F156*$D156*$G156,)),)</f>
        <v>0</v>
      </c>
      <c r="Q156" s="277">
        <f>IFERROR(IF($B156="N/A","N/A",IF(MOD(COLUMNS($H$151:Q$151)-1,$E156)=0,$F156*$D156*$G156,)),)</f>
        <v>0</v>
      </c>
      <c r="R156" s="277">
        <f>IFERROR(IF($B156="N/A","N/A",IF(MOD(COLUMNS($H$151:R$151)-1,$E156)=0,$F156*$D156*$G156,)),)</f>
        <v>104.99999999999999</v>
      </c>
      <c r="S156" s="277">
        <f>IFERROR(IF($B156="N/A","N/A",IF(MOD(COLUMNS($H$151:S$151)-1,$E156)=0,$F156*$D156*$G156,)),)</f>
        <v>0</v>
      </c>
      <c r="T156" s="277">
        <f>IFERROR(IF($B156="N/A","N/A",IF(MOD(COLUMNS($H$151:T$151)-1,$E156)=0,$F156*$D156*$G156,)),)</f>
        <v>0</v>
      </c>
      <c r="U156" s="277">
        <f>IFERROR(IF($B156="N/A","N/A",IF(MOD(COLUMNS($H$151:U$151)-1,$E156)=0,$F156*$D156*$G156,)),)</f>
        <v>0</v>
      </c>
      <c r="V156" s="277">
        <f>IFERROR(IF($B156="N/A","N/A",IF(MOD(COLUMNS($H$151:V$151)-1,$E156)=0,$F156*$D156*$G156,)),)</f>
        <v>0</v>
      </c>
      <c r="W156" s="277">
        <f>IFERROR(IF($B156="N/A","N/A",IF(MOD(COLUMNS($H$151:W$151)-1,$E156)=0,$F156*$D156*$G156,)),)</f>
        <v>104.99999999999999</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eq0032</v>
      </c>
      <c r="C157" s="76" t="str">
        <f>IF($B157="N/A","N/A",INDEX(Equipment_name[],MATCH(B157,equipment_ID,0)))</f>
        <v>Measuring balance (nursery)</v>
      </c>
      <c r="D157" s="277">
        <f t="shared" si="19"/>
        <v>349.99999999999994</v>
      </c>
      <c r="E157" s="94">
        <f t="shared" si="20"/>
        <v>5</v>
      </c>
      <c r="F157" s="94">
        <f t="shared" si="21"/>
        <v>3</v>
      </c>
      <c r="G157" s="92">
        <f t="shared" si="22"/>
        <v>0.2</v>
      </c>
      <c r="H157" s="277">
        <f>IFERROR(IF($B157="N/A","N/A",IF(MOD(COLUMNS(H$151:$H$151)-1,$E157)=0,$F157*$D157*$G157,)),)</f>
        <v>209.99999999999997</v>
      </c>
      <c r="I157" s="277">
        <f>IFERROR(IF($B157="N/A","N/A",IF(MOD(COLUMNS($H$151:I$151)-1,$E157)=0,$F157*$D157*$G157,)),)</f>
        <v>0</v>
      </c>
      <c r="J157" s="277">
        <f>IFERROR(IF($B157="N/A","N/A",IF(MOD(COLUMNS($H$151:J$151)-1,$E157)=0,$F157*$D157*$G157,)),)</f>
        <v>0</v>
      </c>
      <c r="K157" s="277">
        <f>IFERROR(IF($B157="N/A","N/A",IF(MOD(COLUMNS($H$151:K$151)-1,$E157)=0,$F157*$D157*$G157,)),)</f>
        <v>0</v>
      </c>
      <c r="L157" s="277">
        <f>IFERROR(IF($B157="N/A","N/A",IF(MOD(COLUMNS($H$151:L$151)-1,$E157)=0,$F157*$D157*$G157,)),)</f>
        <v>0</v>
      </c>
      <c r="M157" s="277">
        <f>IFERROR(IF($B157="N/A","N/A",IF(MOD(COLUMNS($H$151:M$151)-1,$E157)=0,$F157*$D157*$G157,)),)</f>
        <v>209.99999999999997</v>
      </c>
      <c r="N157" s="277">
        <f>IFERROR(IF($B157="N/A","N/A",IF(MOD(COLUMNS($H$151:N$151)-1,$E157)=0,$F157*$D157*$G157,)),)</f>
        <v>0</v>
      </c>
      <c r="O157" s="277">
        <f>IFERROR(IF($B157="N/A","N/A",IF(MOD(COLUMNS($H$151:O$151)-1,$E157)=0,$F157*$D157*$G157,)),)</f>
        <v>0</v>
      </c>
      <c r="P157" s="277">
        <f>IFERROR(IF($B157="N/A","N/A",IF(MOD(COLUMNS($H$151:P$151)-1,$E157)=0,$F157*$D157*$G157,)),)</f>
        <v>0</v>
      </c>
      <c r="Q157" s="277">
        <f>IFERROR(IF($B157="N/A","N/A",IF(MOD(COLUMNS($H$151:Q$151)-1,$E157)=0,$F157*$D157*$G157,)),)</f>
        <v>0</v>
      </c>
      <c r="R157" s="277">
        <f>IFERROR(IF($B157="N/A","N/A",IF(MOD(COLUMNS($H$151:R$151)-1,$E157)=0,$F157*$D157*$G157,)),)</f>
        <v>209.99999999999997</v>
      </c>
      <c r="S157" s="277">
        <f>IFERROR(IF($B157="N/A","N/A",IF(MOD(COLUMNS($H$151:S$151)-1,$E157)=0,$F157*$D157*$G157,)),)</f>
        <v>0</v>
      </c>
      <c r="T157" s="277">
        <f>IFERROR(IF($B157="N/A","N/A",IF(MOD(COLUMNS($H$151:T$151)-1,$E157)=0,$F157*$D157*$G157,)),)</f>
        <v>0</v>
      </c>
      <c r="U157" s="277">
        <f>IFERROR(IF($B157="N/A","N/A",IF(MOD(COLUMNS($H$151:U$151)-1,$E157)=0,$F157*$D157*$G157,)),)</f>
        <v>0</v>
      </c>
      <c r="V157" s="277">
        <f>IFERROR(IF($B157="N/A","N/A",IF(MOD(COLUMNS($H$151:V$151)-1,$E157)=0,$F157*$D157*$G157,)),)</f>
        <v>0</v>
      </c>
      <c r="W157" s="277">
        <f>IFERROR(IF($B157="N/A","N/A",IF(MOD(COLUMNS($H$151:W$151)-1,$E157)=0,$F157*$D157*$G157,)),)</f>
        <v>209.99999999999997</v>
      </c>
    </row>
    <row r="158" spans="2:23">
      <c r="B158" s="76" t="str">
        <f t="array" ref="B158">IF(COUNTIFS(INDEX(Equipment_Allocation_New,0,MATCH($C$107,Unit_codes,0)),"&gt;0")&lt;ROWS('2.2-Equipment input'!$X$8:$X14),"N/A",INDEX('2.2-Equipment input'!B:B,SMALL(IF(INDEX(Equipment_Allocation_New,0,MATCH($C$107,Unit_codes,0))&gt;0,ROW(equipment_ID)),ROW('2.2-Equipment input'!B7))))</f>
        <v>N/A</v>
      </c>
      <c r="C158" s="76" t="str">
        <f>IF($B158="N/A","N/A",INDEX(Equipment_name[],MATCH(B158,equipment_ID,0)))</f>
        <v>N/A</v>
      </c>
      <c r="D158" s="277" t="str">
        <f t="shared" si="19"/>
        <v>N/A</v>
      </c>
      <c r="E158" s="94" t="str">
        <f t="shared" si="20"/>
        <v>N/A</v>
      </c>
      <c r="F158" s="94" t="str">
        <f t="shared" si="21"/>
        <v>N/A</v>
      </c>
      <c r="G158" s="92" t="str">
        <f t="shared" si="22"/>
        <v>N/A</v>
      </c>
      <c r="H158" s="277" t="str">
        <f>IFERROR(IF($B158="N/A","N/A",IF(MOD(COLUMNS(H$151:$H$151)-1,$E158)=0,$F158*$D158*$G158,)),)</f>
        <v>N/A</v>
      </c>
      <c r="I158" s="277" t="str">
        <f>IFERROR(IF($B158="N/A","N/A",IF(MOD(COLUMNS($H$151:I$151)-1,$E158)=0,$F158*$D158*$G158,)),)</f>
        <v>N/A</v>
      </c>
      <c r="J158" s="277" t="str">
        <f>IFERROR(IF($B158="N/A","N/A",IF(MOD(COLUMNS($H$151:J$151)-1,$E158)=0,$F158*$D158*$G158,)),)</f>
        <v>N/A</v>
      </c>
      <c r="K158" s="277" t="str">
        <f>IFERROR(IF($B158="N/A","N/A",IF(MOD(COLUMNS($H$151:K$151)-1,$E158)=0,$F158*$D158*$G158,)),)</f>
        <v>N/A</v>
      </c>
      <c r="L158" s="277" t="str">
        <f>IFERROR(IF($B158="N/A","N/A",IF(MOD(COLUMNS($H$151:L$151)-1,$E158)=0,$F158*$D158*$G158,)),)</f>
        <v>N/A</v>
      </c>
      <c r="M158" s="277" t="str">
        <f>IFERROR(IF($B158="N/A","N/A",IF(MOD(COLUMNS($H$151:M$151)-1,$E158)=0,$F158*$D158*$G158,)),)</f>
        <v>N/A</v>
      </c>
      <c r="N158" s="277" t="str">
        <f>IFERROR(IF($B158="N/A","N/A",IF(MOD(COLUMNS($H$151:N$151)-1,$E158)=0,$F158*$D158*$G158,)),)</f>
        <v>N/A</v>
      </c>
      <c r="O158" s="277" t="str">
        <f>IFERROR(IF($B158="N/A","N/A",IF(MOD(COLUMNS($H$151:O$151)-1,$E158)=0,$F158*$D158*$G158,)),)</f>
        <v>N/A</v>
      </c>
      <c r="P158" s="277" t="str">
        <f>IFERROR(IF($B158="N/A","N/A",IF(MOD(COLUMNS($H$151:P$151)-1,$E158)=0,$F158*$D158*$G158,)),)</f>
        <v>N/A</v>
      </c>
      <c r="Q158" s="277" t="str">
        <f>IFERROR(IF($B158="N/A","N/A",IF(MOD(COLUMNS($H$151:Q$151)-1,$E158)=0,$F158*$D158*$G158,)),)</f>
        <v>N/A</v>
      </c>
      <c r="R158" s="277" t="str">
        <f>IFERROR(IF($B158="N/A","N/A",IF(MOD(COLUMNS($H$151:R$151)-1,$E158)=0,$F158*$D158*$G158,)),)</f>
        <v>N/A</v>
      </c>
      <c r="S158" s="277" t="str">
        <f>IFERROR(IF($B158="N/A","N/A",IF(MOD(COLUMNS($H$151:S$151)-1,$E158)=0,$F158*$D158*$G158,)),)</f>
        <v>N/A</v>
      </c>
      <c r="T158" s="277" t="str">
        <f>IFERROR(IF($B158="N/A","N/A",IF(MOD(COLUMNS($H$151:T$151)-1,$E158)=0,$F158*$D158*$G158,)),)</f>
        <v>N/A</v>
      </c>
      <c r="U158" s="277" t="str">
        <f>IFERROR(IF($B158="N/A","N/A",IF(MOD(COLUMNS($H$151:U$151)-1,$E158)=0,$F158*$D158*$G158,)),)</f>
        <v>N/A</v>
      </c>
      <c r="V158" s="277" t="str">
        <f>IFERROR(IF($B158="N/A","N/A",IF(MOD(COLUMNS($H$151:V$151)-1,$E158)=0,$F158*$D158*$G158,)),)</f>
        <v>N/A</v>
      </c>
      <c r="W158" s="277" t="str">
        <f>IFERROR(IF($B158="N/A","N/A",IF(MOD(COLUMNS($H$151:W$151)-1,$E158)=0,$F158*$D158*$G158,)),)</f>
        <v>N/A</v>
      </c>
    </row>
    <row r="159" spans="2:23">
      <c r="B159" s="76" t="str">
        <f t="array" ref="B159">IF(COUNTIFS(INDEX(Equipment_Allocation_New,0,MATCH($C$107,Unit_codes,0)),"&gt;0")&lt;ROWS('2.2-Equipment input'!$X$8:$X15),"N/A",INDEX('2.2-Equipment input'!B:B,SMALL(IF(INDEX(Equipment_Allocation_New,0,MATCH($C$107,Unit_codes,0))&gt;0,ROW(equipment_ID)),ROW('2.2-Equipment input'!B8))))</f>
        <v>N/A</v>
      </c>
      <c r="C159" s="76" t="str">
        <f>IF($B159="N/A","N/A",INDEX(Equipment_name[],MATCH(B159,equipment_ID,0)))</f>
        <v>N/A</v>
      </c>
      <c r="D159" s="277" t="str">
        <f t="shared" si="19"/>
        <v>N/A</v>
      </c>
      <c r="E159" s="94" t="str">
        <f t="shared" si="20"/>
        <v>N/A</v>
      </c>
      <c r="F159" s="94" t="str">
        <f t="shared" si="21"/>
        <v>N/A</v>
      </c>
      <c r="G159" s="92" t="str">
        <f t="shared" si="22"/>
        <v>N/A</v>
      </c>
      <c r="H159" s="277" t="str">
        <f>IFERROR(IF($B159="N/A","N/A",IF(MOD(COLUMNS(H$151:$H$151)-1,$E159)=0,$F159*$D159*$G159,)),)</f>
        <v>N/A</v>
      </c>
      <c r="I159" s="277" t="str">
        <f>IFERROR(IF($B159="N/A","N/A",IF(MOD(COLUMNS($H$151:I$151)-1,$E159)=0,$F159*$D159*$G159,)),)</f>
        <v>N/A</v>
      </c>
      <c r="J159" s="277" t="str">
        <f>IFERROR(IF($B159="N/A","N/A",IF(MOD(COLUMNS($H$151:J$151)-1,$E159)=0,$F159*$D159*$G159,)),)</f>
        <v>N/A</v>
      </c>
      <c r="K159" s="277" t="str">
        <f>IFERROR(IF($B159="N/A","N/A",IF(MOD(COLUMNS($H$151:K$151)-1,$E159)=0,$F159*$D159*$G159,)),)</f>
        <v>N/A</v>
      </c>
      <c r="L159" s="277" t="str">
        <f>IFERROR(IF($B159="N/A","N/A",IF(MOD(COLUMNS($H$151:L$151)-1,$E159)=0,$F159*$D159*$G159,)),)</f>
        <v>N/A</v>
      </c>
      <c r="M159" s="277" t="str">
        <f>IFERROR(IF($B159="N/A","N/A",IF(MOD(COLUMNS($H$151:M$151)-1,$E159)=0,$F159*$D159*$G159,)),)</f>
        <v>N/A</v>
      </c>
      <c r="N159" s="277" t="str">
        <f>IFERROR(IF($B159="N/A","N/A",IF(MOD(COLUMNS($H$151:N$151)-1,$E159)=0,$F159*$D159*$G159,)),)</f>
        <v>N/A</v>
      </c>
      <c r="O159" s="277" t="str">
        <f>IFERROR(IF($B159="N/A","N/A",IF(MOD(COLUMNS($H$151:O$151)-1,$E159)=0,$F159*$D159*$G159,)),)</f>
        <v>N/A</v>
      </c>
      <c r="P159" s="277" t="str">
        <f>IFERROR(IF($B159="N/A","N/A",IF(MOD(COLUMNS($H$151:P$151)-1,$E159)=0,$F159*$D159*$G159,)),)</f>
        <v>N/A</v>
      </c>
      <c r="Q159" s="277" t="str">
        <f>IFERROR(IF($B159="N/A","N/A",IF(MOD(COLUMNS($H$151:Q$151)-1,$E159)=0,$F159*$D159*$G159,)),)</f>
        <v>N/A</v>
      </c>
      <c r="R159" s="277" t="str">
        <f>IFERROR(IF($B159="N/A","N/A",IF(MOD(COLUMNS($H$151:R$151)-1,$E159)=0,$F159*$D159*$G159,)),)</f>
        <v>N/A</v>
      </c>
      <c r="S159" s="277" t="str">
        <f>IFERROR(IF($B159="N/A","N/A",IF(MOD(COLUMNS($H$151:S$151)-1,$E159)=0,$F159*$D159*$G159,)),)</f>
        <v>N/A</v>
      </c>
      <c r="T159" s="277" t="str">
        <f>IFERROR(IF($B159="N/A","N/A",IF(MOD(COLUMNS($H$151:T$151)-1,$E159)=0,$F159*$D159*$G159,)),)</f>
        <v>N/A</v>
      </c>
      <c r="U159" s="277" t="str">
        <f>IFERROR(IF($B159="N/A","N/A",IF(MOD(COLUMNS($H$151:U$151)-1,$E159)=0,$F159*$D159*$G159,)),)</f>
        <v>N/A</v>
      </c>
      <c r="V159" s="277" t="str">
        <f>IFERROR(IF($B159="N/A","N/A",IF(MOD(COLUMNS($H$151:V$151)-1,$E159)=0,$F159*$D159*$G159,)),)</f>
        <v>N/A</v>
      </c>
      <c r="W159" s="277" t="str">
        <f>IFERROR(IF($B159="N/A","N/A",IF(MOD(COLUMNS($H$151:W$151)-1,$E159)=0,$F159*$D159*$G159,)),)</f>
        <v>N/A</v>
      </c>
    </row>
    <row r="160" spans="2:23">
      <c r="B160" s="76" t="str">
        <f t="array" ref="B160">IF(COUNTIFS(INDEX(Equipment_Allocation_New,0,MATCH($C$107,Unit_codes,0)),"&gt;0")&lt;ROWS('2.2-Equipment input'!$X$8:$X16),"N/A",INDEX('2.2-Equipment input'!B:B,SMALL(IF(INDEX(Equipment_Allocation_New,0,MATCH($C$107,Unit_codes,0))&gt;0,ROW(equipment_ID)),ROW('2.2-Equipment input'!B9))))</f>
        <v>N/A</v>
      </c>
      <c r="C160" s="76" t="str">
        <f>IF($B160="N/A","N/A",INDEX(Equipment_name[],MATCH(B160,equipment_ID,0)))</f>
        <v>N/A</v>
      </c>
      <c r="D160" s="277" t="str">
        <f t="shared" si="19"/>
        <v>N/A</v>
      </c>
      <c r="E160" s="94" t="str">
        <f t="shared" si="20"/>
        <v>N/A</v>
      </c>
      <c r="F160" s="94" t="str">
        <f t="shared" si="21"/>
        <v>N/A</v>
      </c>
      <c r="G160" s="92" t="str">
        <f t="shared" si="22"/>
        <v>N/A</v>
      </c>
      <c r="H160" s="277" t="str">
        <f>IFERROR(IF($B160="N/A","N/A",IF(MOD(COLUMNS(H$151:$H$151)-1,$E160)=0,$F160*$D160*$G160,)),)</f>
        <v>N/A</v>
      </c>
      <c r="I160" s="277" t="str">
        <f>IFERROR(IF($B160="N/A","N/A",IF(MOD(COLUMNS($H$151:I$151)-1,$E160)=0,$F160*$D160*$G160,)),)</f>
        <v>N/A</v>
      </c>
      <c r="J160" s="277" t="str">
        <f>IFERROR(IF($B160="N/A","N/A",IF(MOD(COLUMNS($H$151:J$151)-1,$E160)=0,$F160*$D160*$G160,)),)</f>
        <v>N/A</v>
      </c>
      <c r="K160" s="277" t="str">
        <f>IFERROR(IF($B160="N/A","N/A",IF(MOD(COLUMNS($H$151:K$151)-1,$E160)=0,$F160*$D160*$G160,)),)</f>
        <v>N/A</v>
      </c>
      <c r="L160" s="277" t="str">
        <f>IFERROR(IF($B160="N/A","N/A",IF(MOD(COLUMNS($H$151:L$151)-1,$E160)=0,$F160*$D160*$G160,)),)</f>
        <v>N/A</v>
      </c>
      <c r="M160" s="277" t="str">
        <f>IFERROR(IF($B160="N/A","N/A",IF(MOD(COLUMNS($H$151:M$151)-1,$E160)=0,$F160*$D160*$G160,)),)</f>
        <v>N/A</v>
      </c>
      <c r="N160" s="277" t="str">
        <f>IFERROR(IF($B160="N/A","N/A",IF(MOD(COLUMNS($H$151:N$151)-1,$E160)=0,$F160*$D160*$G160,)),)</f>
        <v>N/A</v>
      </c>
      <c r="O160" s="277" t="str">
        <f>IFERROR(IF($B160="N/A","N/A",IF(MOD(COLUMNS($H$151:O$151)-1,$E160)=0,$F160*$D160*$G160,)),)</f>
        <v>N/A</v>
      </c>
      <c r="P160" s="277" t="str">
        <f>IFERROR(IF($B160="N/A","N/A",IF(MOD(COLUMNS($H$151:P$151)-1,$E160)=0,$F160*$D160*$G160,)),)</f>
        <v>N/A</v>
      </c>
      <c r="Q160" s="277" t="str">
        <f>IFERROR(IF($B160="N/A","N/A",IF(MOD(COLUMNS($H$151:Q$151)-1,$E160)=0,$F160*$D160*$G160,)),)</f>
        <v>N/A</v>
      </c>
      <c r="R160" s="277" t="str">
        <f>IFERROR(IF($B160="N/A","N/A",IF(MOD(COLUMNS($H$151:R$151)-1,$E160)=0,$F160*$D160*$G160,)),)</f>
        <v>N/A</v>
      </c>
      <c r="S160" s="277" t="str">
        <f>IFERROR(IF($B160="N/A","N/A",IF(MOD(COLUMNS($H$151:S$151)-1,$E160)=0,$F160*$D160*$G160,)),)</f>
        <v>N/A</v>
      </c>
      <c r="T160" s="277" t="str">
        <f>IFERROR(IF($B160="N/A","N/A",IF(MOD(COLUMNS($H$151:T$151)-1,$E160)=0,$F160*$D160*$G160,)),)</f>
        <v>N/A</v>
      </c>
      <c r="U160" s="277" t="str">
        <f>IFERROR(IF($B160="N/A","N/A",IF(MOD(COLUMNS($H$151:U$151)-1,$E160)=0,$F160*$D160*$G160,)),)</f>
        <v>N/A</v>
      </c>
      <c r="V160" s="277" t="str">
        <f>IFERROR(IF($B160="N/A","N/A",IF(MOD(COLUMNS($H$151:V$151)-1,$E160)=0,$F160*$D160*$G160,)),)</f>
        <v>N/A</v>
      </c>
      <c r="W160" s="277" t="str">
        <f>IFERROR(IF($B160="N/A","N/A",IF(MOD(COLUMNS($H$151:W$151)-1,$E160)=0,$F160*$D160*$G160,)),)</f>
        <v>N/A</v>
      </c>
    </row>
    <row r="161" spans="2:23">
      <c r="B161" s="76" t="str">
        <f t="array" ref="B161">IF(COUNTIFS(INDEX(Equipment_Allocation_New,0,MATCH($C$107,Unit_codes,0)),"&gt;0")&lt;ROWS('2.2-Equipment input'!$X$8:$X17),"N/A",INDEX('2.2-Equipment input'!B:B,SMALL(IF(INDEX(Equipment_Allocation_New,0,MATCH($C$107,Unit_codes,0))&gt;0,ROW(equipment_ID)),ROW('2.2-Equipment input'!B10))))</f>
        <v>N/A</v>
      </c>
      <c r="C161" s="76" t="str">
        <f>IF($B161="N/A","N/A",INDEX(Equipment_name[],MATCH(B161,equipment_ID,0)))</f>
        <v>N/A</v>
      </c>
      <c r="D161" s="277" t="str">
        <f t="shared" si="19"/>
        <v>N/A</v>
      </c>
      <c r="E161" s="94" t="str">
        <f t="shared" si="20"/>
        <v>N/A</v>
      </c>
      <c r="F161" s="94" t="str">
        <f t="shared" si="21"/>
        <v>N/A</v>
      </c>
      <c r="G161" s="94" t="str">
        <f t="shared" si="22"/>
        <v>N/A</v>
      </c>
      <c r="H161" s="277" t="str">
        <f>IFERROR(IF($B161="N/A","N/A",IF(MOD(COLUMNS(H$151:$H$151)-1,$E161)=0,$F161*$D161*$G161,)),)</f>
        <v>N/A</v>
      </c>
      <c r="I161" s="277" t="str">
        <f>IFERROR(IF($B161="N/A","N/A",IF(MOD(COLUMNS($H$151:I$151)-1,$E161)=0,$F161*$D161*$G161,)),)</f>
        <v>N/A</v>
      </c>
      <c r="J161" s="277" t="str">
        <f>IFERROR(IF($B161="N/A","N/A",IF(MOD(COLUMNS($H$151:J$151)-1,$E161)=0,$F161*$D161*$G161,)),)</f>
        <v>N/A</v>
      </c>
      <c r="K161" s="277" t="str">
        <f>IFERROR(IF($B161="N/A","N/A",IF(MOD(COLUMNS($H$151:K$151)-1,$E161)=0,$F161*$D161*$G161,)),)</f>
        <v>N/A</v>
      </c>
      <c r="L161" s="277" t="str">
        <f>IFERROR(IF($B161="N/A","N/A",IF(MOD(COLUMNS($H$151:L$151)-1,$E161)=0,$F161*$D161*$G161,)),)</f>
        <v>N/A</v>
      </c>
      <c r="M161" s="277" t="str">
        <f>IFERROR(IF($B161="N/A","N/A",IF(MOD(COLUMNS($H$151:M$151)-1,$E161)=0,$F161*$D161*$G161,)),)</f>
        <v>N/A</v>
      </c>
      <c r="N161" s="277" t="str">
        <f>IFERROR(IF($B161="N/A","N/A",IF(MOD(COLUMNS($H$151:N$151)-1,$E161)=0,$F161*$D161*$G161,)),)</f>
        <v>N/A</v>
      </c>
      <c r="O161" s="277" t="str">
        <f>IFERROR(IF($B161="N/A","N/A",IF(MOD(COLUMNS($H$151:O$151)-1,$E161)=0,$F161*$D161*$G161,)),)</f>
        <v>N/A</v>
      </c>
      <c r="P161" s="277" t="str">
        <f>IFERROR(IF($B161="N/A","N/A",IF(MOD(COLUMNS($H$151:P$151)-1,$E161)=0,$F161*$D161*$G161,)),)</f>
        <v>N/A</v>
      </c>
      <c r="Q161" s="277" t="str">
        <f>IFERROR(IF($B161="N/A","N/A",IF(MOD(COLUMNS($H$151:Q$151)-1,$E161)=0,$F161*$D161*$G161,)),)</f>
        <v>N/A</v>
      </c>
      <c r="R161" s="277" t="str">
        <f>IFERROR(IF($B161="N/A","N/A",IF(MOD(COLUMNS($H$151:R$151)-1,$E161)=0,$F161*$D161*$G161,)),)</f>
        <v>N/A</v>
      </c>
      <c r="S161" s="277" t="str">
        <f>IFERROR(IF($B161="N/A","N/A",IF(MOD(COLUMNS($H$151:S$151)-1,$E161)=0,$F161*$D161*$G161,)),)</f>
        <v>N/A</v>
      </c>
      <c r="T161" s="277" t="str">
        <f>IFERROR(IF($B161="N/A","N/A",IF(MOD(COLUMNS($H$151:T$151)-1,$E161)=0,$F161*$D161*$G161,)),)</f>
        <v>N/A</v>
      </c>
      <c r="U161" s="277" t="str">
        <f>IFERROR(IF($B161="N/A","N/A",IF(MOD(COLUMNS($H$151:U$151)-1,$E161)=0,$F161*$D161*$G161,)),)</f>
        <v>N/A</v>
      </c>
      <c r="V161" s="277" t="str">
        <f>IFERROR(IF($B161="N/A","N/A",IF(MOD(COLUMNS($H$151:V$151)-1,$E161)=0,$F161*$D161*$G161,)),)</f>
        <v>N/A</v>
      </c>
      <c r="W161" s="277" t="str">
        <f>IFERROR(IF($B161="N/A","N/A",IF(MOD(COLUMNS($H$151:W$151)-1,$E161)=0,$F161*$D161*$G161,)),)</f>
        <v>N/A</v>
      </c>
    </row>
    <row r="162" spans="2:23">
      <c r="B162" s="76" t="str">
        <f t="array" ref="B162">IF(COUNTIFS(INDEX(Equipment_Allocation_New,0,MATCH($C$107,Unit_codes,0)),"&gt;0")&lt;ROWS('2.2-Equipment input'!$X$8:$X18),"N/A",INDEX('2.2-Equipment input'!B:B,SMALL(IF(INDEX(Equipment_Allocation_New,0,MATCH($C$107,Unit_codes,0))&gt;0,ROW(equipment_ID)),ROW('2.2-Equipment input'!B11))))</f>
        <v>N/A</v>
      </c>
      <c r="C162" s="76" t="str">
        <f>IF($B162="N/A","N/A",INDEX(Equipment_name[],MATCH(B162,equipment_ID,0)))</f>
        <v>N/A</v>
      </c>
      <c r="D162" s="277" t="str">
        <f t="shared" si="19"/>
        <v>N/A</v>
      </c>
      <c r="E162" s="94" t="str">
        <f t="shared" si="20"/>
        <v>N/A</v>
      </c>
      <c r="F162" s="94" t="str">
        <f t="shared" si="21"/>
        <v>N/A</v>
      </c>
      <c r="G162" s="94" t="str">
        <f t="shared" si="22"/>
        <v>N/A</v>
      </c>
      <c r="H162" s="277" t="str">
        <f>IFERROR(IF($B162="N/A","N/A",IF(MOD(COLUMNS(H$151:$H$151)-1,$E162)=0,$F162*$D162*$G162,)),)</f>
        <v>N/A</v>
      </c>
      <c r="I162" s="277" t="str">
        <f>IFERROR(IF($B162="N/A","N/A",IF(MOD(COLUMNS($H$151:I$151)-1,$E162)=0,$F162*$D162*$G162,)),)</f>
        <v>N/A</v>
      </c>
      <c r="J162" s="277" t="str">
        <f>IFERROR(IF($B162="N/A","N/A",IF(MOD(COLUMNS($H$151:J$151)-1,$E162)=0,$F162*$D162*$G162,)),)</f>
        <v>N/A</v>
      </c>
      <c r="K162" s="277" t="str">
        <f>IFERROR(IF($B162="N/A","N/A",IF(MOD(COLUMNS($H$151:K$151)-1,$E162)=0,$F162*$D162*$G162,)),)</f>
        <v>N/A</v>
      </c>
      <c r="L162" s="277" t="str">
        <f>IFERROR(IF($B162="N/A","N/A",IF(MOD(COLUMNS($H$151:L$151)-1,$E162)=0,$F162*$D162*$G162,)),)</f>
        <v>N/A</v>
      </c>
      <c r="M162" s="277" t="str">
        <f>IFERROR(IF($B162="N/A","N/A",IF(MOD(COLUMNS($H$151:M$151)-1,$E162)=0,$F162*$D162*$G162,)),)</f>
        <v>N/A</v>
      </c>
      <c r="N162" s="277" t="str">
        <f>IFERROR(IF($B162="N/A","N/A",IF(MOD(COLUMNS($H$151:N$151)-1,$E162)=0,$F162*$D162*$G162,)),)</f>
        <v>N/A</v>
      </c>
      <c r="O162" s="277" t="str">
        <f>IFERROR(IF($B162="N/A","N/A",IF(MOD(COLUMNS($H$151:O$151)-1,$E162)=0,$F162*$D162*$G162,)),)</f>
        <v>N/A</v>
      </c>
      <c r="P162" s="277" t="str">
        <f>IFERROR(IF($B162="N/A","N/A",IF(MOD(COLUMNS($H$151:P$151)-1,$E162)=0,$F162*$D162*$G162,)),)</f>
        <v>N/A</v>
      </c>
      <c r="Q162" s="277" t="str">
        <f>IFERROR(IF($B162="N/A","N/A",IF(MOD(COLUMNS($H$151:Q$151)-1,$E162)=0,$F162*$D162*$G162,)),)</f>
        <v>N/A</v>
      </c>
      <c r="R162" s="277" t="str">
        <f>IFERROR(IF($B162="N/A","N/A",IF(MOD(COLUMNS($H$151:R$151)-1,$E162)=0,$F162*$D162*$G162,)),)</f>
        <v>N/A</v>
      </c>
      <c r="S162" s="277" t="str">
        <f>IFERROR(IF($B162="N/A","N/A",IF(MOD(COLUMNS($H$151:S$151)-1,$E162)=0,$F162*$D162*$G162,)),)</f>
        <v>N/A</v>
      </c>
      <c r="T162" s="277" t="str">
        <f>IFERROR(IF($B162="N/A","N/A",IF(MOD(COLUMNS($H$151:T$151)-1,$E162)=0,$F162*$D162*$G162,)),)</f>
        <v>N/A</v>
      </c>
      <c r="U162" s="277" t="str">
        <f>IFERROR(IF($B162="N/A","N/A",IF(MOD(COLUMNS($H$151:U$151)-1,$E162)=0,$F162*$D162*$G162,)),)</f>
        <v>N/A</v>
      </c>
      <c r="V162" s="277" t="str">
        <f>IFERROR(IF($B162="N/A","N/A",IF(MOD(COLUMNS($H$151:V$151)-1,$E162)=0,$F162*$D162*$G162,)),)</f>
        <v>N/A</v>
      </c>
      <c r="W162" s="277" t="str">
        <f>IFERROR(IF($B162="N/A","N/A",IF(MOD(COLUMNS($H$151:W$151)-1,$E162)=0,$F162*$D162*$G162,)),)</f>
        <v>N/A</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19"/>
        <v>N/A</v>
      </c>
      <c r="E163" s="94" t="str">
        <f t="shared" si="20"/>
        <v>N/A</v>
      </c>
      <c r="F163" s="94" t="str">
        <f t="shared" si="21"/>
        <v>N/A</v>
      </c>
      <c r="G163" s="94" t="str">
        <f t="shared" si="22"/>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19"/>
        <v>N/A</v>
      </c>
      <c r="E164" s="94" t="str">
        <f t="shared" si="20"/>
        <v>N/A</v>
      </c>
      <c r="F164" s="94" t="str">
        <f t="shared" si="21"/>
        <v>N/A</v>
      </c>
      <c r="G164" s="94" t="str">
        <f t="shared" si="22"/>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19"/>
        <v>N/A</v>
      </c>
      <c r="E165" s="94" t="str">
        <f t="shared" si="20"/>
        <v>N/A</v>
      </c>
      <c r="F165" s="94" t="str">
        <f t="shared" si="21"/>
        <v>N/A</v>
      </c>
      <c r="G165" s="94" t="str">
        <f t="shared" si="22"/>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19"/>
        <v>N/A</v>
      </c>
      <c r="E166" s="94" t="str">
        <f t="shared" si="20"/>
        <v>N/A</v>
      </c>
      <c r="F166" s="94" t="str">
        <f t="shared" si="21"/>
        <v>N/A</v>
      </c>
      <c r="G166" s="94" t="str">
        <f t="shared" si="22"/>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19"/>
        <v>N/A</v>
      </c>
      <c r="E167" s="94" t="str">
        <f t="shared" si="20"/>
        <v>N/A</v>
      </c>
      <c r="F167" s="94" t="str">
        <f t="shared" si="21"/>
        <v>N/A</v>
      </c>
      <c r="G167" s="94" t="str">
        <f t="shared" si="22"/>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19"/>
        <v>N/A</v>
      </c>
      <c r="E168" s="94" t="str">
        <f t="shared" si="20"/>
        <v>N/A</v>
      </c>
      <c r="F168" s="94" t="str">
        <f t="shared" si="21"/>
        <v>N/A</v>
      </c>
      <c r="G168" s="94" t="str">
        <f t="shared" si="22"/>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19"/>
        <v>N/A</v>
      </c>
      <c r="E169" s="94" t="str">
        <f t="shared" si="20"/>
        <v>N/A</v>
      </c>
      <c r="F169" s="94" t="str">
        <f t="shared" si="21"/>
        <v>N/A</v>
      </c>
      <c r="G169" s="94" t="str">
        <f t="shared" si="22"/>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19"/>
        <v>N/A</v>
      </c>
      <c r="E170" s="94" t="str">
        <f t="shared" si="20"/>
        <v>N/A</v>
      </c>
      <c r="F170" s="94" t="str">
        <f t="shared" si="21"/>
        <v>N/A</v>
      </c>
      <c r="G170" s="94" t="str">
        <f t="shared" si="22"/>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19"/>
        <v>N/A</v>
      </c>
      <c r="E171" s="94" t="str">
        <f t="shared" si="20"/>
        <v>N/A</v>
      </c>
      <c r="F171" s="94" t="str">
        <f t="shared" si="21"/>
        <v>N/A</v>
      </c>
      <c r="G171" s="94" t="str">
        <f t="shared" si="22"/>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94" t="str">
        <f t="shared" si="21"/>
        <v>N/A</v>
      </c>
      <c r="G172" s="94"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94" t="str">
        <f t="shared" si="21"/>
        <v>N/A</v>
      </c>
      <c r="G173" s="94"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94" t="str">
        <f t="shared" si="21"/>
        <v>N/A</v>
      </c>
      <c r="G174" s="94"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94" t="str">
        <f t="shared" si="21"/>
        <v>N/A</v>
      </c>
      <c r="G175" s="94"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94" t="str">
        <f t="shared" si="21"/>
        <v>N/A</v>
      </c>
      <c r="G176" s="94"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94" t="str">
        <f t="shared" si="21"/>
        <v>N/A</v>
      </c>
      <c r="G177" s="94"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94" t="str">
        <f t="shared" si="21"/>
        <v>N/A</v>
      </c>
      <c r="G178" s="94"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94" t="str">
        <f t="shared" si="21"/>
        <v>N/A</v>
      </c>
      <c r="G179" s="94"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94" t="str">
        <f t="shared" si="21"/>
        <v>N/A</v>
      </c>
      <c r="G180" s="94"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94" t="str">
        <f t="shared" si="21"/>
        <v>N/A</v>
      </c>
      <c r="G181" s="94"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94" t="str">
        <f t="shared" si="21"/>
        <v>N/A</v>
      </c>
      <c r="G182" s="94"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94" t="str">
        <f t="shared" si="21"/>
        <v>N/A</v>
      </c>
      <c r="G183" s="94"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94" t="str">
        <f t="shared" si="21"/>
        <v>N/A</v>
      </c>
      <c r="G184" s="94"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94" t="str">
        <f t="shared" si="21"/>
        <v>N/A</v>
      </c>
      <c r="G185" s="94"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94" t="str">
        <f t="shared" si="21"/>
        <v>N/A</v>
      </c>
      <c r="G186" s="94"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94" t="str">
        <f t="shared" si="21"/>
        <v>N/A</v>
      </c>
      <c r="G187" s="94"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94" t="str">
        <f t="shared" si="21"/>
        <v>N/A</v>
      </c>
      <c r="G188" s="94"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94" t="str">
        <f t="shared" si="21"/>
        <v>N/A</v>
      </c>
      <c r="G189" s="94"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O+VfzfjqFk+SLYi58uu6U0ocYtW1yntpFI9r0X25kCZKkIdTxzpSoYK3FGwt8gE/jlCBfioVak+f1DCYdIYXsA==" saltValue="Bh3RH4iYbQ0o8WQ2UazQZw==" spinCount="100000" sheet="1" objects="1" scenarios="1"/>
  <mergeCells count="6">
    <mergeCell ref="C80:D80"/>
    <mergeCell ref="B43:D43"/>
    <mergeCell ref="B33:D33"/>
    <mergeCell ref="C48:D48"/>
    <mergeCell ref="C49:D49"/>
    <mergeCell ref="C79:D79"/>
  </mergeCells>
  <conditionalFormatting sqref="B110:C147">
    <cfRule type="containsText" dxfId="732" priority="127" operator="containsText" text="N/A">
      <formula>NOT(ISERROR(SEARCH("N/A",B110)))</formula>
    </cfRule>
  </conditionalFormatting>
  <conditionalFormatting sqref="E110:E147">
    <cfRule type="containsText" dxfId="731" priority="126" operator="containsText" text="N/A">
      <formula>NOT(ISERROR(SEARCH("N/A",E110)))</formula>
    </cfRule>
  </conditionalFormatting>
  <conditionalFormatting sqref="B52:B74 E52:E74">
    <cfRule type="containsText" dxfId="730" priority="125" operator="containsText" text="N/A">
      <formula>NOT(ISERROR(SEARCH("N/A",B52)))</formula>
    </cfRule>
  </conditionalFormatting>
  <conditionalFormatting sqref="C52:C74">
    <cfRule type="containsText" dxfId="729" priority="124" operator="containsText" text="N/A">
      <formula>NOT(ISERROR(SEARCH("N/A",C52)))</formula>
    </cfRule>
  </conditionalFormatting>
  <conditionalFormatting sqref="F52:F74">
    <cfRule type="containsText" dxfId="728" priority="122" operator="containsText" text="N/A">
      <formula>NOT(ISERROR(SEARCH("N/A",F52)))</formula>
    </cfRule>
  </conditionalFormatting>
  <conditionalFormatting sqref="B83:B103 E83:E103">
    <cfRule type="containsText" dxfId="727" priority="121" operator="containsText" text="N/A">
      <formula>NOT(ISERROR(SEARCH("N/A",B83)))</formula>
    </cfRule>
  </conditionalFormatting>
  <conditionalFormatting sqref="C83:C103">
    <cfRule type="containsText" dxfId="726" priority="120" operator="containsText" text="N/A">
      <formula>NOT(ISERROR(SEARCH("N/A",C83)))</formula>
    </cfRule>
  </conditionalFormatting>
  <conditionalFormatting sqref="F83:F103">
    <cfRule type="containsText" dxfId="725" priority="118" operator="containsText" text="N/A">
      <formula>NOT(ISERROR(SEARCH("N/A",F83)))</formula>
    </cfRule>
  </conditionalFormatting>
  <conditionalFormatting sqref="F110:F147">
    <cfRule type="containsText" dxfId="724" priority="112" operator="containsText" text="N/A">
      <formula>NOT(ISERROR(SEARCH("N/A",F110)))</formula>
    </cfRule>
  </conditionalFormatting>
  <conditionalFormatting sqref="B20:D31">
    <cfRule type="containsText" dxfId="723" priority="116" operator="containsText" text="N/A">
      <formula>NOT(ISERROR(SEARCH("N/A",B20)))</formula>
    </cfRule>
  </conditionalFormatting>
  <conditionalFormatting sqref="G110:G147">
    <cfRule type="containsText" dxfId="722" priority="115" operator="containsText" text="N/A">
      <formula>NOT(ISERROR(SEARCH("N/A",G110)))</formula>
    </cfRule>
  </conditionalFormatting>
  <conditionalFormatting sqref="I110:I147">
    <cfRule type="containsText" dxfId="721" priority="114" operator="containsText" text="N/A">
      <formula>NOT(ISERROR(SEARCH("N/A",I110)))</formula>
    </cfRule>
  </conditionalFormatting>
  <conditionalFormatting sqref="K110:K147">
    <cfRule type="containsText" dxfId="720" priority="113" operator="containsText" text="N/A">
      <formula>NOT(ISERROR(SEARCH("N/A",K110)))</formula>
    </cfRule>
  </conditionalFormatting>
  <conditionalFormatting sqref="B152:B189">
    <cfRule type="containsText" dxfId="719" priority="110" operator="containsText" text="N/A">
      <formula>NOT(ISERROR(SEARCH("N/A",B152)))</formula>
    </cfRule>
  </conditionalFormatting>
  <conditionalFormatting sqref="C152:C189">
    <cfRule type="containsText" dxfId="718" priority="109" operator="containsText" text="N/A">
      <formula>NOT(ISERROR(SEARCH("N/A",C152)))</formula>
    </cfRule>
  </conditionalFormatting>
  <conditionalFormatting sqref="F152:F189">
    <cfRule type="containsText" dxfId="717" priority="108" operator="containsText" text="N/A">
      <formula>NOT(ISERROR(SEARCH("N/A",F152)))</formula>
    </cfRule>
  </conditionalFormatting>
  <conditionalFormatting sqref="E152:E189">
    <cfRule type="containsText" dxfId="716" priority="106" operator="containsText" text="N/A">
      <formula>NOT(ISERROR(SEARCH("N/A",E152)))</formula>
    </cfRule>
  </conditionalFormatting>
  <conditionalFormatting sqref="H153:W189 I152:W152">
    <cfRule type="containsText" dxfId="715" priority="101" operator="containsText" text="N/A">
      <formula>NOT(ISERROR(SEARCH("N/A",H152)))</formula>
    </cfRule>
  </conditionalFormatting>
  <conditionalFormatting sqref="G152:G189">
    <cfRule type="containsText" dxfId="714" priority="98" operator="containsText" text="N/A">
      <formula>NOT(ISERROR(SEARCH("N/A",G152)))</formula>
    </cfRule>
  </conditionalFormatting>
  <conditionalFormatting sqref="E20:E31">
    <cfRule type="containsText" dxfId="713" priority="96" operator="containsText" text="N/A">
      <formula>NOT(ISERROR(SEARCH("N/A",E20)))</formula>
    </cfRule>
  </conditionalFormatting>
  <conditionalFormatting sqref="P110:P147">
    <cfRule type="containsText" dxfId="712" priority="95" operator="containsText" text="N/A">
      <formula>NOT(ISERROR(SEARCH("N/A",P110)))</formula>
    </cfRule>
  </conditionalFormatting>
  <conditionalFormatting sqref="O110:O147">
    <cfRule type="containsText" dxfId="711" priority="94" operator="containsText" text="N/A">
      <formula>NOT(ISERROR(SEARCH("N/A",O110)))</formula>
    </cfRule>
  </conditionalFormatting>
  <conditionalFormatting sqref="F39:F41">
    <cfRule type="expression" dxfId="710" priority="82">
      <formula>IF(INDIRECT("General_Currency_Selection")="CHF",TRUE)</formula>
    </cfRule>
    <cfRule type="expression" dxfId="709" priority="83">
      <formula>IF(INDIRECT("General_Currency_Selection")="EUR",TRUE)</formula>
    </cfRule>
    <cfRule type="expression" dxfId="708" priority="84">
      <formula>IF(INDIRECT("General_Currency_Selection")="USD",TRUE)</formula>
    </cfRule>
  </conditionalFormatting>
  <conditionalFormatting sqref="E39:E41">
    <cfRule type="expression" dxfId="707" priority="79">
      <formula>IF(INDIRECT("General_Currency_Selection")="CHF",TRUE)</formula>
    </cfRule>
    <cfRule type="expression" dxfId="706" priority="80">
      <formula>IF(INDIRECT("General_Currency_Selection")="EUR",TRUE)</formula>
    </cfRule>
    <cfRule type="expression" dxfId="705" priority="81">
      <formula>IF(INDIRECT("General_Currency_Selection")="USD",TRUE)</formula>
    </cfRule>
  </conditionalFormatting>
  <conditionalFormatting sqref="E43:F43">
    <cfRule type="expression" dxfId="704" priority="76">
      <formula>IF(INDIRECT("General_Currency_Selection")="CHF",TRUE)</formula>
    </cfRule>
    <cfRule type="expression" dxfId="703" priority="77">
      <formula>IF(INDIRECT("General_Currency_Selection")="EUR",TRUE)</formula>
    </cfRule>
    <cfRule type="expression" dxfId="702" priority="78">
      <formula>IF(INDIRECT("General_Currency_Selection")="USD",TRUE)</formula>
    </cfRule>
  </conditionalFormatting>
  <conditionalFormatting sqref="G35">
    <cfRule type="expression" dxfId="701" priority="73">
      <formula>IF(INDIRECT("General_Currency_Selection")="CHF",TRUE)</formula>
    </cfRule>
    <cfRule type="expression" dxfId="700" priority="74">
      <formula>IF(INDIRECT("General_Currency_Selection")="EUR",TRUE)</formula>
    </cfRule>
    <cfRule type="expression" dxfId="699" priority="75">
      <formula>IF(INDIRECT("General_Currency_Selection")="USD",TRUE)</formula>
    </cfRule>
  </conditionalFormatting>
  <conditionalFormatting sqref="G15">
    <cfRule type="expression" dxfId="698" priority="70">
      <formula>IF(INDIRECT("General_Currency_Selection")="CHF",TRUE)</formula>
    </cfRule>
    <cfRule type="expression" dxfId="697" priority="71">
      <formula>IF(INDIRECT("General_Currency_Selection")="EUR",TRUE)</formula>
    </cfRule>
    <cfRule type="expression" dxfId="696" priority="72">
      <formula>IF(INDIRECT("General_Currency_Selection")="USD",TRUE)</formula>
    </cfRule>
  </conditionalFormatting>
  <conditionalFormatting sqref="G45">
    <cfRule type="expression" dxfId="695" priority="67">
      <formula>IF(INDIRECT("General_Currency_Selection")="CHF",TRUE)</formula>
    </cfRule>
    <cfRule type="expression" dxfId="694" priority="68">
      <formula>IF(INDIRECT("General_Currency_Selection")="EUR",TRUE)</formula>
    </cfRule>
    <cfRule type="expression" dxfId="693" priority="69">
      <formula>IF(INDIRECT("General_Currency_Selection")="USD",TRUE)</formula>
    </cfRule>
  </conditionalFormatting>
  <conditionalFormatting sqref="F20:F31">
    <cfRule type="expression" dxfId="692" priority="64">
      <formula>IF(INDIRECT("General_Currency_Selection")="CHF",TRUE)</formula>
    </cfRule>
    <cfRule type="expression" dxfId="691" priority="65">
      <formula>IF(INDIRECT("General_Currency_Selection")="EUR",TRUE)</formula>
    </cfRule>
    <cfRule type="expression" dxfId="690" priority="66">
      <formula>IF(INDIRECT("General_Currency_Selection")="USD",TRUE)</formula>
    </cfRule>
  </conditionalFormatting>
  <conditionalFormatting sqref="E33">
    <cfRule type="expression" dxfId="689" priority="61">
      <formula>IF(INDIRECT("General_Currency_Selection")="CHF",TRUE)</formula>
    </cfRule>
    <cfRule type="expression" dxfId="688" priority="62">
      <formula>IF(INDIRECT("General_Currency_Selection")="EUR",TRUE)</formula>
    </cfRule>
    <cfRule type="expression" dxfId="687" priority="63">
      <formula>IF(INDIRECT("General_Currency_Selection")="USD",TRUE)</formula>
    </cfRule>
  </conditionalFormatting>
  <conditionalFormatting sqref="D52:D74">
    <cfRule type="expression" dxfId="686" priority="58">
      <formula>IF(INDIRECT("General_Currency_Selection")="CHF",TRUE)</formula>
    </cfRule>
    <cfRule type="expression" dxfId="685" priority="59">
      <formula>IF(INDIRECT("General_Currency_Selection")="EUR",TRUE)</formula>
    </cfRule>
    <cfRule type="expression" dxfId="684" priority="60">
      <formula>IF(INDIRECT("General_Currency_Selection")="USD",TRUE)</formula>
    </cfRule>
  </conditionalFormatting>
  <conditionalFormatting sqref="G52:G74">
    <cfRule type="expression" dxfId="683" priority="55">
      <formula>IF(INDIRECT("General_Currency_Selection")="CHF",TRUE)</formula>
    </cfRule>
    <cfRule type="expression" dxfId="682" priority="56">
      <formula>IF(INDIRECT("General_Currency_Selection")="EUR",TRUE)</formula>
    </cfRule>
    <cfRule type="expression" dxfId="681" priority="57">
      <formula>IF(INDIRECT("General_Currency_Selection")="USD",TRUE)</formula>
    </cfRule>
  </conditionalFormatting>
  <conditionalFormatting sqref="G76">
    <cfRule type="expression" dxfId="680" priority="52">
      <formula>IF(INDIRECT("General_Currency_Selection")="CHF",TRUE)</formula>
    </cfRule>
    <cfRule type="expression" dxfId="679" priority="53">
      <formula>IF(INDIRECT("General_Currency_Selection")="EUR",TRUE)</formula>
    </cfRule>
    <cfRule type="expression" dxfId="678" priority="54">
      <formula>IF(INDIRECT("General_Currency_Selection")="USD",TRUE)</formula>
    </cfRule>
  </conditionalFormatting>
  <conditionalFormatting sqref="D83:D103">
    <cfRule type="expression" dxfId="677" priority="49">
      <formula>IF(INDIRECT("General_Currency_Selection")="CHF",TRUE)</formula>
    </cfRule>
    <cfRule type="expression" dxfId="676" priority="50">
      <formula>IF(INDIRECT("General_Currency_Selection")="EUR",TRUE)</formula>
    </cfRule>
    <cfRule type="expression" dxfId="675" priority="51">
      <formula>IF(INDIRECT("General_Currency_Selection")="USD",TRUE)</formula>
    </cfRule>
  </conditionalFormatting>
  <conditionalFormatting sqref="G83:G103">
    <cfRule type="expression" dxfId="674" priority="46">
      <formula>IF(INDIRECT("General_Currency_Selection")="CHF",TRUE)</formula>
    </cfRule>
    <cfRule type="expression" dxfId="673" priority="47">
      <formula>IF(INDIRECT("General_Currency_Selection")="EUR",TRUE)</formula>
    </cfRule>
    <cfRule type="expression" dxfId="672" priority="48">
      <formula>IF(INDIRECT("General_Currency_Selection")="USD",TRUE)</formula>
    </cfRule>
  </conditionalFormatting>
  <conditionalFormatting sqref="G105">
    <cfRule type="expression" dxfId="671" priority="43">
      <formula>IF(INDIRECT("General_Currency_Selection")="CHF",TRUE)</formula>
    </cfRule>
    <cfRule type="expression" dxfId="670" priority="44">
      <formula>IF(INDIRECT("General_Currency_Selection")="EUR",TRUE)</formula>
    </cfRule>
    <cfRule type="expression" dxfId="669" priority="45">
      <formula>IF(INDIRECT("General_Currency_Selection")="USD",TRUE)</formula>
    </cfRule>
  </conditionalFormatting>
  <conditionalFormatting sqref="D110:D147">
    <cfRule type="expression" dxfId="668" priority="40">
      <formula>IF(INDIRECT("General_Currency_Selection")="CHF",TRUE)</formula>
    </cfRule>
    <cfRule type="expression" dxfId="667" priority="41">
      <formula>IF(INDIRECT("General_Currency_Selection")="EUR",TRUE)</formula>
    </cfRule>
    <cfRule type="expression" dxfId="666" priority="42">
      <formula>IF(INDIRECT("General_Currency_Selection")="USD",TRUE)</formula>
    </cfRule>
  </conditionalFormatting>
  <conditionalFormatting sqref="N110:N147">
    <cfRule type="expression" dxfId="665" priority="37">
      <formula>IF(INDIRECT("General_Currency_Selection")="CHF",TRUE)</formula>
    </cfRule>
    <cfRule type="expression" dxfId="664" priority="38">
      <formula>IF(INDIRECT("General_Currency_Selection")="EUR",TRUE)</formula>
    </cfRule>
    <cfRule type="expression" dxfId="663" priority="39">
      <formula>IF(INDIRECT("General_Currency_Selection")="USD",TRUE)</formula>
    </cfRule>
  </conditionalFormatting>
  <conditionalFormatting sqref="D152:D189">
    <cfRule type="expression" dxfId="662" priority="34">
      <formula>IF(INDIRECT("General_Currency_Selection")="CHF",TRUE)</formula>
    </cfRule>
    <cfRule type="expression" dxfId="661" priority="35">
      <formula>IF(INDIRECT("General_Currency_Selection")="EUR",TRUE)</formula>
    </cfRule>
    <cfRule type="expression" dxfId="660" priority="36">
      <formula>IF(INDIRECT("General_Currency_Selection")="USD",TRUE)</formula>
    </cfRule>
  </conditionalFormatting>
  <conditionalFormatting sqref="H149:W149">
    <cfRule type="expression" dxfId="659" priority="31">
      <formula>IF(INDIRECT("General_Currency_Selection")="CHF",TRUE)</formula>
    </cfRule>
    <cfRule type="expression" dxfId="658" priority="32">
      <formula>IF(INDIRECT("General_Currency_Selection")="EUR",TRUE)</formula>
    </cfRule>
    <cfRule type="expression" dxfId="657" priority="33">
      <formula>IF(INDIRECT("General_Currency_Selection")="USD",TRUE)</formula>
    </cfRule>
  </conditionalFormatting>
  <conditionalFormatting sqref="H152:W189">
    <cfRule type="expression" dxfId="656" priority="28">
      <formula>IF(INDIRECT("General_Currency_Selection")="CHF",TRUE)</formula>
    </cfRule>
    <cfRule type="expression" dxfId="655" priority="29">
      <formula>IF(INDIRECT("General_Currency_Selection")="EUR",TRUE)</formula>
    </cfRule>
    <cfRule type="expression" dxfId="654" priority="30">
      <formula>IF(INDIRECT("General_Currency_Selection")="USD",TRUE)</formula>
    </cfRule>
  </conditionalFormatting>
  <conditionalFormatting sqref="H110:H147">
    <cfRule type="expression" dxfId="653" priority="7">
      <formula>IF(INDIRECT("General_Currency_Selection")="CHF",TRUE)</formula>
    </cfRule>
    <cfRule type="expression" dxfId="652" priority="8">
      <formula>IF(INDIRECT("General_Currency_Selection")="EUR",TRUE)</formula>
    </cfRule>
    <cfRule type="expression" dxfId="651" priority="9">
      <formula>IF(INDIRECT("General_Currency_Selection")="USD",TRUE)</formula>
    </cfRule>
  </conditionalFormatting>
  <conditionalFormatting sqref="J110:J147">
    <cfRule type="expression" dxfId="650" priority="4">
      <formula>IF(INDIRECT("General_Currency_Selection")="CHF",TRUE)</formula>
    </cfRule>
    <cfRule type="expression" dxfId="649" priority="5">
      <formula>IF(INDIRECT("General_Currency_Selection")="EUR",TRUE)</formula>
    </cfRule>
    <cfRule type="expression" dxfId="648" priority="6">
      <formula>IF(INDIRECT("General_Currency_Selection")="USD",TRUE)</formula>
    </cfRule>
  </conditionalFormatting>
  <conditionalFormatting sqref="L110:L147">
    <cfRule type="expression" dxfId="647" priority="1">
      <formula>IF(INDIRECT("General_Currency_Selection")="CHF",TRUE)</formula>
    </cfRule>
    <cfRule type="expression" dxfId="646" priority="2">
      <formula>IF(INDIRECT("General_Currency_Selection")="EUR",TRUE)</formula>
    </cfRule>
    <cfRule type="expression" dxfId="645"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79998168889431442"/>
  </sheetPr>
  <dimension ref="B1:W189"/>
  <sheetViews>
    <sheetView zoomScale="70" zoomScaleNormal="70" workbookViewId="0">
      <selection activeCell="F5" sqref="F5"/>
    </sheetView>
  </sheetViews>
  <sheetFormatPr defaultColWidth="11.140625" defaultRowHeight="15"/>
  <cols>
    <col min="1" max="1" width="0.85546875" style="12" customWidth="1"/>
    <col min="2" max="2" width="13.85546875" style="12" customWidth="1"/>
    <col min="3" max="3" width="18.42578125" style="12" customWidth="1"/>
    <col min="4" max="4" width="20.42578125" style="12" customWidth="1"/>
    <col min="5" max="5" width="17.85546875" style="12" customWidth="1"/>
    <col min="6" max="6" width="25.42578125" style="12" customWidth="1"/>
    <col min="7" max="23" width="16.5703125" style="12" customWidth="1"/>
    <col min="24" max="16384" width="11.140625" style="12"/>
  </cols>
  <sheetData>
    <row r="1" spans="2:16" ht="21">
      <c r="B1" s="1" t="s">
        <v>98</v>
      </c>
      <c r="C1" s="6"/>
    </row>
    <row r="2" spans="2:16" ht="15.75" thickBot="1"/>
    <row r="3" spans="2:16" ht="18.75">
      <c r="B3" s="64" t="s">
        <v>0</v>
      </c>
      <c r="C3" s="61"/>
      <c r="D3" s="61"/>
      <c r="E3" s="61"/>
      <c r="F3" s="61"/>
      <c r="G3" s="61"/>
      <c r="H3" s="61"/>
      <c r="I3" s="61"/>
      <c r="J3" s="61"/>
      <c r="K3" s="61"/>
      <c r="L3" s="61"/>
      <c r="M3" s="61"/>
      <c r="N3" s="61"/>
      <c r="O3" s="61"/>
      <c r="P3" s="61"/>
    </row>
    <row r="4" spans="2:16" ht="15.75">
      <c r="B4" s="67"/>
    </row>
    <row r="12" spans="2:16" ht="15.75">
      <c r="B12" s="105" t="s">
        <v>70</v>
      </c>
      <c r="C12" s="105" t="s">
        <v>71</v>
      </c>
      <c r="E12" s="67"/>
    </row>
    <row r="13" spans="2:16">
      <c r="B13" s="126" t="s">
        <v>108</v>
      </c>
      <c r="C13" s="125">
        <f>General_FreshLarvae_TotalProd+General_Residue_TotalProd</f>
        <v>1311.0966831039509</v>
      </c>
    </row>
    <row r="14" spans="2:16" ht="15.75" thickBot="1"/>
    <row r="15" spans="2:16" ht="30.75">
      <c r="B15" s="2" t="s">
        <v>73</v>
      </c>
      <c r="C15" s="110"/>
      <c r="D15" s="61"/>
      <c r="E15" s="61"/>
      <c r="F15" s="108" t="s">
        <v>128</v>
      </c>
      <c r="G15" s="288">
        <f>E33*C13*1000</f>
        <v>0</v>
      </c>
      <c r="H15" s="61"/>
      <c r="I15" s="61"/>
      <c r="J15" s="61"/>
      <c r="K15" s="61"/>
      <c r="L15" s="61"/>
      <c r="M15" s="61"/>
      <c r="N15" s="61"/>
      <c r="O15" s="61"/>
      <c r="P15" s="61"/>
    </row>
    <row r="16" spans="2:16" ht="15.75">
      <c r="B16" s="67" t="s">
        <v>441</v>
      </c>
      <c r="I16" s="24"/>
      <c r="J16" s="24"/>
      <c r="K16" s="24"/>
      <c r="L16" s="24"/>
      <c r="M16" s="24"/>
      <c r="N16" s="24"/>
    </row>
    <row r="17" spans="2:16">
      <c r="B17" s="105" t="s">
        <v>78</v>
      </c>
      <c r="C17" s="86" t="s">
        <v>65</v>
      </c>
      <c r="I17" s="24"/>
      <c r="J17" s="24"/>
      <c r="K17" s="24"/>
      <c r="L17" s="24"/>
      <c r="M17" s="24"/>
      <c r="N17" s="24"/>
    </row>
    <row r="18" spans="2:16">
      <c r="I18" s="24"/>
      <c r="J18" s="302"/>
      <c r="K18" s="121"/>
      <c r="L18" s="121"/>
      <c r="M18" s="24"/>
      <c r="N18" s="24"/>
    </row>
    <row r="19" spans="2:16">
      <c r="B19" s="115" t="s">
        <v>416</v>
      </c>
      <c r="C19" s="115" t="s">
        <v>417</v>
      </c>
      <c r="D19" s="105" t="s">
        <v>916</v>
      </c>
      <c r="E19" s="105" t="s">
        <v>109</v>
      </c>
      <c r="F19" s="105" t="s">
        <v>649</v>
      </c>
      <c r="G19" s="127"/>
      <c r="H19" s="127"/>
      <c r="I19" s="24"/>
      <c r="J19" s="303"/>
      <c r="K19" s="121"/>
      <c r="L19" s="121"/>
      <c r="M19" s="142"/>
      <c r="N19" s="142"/>
      <c r="O19" s="301"/>
      <c r="P19" s="63"/>
    </row>
    <row r="20" spans="2:16">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93" t="str">
        <f t="shared" ref="E20:E31" si="2">IF($B20="N/A","N/A",INDEX(Material_Unit_Price,MATCH($B20,Material_Code,0)))</f>
        <v>N/A</v>
      </c>
      <c r="F20" s="277" t="str">
        <f>IFERROR(E20*D20,"")</f>
        <v/>
      </c>
      <c r="I20" s="24"/>
      <c r="J20" s="128"/>
      <c r="K20" s="121"/>
      <c r="L20" s="121"/>
      <c r="M20" s="24"/>
      <c r="N20" s="24"/>
    </row>
    <row r="21" spans="2:16">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93" t="str">
        <f t="shared" si="2"/>
        <v>N/A</v>
      </c>
      <c r="F21" s="277" t="str">
        <f t="shared" ref="F21:F31" si="3">IFERROR(E21*D21,"")</f>
        <v/>
      </c>
      <c r="I21" s="24"/>
      <c r="J21" s="128"/>
      <c r="K21" s="121"/>
      <c r="L21" s="121"/>
      <c r="M21" s="24"/>
      <c r="N21" s="24"/>
    </row>
    <row r="22" spans="2:16">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93" t="str">
        <f t="shared" si="2"/>
        <v>N/A</v>
      </c>
      <c r="F22" s="277" t="str">
        <f t="shared" si="3"/>
        <v/>
      </c>
      <c r="I22" s="24"/>
      <c r="J22" s="128"/>
      <c r="K22" s="121"/>
      <c r="L22" s="121"/>
      <c r="M22" s="24"/>
      <c r="N22" s="24"/>
    </row>
    <row r="23" spans="2:16">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c r="I23" s="24"/>
      <c r="J23" s="128"/>
      <c r="K23" s="121"/>
      <c r="L23" s="121"/>
    </row>
    <row r="24" spans="2:16">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c r="I24" s="24"/>
      <c r="J24" s="128"/>
      <c r="K24" s="121"/>
      <c r="L24" s="121"/>
    </row>
    <row r="25" spans="2:16">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c r="I25" s="24"/>
      <c r="J25" s="128"/>
      <c r="K25" s="121"/>
      <c r="L25" s="121"/>
    </row>
    <row r="26" spans="2:16">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c r="I26" s="24"/>
      <c r="J26" s="128"/>
      <c r="K26" s="121"/>
      <c r="L26" s="121"/>
    </row>
    <row r="27" spans="2:16">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c r="I27" s="24"/>
      <c r="J27" s="128"/>
      <c r="K27" s="121"/>
      <c r="L27" s="121"/>
    </row>
    <row r="28" spans="2:16">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c r="I28" s="24"/>
      <c r="J28" s="128"/>
      <c r="K28" s="121"/>
      <c r="L28" s="121"/>
    </row>
    <row r="29" spans="2:16">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c r="I29" s="24"/>
      <c r="J29" s="128"/>
      <c r="K29" s="121"/>
      <c r="L29" s="121"/>
    </row>
    <row r="30" spans="2:16">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c r="I30" s="24"/>
      <c r="J30" s="128"/>
      <c r="K30" s="121"/>
      <c r="L30" s="121"/>
    </row>
    <row r="31" spans="2:16">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c r="H31" s="24"/>
      <c r="I31" s="24"/>
      <c r="J31" s="128"/>
      <c r="K31" s="121"/>
      <c r="L31" s="121"/>
    </row>
    <row r="32" spans="2:16">
      <c r="E32" s="84"/>
    </row>
    <row r="33" spans="2:16">
      <c r="B33" s="909" t="s">
        <v>127</v>
      </c>
      <c r="C33" s="909"/>
      <c r="D33" s="909"/>
      <c r="E33" s="289">
        <f>SUM(F20:F31)</f>
        <v>0</v>
      </c>
    </row>
    <row r="34" spans="2:16" ht="15.75" thickBot="1"/>
    <row r="35" spans="2:16" ht="18.75">
      <c r="B35" s="2" t="s">
        <v>144</v>
      </c>
      <c r="C35" s="110"/>
      <c r="D35" s="61"/>
      <c r="E35" s="61"/>
      <c r="F35" s="108" t="s">
        <v>187</v>
      </c>
      <c r="G35" s="288">
        <f>F43</f>
        <v>434.6541666666667</v>
      </c>
      <c r="H35" s="61"/>
      <c r="I35" s="61"/>
      <c r="J35" s="61"/>
      <c r="K35" s="61"/>
      <c r="L35" s="61"/>
      <c r="M35" s="61"/>
      <c r="N35" s="61"/>
      <c r="O35" s="61"/>
      <c r="P35" s="61"/>
    </row>
    <row r="36" spans="2:16" ht="15.75">
      <c r="B36" s="67" t="s">
        <v>541</v>
      </c>
      <c r="C36" s="24"/>
      <c r="D36" s="24"/>
      <c r="E36" s="24"/>
    </row>
    <row r="37" spans="2:16">
      <c r="B37" s="32"/>
      <c r="C37" s="138"/>
      <c r="D37" s="24"/>
      <c r="E37" s="24"/>
      <c r="I37" s="24"/>
      <c r="J37" s="24"/>
      <c r="K37" s="24"/>
      <c r="L37" s="24"/>
      <c r="M37" s="24"/>
    </row>
    <row r="38" spans="2:16" ht="15.75">
      <c r="C38" s="97" t="s">
        <v>527</v>
      </c>
      <c r="D38" s="97" t="s">
        <v>78</v>
      </c>
      <c r="E38" s="97" t="s">
        <v>648</v>
      </c>
      <c r="F38" s="97" t="s">
        <v>647</v>
      </c>
      <c r="I38" s="24"/>
      <c r="J38" s="192"/>
      <c r="K38" s="96"/>
      <c r="L38" s="121"/>
      <c r="M38" s="24"/>
    </row>
    <row r="39" spans="2:16">
      <c r="B39" s="105" t="str">
        <f>INDEX(Equipment_Utility_Spec_List,2)</f>
        <v>Water</v>
      </c>
      <c r="C39" s="141">
        <f>SUMPRODUCT($F$110:$F$147,$G$110:$G$147,$M$110:$M$147)</f>
        <v>0.85119047619047616</v>
      </c>
      <c r="D39" s="140" t="s">
        <v>528</v>
      </c>
      <c r="E39" s="277">
        <f>SUMIF($B$110:$B$147,("&lt;&gt;N/A"),$H$110:$H$147)</f>
        <v>0.35749999999999998</v>
      </c>
      <c r="F39" s="277">
        <f>E39*Staff_Days_Operation</f>
        <v>130.48749999999998</v>
      </c>
      <c r="I39" s="24"/>
      <c r="J39" s="155"/>
      <c r="K39" s="96"/>
      <c r="L39" s="121"/>
      <c r="M39" s="142"/>
    </row>
    <row r="40" spans="2:16">
      <c r="B40" s="105" t="str">
        <f>INDEX(Equipment_Utility_Spec_List,3)</f>
        <v>Electricity</v>
      </c>
      <c r="C40" s="141">
        <f>SUMPRODUCT($F$110:$F$147,$I$110:$I$147,$M$110:$M$147)</f>
        <v>3.9682539682539684</v>
      </c>
      <c r="D40" s="140" t="s">
        <v>530</v>
      </c>
      <c r="E40" s="277">
        <f>SUMIF($B$110:$B$147,("&lt;&gt;N/A"),$J$110:$J$147)</f>
        <v>0.83333333333333337</v>
      </c>
      <c r="F40" s="277">
        <f>E40*Staff_Days_Operation</f>
        <v>304.16666666666669</v>
      </c>
      <c r="I40" s="24"/>
      <c r="J40" s="128"/>
      <c r="K40" s="121"/>
      <c r="L40" s="121"/>
      <c r="M40" s="24"/>
    </row>
    <row r="41" spans="2:16">
      <c r="B41" s="105" t="str">
        <f>INDEX(Equipment_Utility_Spec_List,4)</f>
        <v>Fuel</v>
      </c>
      <c r="C41" s="141">
        <f>SUMPRODUCT($F$110:$F$147,$K$110:$K$147,$M$110:$M$147)</f>
        <v>0</v>
      </c>
      <c r="D41" s="140" t="s">
        <v>529</v>
      </c>
      <c r="E41" s="277">
        <f>SUMIF($B$110:$B$147,("&lt;&gt;N/A"),$L$110:$L$147)</f>
        <v>0</v>
      </c>
      <c r="F41" s="277">
        <f>E41*Staff_Days_Operation</f>
        <v>0</v>
      </c>
      <c r="I41" s="24"/>
      <c r="J41" s="128"/>
      <c r="K41" s="121"/>
      <c r="L41" s="121"/>
      <c r="M41" s="24"/>
    </row>
    <row r="42" spans="2:16">
      <c r="B42" s="8"/>
      <c r="C42" s="122"/>
      <c r="D42" s="24"/>
      <c r="E42" s="139"/>
      <c r="I42" s="24"/>
      <c r="J42" s="24"/>
      <c r="K42" s="24"/>
      <c r="L42" s="24"/>
      <c r="M42" s="24"/>
    </row>
    <row r="43" spans="2:16">
      <c r="B43" s="908" t="s">
        <v>452</v>
      </c>
      <c r="C43" s="908"/>
      <c r="D43" s="908"/>
      <c r="E43" s="277">
        <f>SUM(E39:E41)</f>
        <v>1.1908333333333334</v>
      </c>
      <c r="F43" s="277">
        <f>SUM(F39:F41)</f>
        <v>434.6541666666667</v>
      </c>
      <c r="I43" s="24"/>
      <c r="J43" s="24"/>
      <c r="K43" s="24"/>
      <c r="L43" s="121"/>
      <c r="M43" s="24"/>
    </row>
    <row r="44" spans="2:16" ht="15.75" thickBot="1">
      <c r="F44" s="62"/>
      <c r="G44" s="62"/>
    </row>
    <row r="45" spans="2:16" ht="18.75">
      <c r="B45" s="111" t="s">
        <v>3</v>
      </c>
      <c r="C45" s="112"/>
      <c r="D45" s="85"/>
      <c r="E45" s="85"/>
      <c r="F45" s="151" t="s">
        <v>129</v>
      </c>
      <c r="G45" s="288">
        <f>SUM(G52:G74)</f>
        <v>4383.0938643152094</v>
      </c>
      <c r="H45" s="85"/>
      <c r="I45" s="85"/>
      <c r="J45" s="85"/>
      <c r="K45" s="85"/>
      <c r="L45" s="85"/>
      <c r="M45" s="85"/>
      <c r="N45" s="85"/>
      <c r="O45" s="85"/>
      <c r="P45" s="85"/>
    </row>
    <row r="46" spans="2:16" ht="15.75">
      <c r="B46" s="67" t="s">
        <v>80</v>
      </c>
    </row>
    <row r="47" spans="2:16" ht="15.75">
      <c r="B47" s="67" t="s">
        <v>81</v>
      </c>
    </row>
    <row r="48" spans="2:16">
      <c r="B48" s="105" t="s">
        <v>77</v>
      </c>
      <c r="C48" s="907" t="s">
        <v>68</v>
      </c>
      <c r="D48" s="907"/>
    </row>
    <row r="49" spans="2:9">
      <c r="B49" s="105" t="s">
        <v>78</v>
      </c>
      <c r="C49" s="907" t="s">
        <v>65</v>
      </c>
      <c r="D49" s="907"/>
      <c r="I49" s="89"/>
    </row>
    <row r="51" spans="2:9" ht="31.5">
      <c r="B51" s="99" t="s">
        <v>211</v>
      </c>
      <c r="C51" s="99" t="s">
        <v>5</v>
      </c>
      <c r="D51" s="99" t="s">
        <v>79</v>
      </c>
      <c r="E51" s="129" t="s">
        <v>233</v>
      </c>
      <c r="F51" s="99" t="s">
        <v>121</v>
      </c>
      <c r="G51" s="99" t="s">
        <v>122</v>
      </c>
    </row>
    <row r="52" spans="2:9">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7" t="str">
        <f>IF($B52="N/A","N/A",INDEX(Staff_position[],MATCH(B52,Staff_Position_ID,0)))</f>
        <v>General worker</v>
      </c>
      <c r="D52" s="277">
        <f>IF($B52="N/A","N/A",INDEX(Staff_net_salary[],MATCH(B52,Staff_Position_ID,0)))</f>
        <v>1680</v>
      </c>
      <c r="E52" s="91">
        <f>IF($B52="N/A","N/A",INDEX(Staff_number_of_employees,MATCH(B52,Staff_Position_ID,0)))</f>
        <v>14</v>
      </c>
      <c r="F52" s="92">
        <f t="shared" ref="F52:F74" si="4">IFERROR(INDEX(Staff_Position_Allocation,MATCH(B52,Staff_Position_ID),MATCH($C$49,Unit_codes,0)),"")</f>
        <v>0.18635603164605483</v>
      </c>
      <c r="G52" s="277">
        <f>IFERROR(D52*E52*F52,"")</f>
        <v>4383.0938643152094</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ref="E53:E74" si="5">IF($B53="N/A","N/A",INDEX(Staff_number_of_employees,MATCH(B53,Staff_Position_ID,0)))</f>
        <v>N/A</v>
      </c>
      <c r="F53" s="92" t="str">
        <f t="shared" si="4"/>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5"/>
        <v>N/A</v>
      </c>
      <c r="F54" s="92" t="str">
        <f t="shared" si="4"/>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5"/>
        <v>N/A</v>
      </c>
      <c r="F55" s="92" t="str">
        <f t="shared" si="4"/>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5"/>
        <v>N/A</v>
      </c>
      <c r="F56" s="92" t="str">
        <f t="shared" si="4"/>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5"/>
        <v>N/A</v>
      </c>
      <c r="F57" s="92" t="str">
        <f t="shared" si="4"/>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5"/>
        <v>N/A</v>
      </c>
      <c r="F58" s="92" t="str">
        <f t="shared" si="4"/>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5"/>
        <v>N/A</v>
      </c>
      <c r="F59" s="92" t="str">
        <f t="shared" si="4"/>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5"/>
        <v>N/A</v>
      </c>
      <c r="F60" s="92" t="str">
        <f t="shared" si="4"/>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5"/>
        <v>N/A</v>
      </c>
      <c r="F61" s="92" t="str">
        <f t="shared" si="4"/>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5"/>
        <v>N/A</v>
      </c>
      <c r="F62" s="92" t="str">
        <f t="shared" si="4"/>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5"/>
        <v>N/A</v>
      </c>
      <c r="F63" s="92" t="str">
        <f t="shared" si="4"/>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5"/>
        <v>N/A</v>
      </c>
      <c r="F64" s="92" t="str">
        <f t="shared" si="4"/>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5"/>
        <v>N/A</v>
      </c>
      <c r="F65" s="92" t="str">
        <f t="shared" si="4"/>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5"/>
        <v>N/A</v>
      </c>
      <c r="F66" s="92" t="str">
        <f t="shared" si="4"/>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5"/>
        <v>N/A</v>
      </c>
      <c r="F67" s="92" t="str">
        <f t="shared" si="4"/>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5"/>
        <v>N/A</v>
      </c>
      <c r="F68" s="92" t="str">
        <f t="shared" si="4"/>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5"/>
        <v>N/A</v>
      </c>
      <c r="F69" s="92" t="str">
        <f t="shared" si="4"/>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5"/>
        <v>N/A</v>
      </c>
      <c r="F70" s="92" t="str">
        <f t="shared" si="4"/>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5"/>
        <v>N/A</v>
      </c>
      <c r="F71" s="92" t="str">
        <f t="shared" si="4"/>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5"/>
        <v>N/A</v>
      </c>
      <c r="F72" s="92" t="str">
        <f t="shared" si="4"/>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5"/>
        <v>N/A</v>
      </c>
      <c r="F73" s="92" t="str">
        <f t="shared" si="4"/>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5"/>
        <v>N/A</v>
      </c>
      <c r="F74" s="92" t="str">
        <f t="shared" si="4"/>
        <v/>
      </c>
      <c r="G74" s="277" t="str">
        <f t="shared" si="6"/>
        <v/>
      </c>
    </row>
    <row r="75" spans="2:16" ht="15.75" thickBot="1">
      <c r="F75" s="150"/>
      <c r="G75" s="150"/>
    </row>
    <row r="76" spans="2:16" ht="30.75">
      <c r="B76" s="111" t="s">
        <v>83</v>
      </c>
      <c r="C76" s="112"/>
      <c r="D76" s="85"/>
      <c r="E76" s="85"/>
      <c r="F76" s="151" t="s">
        <v>86</v>
      </c>
      <c r="G76" s="288">
        <f>SUMIF(G83:G103,("&lt;&gt;N/A"),G83:G103)</f>
        <v>1344</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65</v>
      </c>
      <c r="D80" s="907"/>
    </row>
    <row r="82" spans="2:7" ht="31.5">
      <c r="B82" s="99" t="s">
        <v>211</v>
      </c>
      <c r="C82" s="99" t="s">
        <v>5</v>
      </c>
      <c r="D82" s="99" t="s">
        <v>79</v>
      </c>
      <c r="E82" s="129" t="s">
        <v>233</v>
      </c>
      <c r="F82" s="99" t="s">
        <v>121</v>
      </c>
      <c r="G82" s="99"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7" t="str">
        <f>IF($B83="N/A","N/A",INDEX(Staff_position[],MATCH(B83,Staff_Position_ID,0)))</f>
        <v>Waste units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IFERROR(INDEX(Staff_Position_Allocation,MATCH(B83,Staff_Position_ID),MATCH($C$80,Unit_codes,0)),"")</f>
        <v>0.1</v>
      </c>
      <c r="G83" s="277">
        <f>IFERROR(D83*E83*F83,"")</f>
        <v>336</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0.1</v>
      </c>
      <c r="G84" s="277">
        <f t="shared" ref="G84:G103" si="9">IFERROR(D84*E84*F84,"")</f>
        <v>1007.9999999999999</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16" ht="15.75" thickBot="1">
      <c r="E104" s="150"/>
      <c r="F104" s="150"/>
      <c r="G104" s="150"/>
    </row>
    <row r="105" spans="2:16" ht="35.1" customHeight="1">
      <c r="B105" s="2" t="s">
        <v>2</v>
      </c>
      <c r="C105" s="110"/>
      <c r="D105" s="61"/>
      <c r="F105" s="152" t="s">
        <v>153</v>
      </c>
      <c r="G105" s="288">
        <f>SUMIF(B110:B147,("&lt;&gt;N/A"),N110:N147)</f>
        <v>4012.3999999999996</v>
      </c>
      <c r="H105" s="61"/>
      <c r="I105" s="61"/>
      <c r="J105" s="61"/>
      <c r="K105" s="61"/>
      <c r="L105" s="61"/>
      <c r="M105" s="61"/>
      <c r="N105" s="61"/>
      <c r="O105" s="61"/>
      <c r="P105" s="61"/>
    </row>
    <row r="106" spans="2:16" ht="15.75">
      <c r="B106" s="67" t="s">
        <v>82</v>
      </c>
    </row>
    <row r="107" spans="2:16">
      <c r="B107" s="105" t="s">
        <v>78</v>
      </c>
      <c r="C107" s="86" t="s">
        <v>65</v>
      </c>
    </row>
    <row r="109" spans="2:16" ht="47.25">
      <c r="B109" s="97" t="s">
        <v>84</v>
      </c>
      <c r="C109" s="97" t="s">
        <v>53</v>
      </c>
      <c r="D109" s="99" t="s">
        <v>152</v>
      </c>
      <c r="E109" s="123" t="s">
        <v>50</v>
      </c>
      <c r="F109" s="99" t="s">
        <v>514</v>
      </c>
      <c r="G109" s="99" t="s">
        <v>451</v>
      </c>
      <c r="H109" s="99" t="s">
        <v>515</v>
      </c>
      <c r="I109" s="99" t="s">
        <v>519</v>
      </c>
      <c r="J109" s="99" t="s">
        <v>516</v>
      </c>
      <c r="K109" s="99" t="s">
        <v>518</v>
      </c>
      <c r="L109" s="99" t="s">
        <v>517</v>
      </c>
      <c r="M109" s="99" t="s">
        <v>155</v>
      </c>
      <c r="N109" s="99" t="s">
        <v>154</v>
      </c>
      <c r="O109" s="99"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eq0003</v>
      </c>
      <c r="C110" s="76" t="str">
        <f>IF($B110="N/A","N/A",INDEX(Equipment_name[],MATCH(B110,equipment_ID,0)))</f>
        <v>Conversion crates</v>
      </c>
      <c r="D110" s="277">
        <f t="shared" ref="D110:D147" si="10">IF($B110="N/A","N/A",INDEX(Equipment_Depreciation,MATCH(B110,equipment_ID,0)))</f>
        <v>0.97999999999999987</v>
      </c>
      <c r="E110" s="94">
        <f t="shared" ref="E110:E147" si="11">IF($B110="N/A","N/A",INDEX(Equipment_Quantity_New,MATCH(B110,equipment_ID,0)))</f>
        <v>5000</v>
      </c>
      <c r="F110" s="137" t="str">
        <f>IF($B110="N/A","",IF(INDEX(Equipment_Utility_Decision,MATCH($B110,equipment_ID,0))='4.2-Settings Internal'!$B$32,INDEX(Equipment_Utility_Run,MATCH($B110,equipment_ID,0)),""))</f>
        <v/>
      </c>
      <c r="G110" s="137" t="str">
        <f>IF($B110="N/A","",IF(INDEX(Equipment_Utility_Decision,MATCH($B110,equipment_ID,0))='4.2-Settings Internal'!$B$32,INDEX(Equipment_Utility_Water,MATCH($B110,equipment_ID,0)),""))</f>
        <v/>
      </c>
      <c r="H110" s="277" t="str">
        <f t="shared" ref="H110:H147" si="12">IFERROR($E110*$F110*G110*$M110*General_Water_Price,"")</f>
        <v/>
      </c>
      <c r="I110" s="137" t="str">
        <f>IF($B110="N/A","",IF(INDEX(Equipment_Utility_Decision,MATCH($B110,equipment_ID,0))='4.2-Settings Internal'!$B$32,INDEX(Equipment_Utility_Electricity,MATCH($B110,equipment_ID,0)),""))</f>
        <v/>
      </c>
      <c r="J110" s="277" t="str">
        <f t="shared" ref="J110:J147" si="13">IFERROR($E110*$F110*I110*$M110*General_Electricity_Price,"")</f>
        <v/>
      </c>
      <c r="K110" s="137" t="str">
        <f>IF($B110="N/A","",IF(INDEX(Equipment_Utility_Decision,MATCH($B110,equipment_ID,0))=INDEX(Yes_No_Choice[],1),INDEX(Equipment_Utility_Fuel,MATCH($B110,equipment_ID,0)),""))</f>
        <v/>
      </c>
      <c r="L110" s="277" t="str">
        <f t="shared" ref="L110:L147" si="14">IFERROR($E110*$F110*$K110*$M110*INDEX(General_Utilities,MATCH(INDEX(Equipment_Utility_Fuel_Selection,MATCH($B110,equipment_ID,0)),General_Utilities_Type,0),4),"")</f>
        <v/>
      </c>
      <c r="M110" s="95">
        <f t="shared" ref="M110:M147" si="15">IFERROR(INDEX(Equipment_Allocation_New,MATCH(B110,equipment_ID,0),MATCH($C$107,Unit_codes,0)),"")</f>
        <v>0.5</v>
      </c>
      <c r="N110" s="277">
        <f t="shared" ref="N110:N147" si="16">IFERROR($D110*E110*M110,"")</f>
        <v>2449.9999999999995</v>
      </c>
      <c r="O110" s="137" t="str">
        <f t="shared" ref="O110:O147" si="17">IF($B110="N/A","",IF(INDEX(Equipment_Space_Selection,MATCH(B110,equipment_ID,0))="Yes",INDEX(Equipment_Space_Footprint,MATCH(B110,equipment_ID,0))*INDEX(Equipment_Quantity_New,MATCH(B110,equipment_ID,0))*M110,""))</f>
        <v/>
      </c>
    </row>
    <row r="111" spans="2:16">
      <c r="B111" s="76" t="str">
        <f t="array" ref="B111">IF(COUNTIFS(INDEX(Equipment_Allocation_New,0,MATCH($C$107,Unit_codes,0)),"&gt;0")&lt;ROWS('2.2-Equipment input'!$X$8:$X9),"N/A",INDEX('2.2-Equipment input'!B:B,SMALL(IF(INDEX(Equipment_Allocation_New,0,MATCH($C$107,Unit_codes,0))&gt;0,ROW(equipment_ID)),ROW('2.2-Equipment input'!B2))))</f>
        <v>eq0004</v>
      </c>
      <c r="C111" s="76" t="str">
        <f>IF($B111="N/A","N/A",INDEX(Equipment_name[],MATCH(B111,equipment_ID,0)))</f>
        <v>Pallets</v>
      </c>
      <c r="D111" s="277">
        <f t="shared" si="10"/>
        <v>2.0999999999999996</v>
      </c>
      <c r="E111" s="94">
        <f t="shared" si="11"/>
        <v>120</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95">
        <f t="shared" si="15"/>
        <v>0.4</v>
      </c>
      <c r="N111" s="277">
        <f t="shared" si="16"/>
        <v>100.79999999999998</v>
      </c>
      <c r="O111" s="137">
        <f t="shared" si="17"/>
        <v>75.542400000000015</v>
      </c>
    </row>
    <row r="112" spans="2:16">
      <c r="B112" s="76" t="str">
        <f t="array" ref="B112">IF(COUNTIFS(INDEX(Equipment_Allocation_New,0,MATCH($C$107,Unit_codes,0)),"&gt;0")&lt;ROWS('2.2-Equipment input'!$X$8:$X10),"N/A",INDEX('2.2-Equipment input'!B:B,SMALL(IF(INDEX(Equipment_Allocation_New,0,MATCH($C$107,Unit_codes,0))&gt;0,ROW(equipment_ID)),ROW('2.2-Equipment input'!B3))))</f>
        <v>eq0005</v>
      </c>
      <c r="C112" s="76" t="str">
        <f>IF($B112="N/A","N/A",INDEX(Equipment_name[],MATCH(B112,equipment_ID,0)))</f>
        <v>Ventilation frames</v>
      </c>
      <c r="D112" s="277">
        <f t="shared" si="10"/>
        <v>3.5</v>
      </c>
      <c r="E112" s="94">
        <f t="shared" si="11"/>
        <v>720</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12"/>
        <v/>
      </c>
      <c r="I112" s="137" t="str">
        <f>IF($B112="N/A","",IF(INDEX(Equipment_Utility_Decision,MATCH($B112,equipment_ID,0))='4.2-Settings Internal'!$B$32,INDEX(Equipment_Utility_Electricity,MATCH($B112,equipment_ID,0)),""))</f>
        <v/>
      </c>
      <c r="J112" s="277" t="str">
        <f t="shared" si="13"/>
        <v/>
      </c>
      <c r="K112" s="137" t="str">
        <f>IF($B112="N/A","",IF(INDEX(Equipment_Utility_Decision,MATCH($B112,equipment_ID,0))=INDEX(Yes_No_Choice[],1),INDEX(Equipment_Utility_Fuel,MATCH($B112,equipment_ID,0)),""))</f>
        <v/>
      </c>
      <c r="L112" s="277" t="str">
        <f t="shared" si="14"/>
        <v/>
      </c>
      <c r="M112" s="95">
        <f t="shared" si="15"/>
        <v>0.5</v>
      </c>
      <c r="N112" s="277">
        <f t="shared" si="16"/>
        <v>1260</v>
      </c>
      <c r="O112" s="137" t="str">
        <f t="shared" si="17"/>
        <v/>
      </c>
    </row>
    <row r="113" spans="2:15">
      <c r="B113" s="76" t="str">
        <f t="array" ref="B113">IF(COUNTIFS(INDEX(Equipment_Allocation_New,0,MATCH($C$107,Unit_codes,0)),"&gt;0")&lt;ROWS('2.2-Equipment input'!$X$8:$X11),"N/A",INDEX('2.2-Equipment input'!B:B,SMALL(IF(INDEX(Equipment_Allocation_New,0,MATCH($C$107,Unit_codes,0))&gt;0,ROW(equipment_ID)),ROW('2.2-Equipment input'!B4))))</f>
        <v>eq0006</v>
      </c>
      <c r="C113" s="76" t="str">
        <f>IF($B113="N/A","N/A",INDEX(Equipment_name[],MATCH(B113,equipment_ID,0)))</f>
        <v>Pallet trolley</v>
      </c>
      <c r="D113" s="277">
        <f t="shared" si="10"/>
        <v>41.999999999999993</v>
      </c>
      <c r="E113" s="94">
        <f t="shared" si="11"/>
        <v>2</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12"/>
        <v/>
      </c>
      <c r="I113" s="137" t="str">
        <f>IF($B113="N/A","",IF(INDEX(Equipment_Utility_Decision,MATCH($B113,equipment_ID,0))='4.2-Settings Internal'!$B$32,INDEX(Equipment_Utility_Electricity,MATCH($B113,equipment_ID,0)),""))</f>
        <v/>
      </c>
      <c r="J113" s="277" t="str">
        <f t="shared" si="13"/>
        <v/>
      </c>
      <c r="K113" s="137" t="str">
        <f>IF($B113="N/A","",IF(INDEX(Equipment_Utility_Decision,MATCH($B113,equipment_ID,0))=INDEX(Yes_No_Choice[],1),INDEX(Equipment_Utility_Fuel,MATCH($B113,equipment_ID,0)),""))</f>
        <v/>
      </c>
      <c r="L113" s="277" t="str">
        <f t="shared" si="14"/>
        <v/>
      </c>
      <c r="M113" s="95">
        <f t="shared" si="15"/>
        <v>0.4</v>
      </c>
      <c r="N113" s="277">
        <f t="shared" si="16"/>
        <v>33.599999999999994</v>
      </c>
      <c r="O113" s="137" t="str">
        <f t="shared" si="17"/>
        <v/>
      </c>
    </row>
    <row r="114" spans="2:15">
      <c r="B114" s="76" t="str">
        <f t="array" ref="B114">IF(COUNTIFS(INDEX(Equipment_Allocation_New,0,MATCH($C$107,Unit_codes,0)),"&gt;0")&lt;ROWS('2.2-Equipment input'!$X$8:$X12),"N/A",INDEX('2.2-Equipment input'!B:B,SMALL(IF(INDEX(Equipment_Allocation_New,0,MATCH($C$107,Unit_codes,0))&gt;0,ROW(equipment_ID)),ROW('2.2-Equipment input'!B5))))</f>
        <v>eq0008</v>
      </c>
      <c r="C114" s="76" t="str">
        <f>IF($B114="N/A","N/A",INDEX(Equipment_name[],MATCH(B114,equipment_ID,0)))</f>
        <v>High pressure cleaner</v>
      </c>
      <c r="D114" s="277">
        <f t="shared" si="10"/>
        <v>210</v>
      </c>
      <c r="E114" s="94">
        <f t="shared" si="11"/>
        <v>2</v>
      </c>
      <c r="F114" s="137">
        <f>IF($B114="N/A","",IF(INDEX(Equipment_Utility_Decision,MATCH($B114,equipment_ID,0))='4.2-Settings Internal'!$B$32,INDEX(Equipment_Utility_Run,MATCH($B114,equipment_ID,0)),""))</f>
        <v>7.9365079365079367</v>
      </c>
      <c r="G114" s="137">
        <f>IF($B114="N/A","",IF(INDEX(Equipment_Utility_Decision,MATCH($B114,equipment_ID,0))='4.2-Settings Internal'!$B$32,INDEX(Equipment_Utility_Water,MATCH($B114,equipment_ID,0)),""))</f>
        <v>0.42899999999999999</v>
      </c>
      <c r="H114" s="277">
        <f t="shared" si="12"/>
        <v>0.35749999999999998</v>
      </c>
      <c r="I114" s="137">
        <f>IF($B114="N/A","",IF(INDEX(Equipment_Utility_Decision,MATCH($B114,equipment_ID,0))='4.2-Settings Internal'!$B$32,INDEX(Equipment_Utility_Electricity,MATCH($B114,equipment_ID,0)),""))</f>
        <v>2</v>
      </c>
      <c r="J114" s="277">
        <f t="shared" si="13"/>
        <v>0.83333333333333337</v>
      </c>
      <c r="K114" s="137">
        <f>IF($B114="N/A","",IF(INDEX(Equipment_Utility_Decision,MATCH($B114,equipment_ID,0))=INDEX(Yes_No_Choice[],1),INDEX(Equipment_Utility_Fuel,MATCH($B114,equipment_ID,0)),""))</f>
        <v>0</v>
      </c>
      <c r="L114" s="277" t="str">
        <f t="shared" si="14"/>
        <v/>
      </c>
      <c r="M114" s="95">
        <f t="shared" si="15"/>
        <v>0.25</v>
      </c>
      <c r="N114" s="277">
        <f t="shared" si="16"/>
        <v>105</v>
      </c>
      <c r="O114" s="137">
        <f t="shared" si="17"/>
        <v>0.125</v>
      </c>
    </row>
    <row r="115" spans="2:15">
      <c r="B115" s="76" t="str">
        <f t="array" ref="B115">IF(COUNTIFS(INDEX(Equipment_Allocation_New,0,MATCH($C$107,Unit_codes,0)),"&gt;0")&lt;ROWS('2.2-Equipment input'!$X$8:$X13),"N/A",INDEX('2.2-Equipment input'!B:B,SMALL(IF(INDEX(Equipment_Allocation_New,0,MATCH($C$107,Unit_codes,0))&gt;0,ROW(equipment_ID)),ROW('2.2-Equipment input'!B6))))</f>
        <v>eq0030</v>
      </c>
      <c r="C115" s="76" t="str">
        <f>IF($B115="N/A","N/A",INDEX(Equipment_name[],MATCH(B115,equipment_ID,0)))</f>
        <v>Measuring balance ("heavy" duty)</v>
      </c>
      <c r="D115" s="277">
        <f t="shared" si="10"/>
        <v>34.999999999999993</v>
      </c>
      <c r="E115" s="94">
        <f t="shared" si="11"/>
        <v>3</v>
      </c>
      <c r="F115" s="137">
        <f>IF($B115="N/A","",IF(INDEX(Equipment_Utility_Decision,MATCH($B115,equipment_ID,0))='4.2-Settings Internal'!$B$32,INDEX(Equipment_Utility_Run,MATCH($B115,equipment_ID,0)),""))</f>
        <v>0</v>
      </c>
      <c r="G115" s="137">
        <f>IF($B115="N/A","",IF(INDEX(Equipment_Utility_Decision,MATCH($B115,equipment_ID,0))='4.2-Settings Internal'!$B$32,INDEX(Equipment_Utility_Water,MATCH($B115,equipment_ID,0)),""))</f>
        <v>0</v>
      </c>
      <c r="H115" s="277">
        <f t="shared" si="12"/>
        <v>0</v>
      </c>
      <c r="I115" s="137">
        <f>IF($B115="N/A","",IF(INDEX(Equipment_Utility_Decision,MATCH($B115,equipment_ID,0))='4.2-Settings Internal'!$B$32,INDEX(Equipment_Utility_Electricity,MATCH($B115,equipment_ID,0)),""))</f>
        <v>0</v>
      </c>
      <c r="J115" s="277">
        <f t="shared" si="13"/>
        <v>0</v>
      </c>
      <c r="K115" s="137">
        <f>IF($B115="N/A","",IF(INDEX(Equipment_Utility_Decision,MATCH($B115,equipment_ID,0))=INDEX(Yes_No_Choice[],1),INDEX(Equipment_Utility_Fuel,MATCH($B115,equipment_ID,0)),""))</f>
        <v>0</v>
      </c>
      <c r="L115" s="277" t="str">
        <f t="shared" si="14"/>
        <v/>
      </c>
      <c r="M115" s="95">
        <f t="shared" si="15"/>
        <v>0.2</v>
      </c>
      <c r="N115" s="277">
        <f t="shared" si="16"/>
        <v>20.999999999999996</v>
      </c>
      <c r="O115" s="137" t="str">
        <f t="shared" si="17"/>
        <v/>
      </c>
    </row>
    <row r="116" spans="2:15">
      <c r="B116" s="76" t="str">
        <f t="array" ref="B116">IF(COUNTIFS(INDEX(Equipment_Allocation_New,0,MATCH($C$107,Unit_codes,0)),"&gt;0")&lt;ROWS('2.2-Equipment input'!$X$8:$X14),"N/A",INDEX('2.2-Equipment input'!B:B,SMALL(IF(INDEX(Equipment_Allocation_New,0,MATCH($C$107,Unit_codes,0))&gt;0,ROW(equipment_ID)),ROW('2.2-Equipment input'!B7))))</f>
        <v>eq0032</v>
      </c>
      <c r="C116" s="76" t="str">
        <f>IF($B116="N/A","N/A",INDEX(Equipment_name[],MATCH(B116,equipment_ID,0)))</f>
        <v>Measuring balance (nursery)</v>
      </c>
      <c r="D116" s="277">
        <f t="shared" si="10"/>
        <v>69.999999999999986</v>
      </c>
      <c r="E116" s="94">
        <f t="shared" si="11"/>
        <v>3</v>
      </c>
      <c r="F116" s="137">
        <f>IF($B116="N/A","",IF(INDEX(Equipment_Utility_Decision,MATCH($B116,equipment_ID,0))='4.2-Settings Internal'!$B$32,INDEX(Equipment_Utility_Run,MATCH($B116,equipment_ID,0)),""))</f>
        <v>0</v>
      </c>
      <c r="G116" s="137">
        <f>IF($B116="N/A","",IF(INDEX(Equipment_Utility_Decision,MATCH($B116,equipment_ID,0))='4.2-Settings Internal'!$B$32,INDEX(Equipment_Utility_Water,MATCH($B116,equipment_ID,0)),""))</f>
        <v>0</v>
      </c>
      <c r="H116" s="277">
        <f t="shared" si="12"/>
        <v>0</v>
      </c>
      <c r="I116" s="137">
        <f>IF($B116="N/A","",IF(INDEX(Equipment_Utility_Decision,MATCH($B116,equipment_ID,0))='4.2-Settings Internal'!$B$32,INDEX(Equipment_Utility_Electricity,MATCH($B116,equipment_ID,0)),""))</f>
        <v>0</v>
      </c>
      <c r="J116" s="277">
        <f t="shared" si="13"/>
        <v>0</v>
      </c>
      <c r="K116" s="137">
        <f>IF($B116="N/A","",IF(INDEX(Equipment_Utility_Decision,MATCH($B116,equipment_ID,0))=INDEX(Yes_No_Choice[],1),INDEX(Equipment_Utility_Fuel,MATCH($B116,equipment_ID,0)),""))</f>
        <v>0</v>
      </c>
      <c r="L116" s="277" t="str">
        <f t="shared" si="14"/>
        <v/>
      </c>
      <c r="M116" s="95">
        <f t="shared" si="15"/>
        <v>0.2</v>
      </c>
      <c r="N116" s="277">
        <f t="shared" si="16"/>
        <v>41.999999999999993</v>
      </c>
      <c r="O116" s="137" t="str">
        <f t="shared" si="17"/>
        <v/>
      </c>
    </row>
    <row r="117" spans="2:15">
      <c r="B117" s="76" t="str">
        <f t="array" ref="B117">IF(COUNTIFS(INDEX(Equipment_Allocation_New,0,MATCH($C$107,Unit_codes,0)),"&gt;0")&lt;ROWS('2.2-Equipment input'!$X$8:$X15),"N/A",INDEX('2.2-Equipment input'!B:B,SMALL(IF(INDEX(Equipment_Allocation_New,0,MATCH($C$107,Unit_codes,0))&gt;0,ROW(equipment_ID)),ROW('2.2-Equipment input'!B8))))</f>
        <v>N/A</v>
      </c>
      <c r="C117" s="76" t="str">
        <f>IF($B117="N/A","N/A",INDEX(Equipment_name[],MATCH(B117,equipment_ID,0)))</f>
        <v>N/A</v>
      </c>
      <c r="D117" s="277" t="str">
        <f t="shared" si="10"/>
        <v>N/A</v>
      </c>
      <c r="E117" s="94" t="str">
        <f t="shared" si="11"/>
        <v>N/A</v>
      </c>
      <c r="F117" s="137" t="str">
        <f>IF($B117="N/A","",IF(INDEX(Equipment_Utility_Decision,MATCH($B117,equipment_ID,0))='4.2-Settings Internal'!$B$32,INDEX(Equipment_Utility_Run,MATCH($B117,equipment_ID,0)),""))</f>
        <v/>
      </c>
      <c r="G117" s="137" t="str">
        <f>IF($B117="N/A","",IF(INDEX(Equipment_Utility_Decision,MATCH($B117,equipment_ID,0))='4.2-Settings Internal'!$B$32,INDEX(Equipment_Utility_Water,MATCH($B117,equipment_ID,0)),""))</f>
        <v/>
      </c>
      <c r="H117" s="277" t="str">
        <f t="shared" si="12"/>
        <v/>
      </c>
      <c r="I117" s="137" t="str">
        <f>IF($B117="N/A","",IF(INDEX(Equipment_Utility_Decision,MATCH($B117,equipment_ID,0))='4.2-Settings Internal'!$B$32,INDEX(Equipment_Utility_Electricity,MATCH($B117,equipment_ID,0)),""))</f>
        <v/>
      </c>
      <c r="J117" s="277" t="str">
        <f t="shared" si="13"/>
        <v/>
      </c>
      <c r="K117" s="137" t="str">
        <f>IF($B117="N/A","",IF(INDEX(Equipment_Utility_Decision,MATCH($B117,equipment_ID,0))=INDEX(Yes_No_Choice[],1),INDEX(Equipment_Utility_Fuel,MATCH($B117,equipment_ID,0)),""))</f>
        <v/>
      </c>
      <c r="L117" s="277" t="str">
        <f t="shared" si="14"/>
        <v/>
      </c>
      <c r="M117" s="95" t="str">
        <f t="shared" si="15"/>
        <v/>
      </c>
      <c r="N117" s="277" t="str">
        <f t="shared" si="16"/>
        <v/>
      </c>
      <c r="O117" s="137" t="str">
        <f t="shared" si="17"/>
        <v/>
      </c>
    </row>
    <row r="118" spans="2:15">
      <c r="B118" s="76" t="str">
        <f t="array" ref="B118">IF(COUNTIFS(INDEX(Equipment_Allocation_New,0,MATCH($C$107,Unit_codes,0)),"&gt;0")&lt;ROWS('2.2-Equipment input'!$X$8:$X16),"N/A",INDEX('2.2-Equipment input'!B:B,SMALL(IF(INDEX(Equipment_Allocation_New,0,MATCH($C$107,Unit_codes,0))&gt;0,ROW(equipment_ID)),ROW('2.2-Equipment input'!B9))))</f>
        <v>N/A</v>
      </c>
      <c r="C118" s="76" t="str">
        <f>IF($B118="N/A","N/A",INDEX(Equipment_name[],MATCH(B118,equipment_ID,0)))</f>
        <v>N/A</v>
      </c>
      <c r="D118" s="277" t="str">
        <f t="shared" si="10"/>
        <v>N/A</v>
      </c>
      <c r="E118" s="94" t="str">
        <f t="shared" si="11"/>
        <v>N/A</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12"/>
        <v/>
      </c>
      <c r="I118" s="137" t="str">
        <f>IF($B118="N/A","",IF(INDEX(Equipment_Utility_Decision,MATCH($B118,equipment_ID,0))='4.2-Settings Internal'!$B$32,INDEX(Equipment_Utility_Electricity,MATCH($B118,equipment_ID,0)),""))</f>
        <v/>
      </c>
      <c r="J118" s="277" t="str">
        <f t="shared" si="13"/>
        <v/>
      </c>
      <c r="K118" s="137" t="str">
        <f>IF($B118="N/A","",IF(INDEX(Equipment_Utility_Decision,MATCH($B118,equipment_ID,0))=INDEX(Yes_No_Choice[],1),INDEX(Equipment_Utility_Fuel,MATCH($B118,equipment_ID,0)),""))</f>
        <v/>
      </c>
      <c r="L118" s="277" t="str">
        <f t="shared" si="14"/>
        <v/>
      </c>
      <c r="M118" s="95" t="str">
        <f t="shared" si="15"/>
        <v/>
      </c>
      <c r="N118" s="277" t="str">
        <f t="shared" si="16"/>
        <v/>
      </c>
      <c r="O118" s="137" t="str">
        <f t="shared" si="17"/>
        <v/>
      </c>
    </row>
    <row r="119" spans="2:15">
      <c r="B119" s="76" t="str">
        <f t="array" ref="B119">IF(COUNTIFS(INDEX(Equipment_Allocation_New,0,MATCH($C$107,Unit_codes,0)),"&gt;0")&lt;ROWS('2.2-Equipment input'!$X$8:$X17),"N/A",INDEX('2.2-Equipment input'!B:B,SMALL(IF(INDEX(Equipment_Allocation_New,0,MATCH($C$107,Unit_codes,0))&gt;0,ROW(equipment_ID)),ROW('2.2-Equipment input'!B10))))</f>
        <v>N/A</v>
      </c>
      <c r="C119" s="76" t="str">
        <f>IF($B119="N/A","N/A",INDEX(Equipment_name[],MATCH(B119,equipment_ID,0)))</f>
        <v>N/A</v>
      </c>
      <c r="D119" s="277" t="str">
        <f t="shared" si="10"/>
        <v>N/A</v>
      </c>
      <c r="E119" s="94" t="str">
        <f t="shared" si="11"/>
        <v>N/A</v>
      </c>
      <c r="F119" s="137" t="str">
        <f>IF($B119="N/A","",IF(INDEX(Equipment_Utility_Decision,MATCH($B119,equipment_ID,0))='4.2-Settings Internal'!$B$32,INDEX(Equipment_Utility_Run,MATCH($B119,equipment_ID,0)),""))</f>
        <v/>
      </c>
      <c r="G119" s="137" t="str">
        <f>IF($B119="N/A","",IF(INDEX(Equipment_Utility_Decision,MATCH($B119,equipment_ID,0))='4.2-Settings Internal'!$B$32,INDEX(Equipment_Utility_Water,MATCH($B119,equipment_ID,0)),""))</f>
        <v/>
      </c>
      <c r="H119" s="277" t="str">
        <f t="shared" si="12"/>
        <v/>
      </c>
      <c r="I119" s="137" t="str">
        <f>IF($B119="N/A","",IF(INDEX(Equipment_Utility_Decision,MATCH($B119,equipment_ID,0))='4.2-Settings Internal'!$B$32,INDEX(Equipment_Utility_Electricity,MATCH($B119,equipment_ID,0)),""))</f>
        <v/>
      </c>
      <c r="J119" s="277" t="str">
        <f t="shared" si="13"/>
        <v/>
      </c>
      <c r="K119" s="137" t="str">
        <f>IF($B119="N/A","",IF(INDEX(Equipment_Utility_Decision,MATCH($B119,equipment_ID,0))=INDEX(Yes_No_Choice[],1),INDEX(Equipment_Utility_Fuel,MATCH($B119,equipment_ID,0)),""))</f>
        <v/>
      </c>
      <c r="L119" s="277" t="str">
        <f t="shared" si="14"/>
        <v/>
      </c>
      <c r="M119" s="95" t="str">
        <f t="shared" si="15"/>
        <v/>
      </c>
      <c r="N119" s="277" t="str">
        <f t="shared" si="16"/>
        <v/>
      </c>
      <c r="O119" s="137" t="str">
        <f t="shared" si="17"/>
        <v/>
      </c>
    </row>
    <row r="120" spans="2:15">
      <c r="B120" s="76" t="str">
        <f t="array" ref="B120">IF(COUNTIFS(INDEX(Equipment_Allocation_New,0,MATCH($C$107,Unit_codes,0)),"&gt;0")&lt;ROWS('2.2-Equipment input'!$X$8:$X18),"N/A",INDEX('2.2-Equipment input'!B:B,SMALL(IF(INDEX(Equipment_Allocation_New,0,MATCH($C$107,Unit_codes,0))&gt;0,ROW(equipment_ID)),ROW('2.2-Equipment input'!B11))))</f>
        <v>N/A</v>
      </c>
      <c r="C120" s="76" t="str">
        <f>IF($B120="N/A","N/A",INDEX(Equipment_name[],MATCH(B120,equipment_ID,0)))</f>
        <v>N/A</v>
      </c>
      <c r="D120" s="277" t="str">
        <f t="shared" si="10"/>
        <v>N/A</v>
      </c>
      <c r="E120" s="94" t="str">
        <f t="shared" si="11"/>
        <v>N/A</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12"/>
        <v/>
      </c>
      <c r="I120" s="137" t="str">
        <f>IF($B120="N/A","",IF(INDEX(Equipment_Utility_Decision,MATCH($B120,equipment_ID,0))='4.2-Settings Internal'!$B$32,INDEX(Equipment_Utility_Electricity,MATCH($B120,equipment_ID,0)),""))</f>
        <v/>
      </c>
      <c r="J120" s="277" t="str">
        <f t="shared" si="13"/>
        <v/>
      </c>
      <c r="K120" s="137" t="str">
        <f>IF($B120="N/A","",IF(INDEX(Equipment_Utility_Decision,MATCH($B120,equipment_ID,0))=INDEX(Yes_No_Choice[],1),INDEX(Equipment_Utility_Fuel,MATCH($B120,equipment_ID,0)),""))</f>
        <v/>
      </c>
      <c r="L120" s="277" t="str">
        <f t="shared" si="14"/>
        <v/>
      </c>
      <c r="M120" s="95" t="str">
        <f t="shared" si="15"/>
        <v/>
      </c>
      <c r="N120" s="277" t="str">
        <f t="shared" si="16"/>
        <v/>
      </c>
      <c r="O120" s="137" t="str">
        <f t="shared" si="17"/>
        <v/>
      </c>
    </row>
    <row r="121" spans="2:15">
      <c r="B121" s="76" t="str">
        <f t="array" ref="B121">IF(COUNTIFS(INDEX(Equipment_Allocation_New,0,MATCH($C$107,Unit_codes,0)),"&gt;0")&lt;ROWS('2.2-Equipment input'!$X$8:$X19),"N/A",INDEX('2.2-Equipment input'!B:B,SMALL(IF(INDEX(Equipment_Allocation_New,0,MATCH($C$107,Unit_codes,0))&gt;0,ROW(equipment_ID)),ROW('2.2-Equipment input'!B12))))</f>
        <v>N/A</v>
      </c>
      <c r="C121" s="76" t="str">
        <f>IF($B121="N/A","N/A",INDEX(Equipment_name[],MATCH(B121,equipment_ID,0)))</f>
        <v>N/A</v>
      </c>
      <c r="D121" s="277" t="str">
        <f t="shared" si="10"/>
        <v>N/A</v>
      </c>
      <c r="E121" s="94" t="str">
        <f t="shared" si="11"/>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95" t="str">
        <f t="shared" si="15"/>
        <v/>
      </c>
      <c r="N121" s="277" t="str">
        <f t="shared" si="16"/>
        <v/>
      </c>
      <c r="O121" s="137" t="str">
        <f t="shared" si="17"/>
        <v/>
      </c>
    </row>
    <row r="122" spans="2:15">
      <c r="B122" s="76" t="str">
        <f t="array" ref="B122">IF(COUNTIFS(INDEX(Equipment_Allocation_New,0,MATCH($C$107,Unit_codes,0)),"&gt;0")&lt;ROWS('2.2-Equipment input'!$X$8:$X20),"N/A",INDEX('2.2-Equipment input'!B:B,SMALL(IF(INDEX(Equipment_Allocation_New,0,MATCH($C$107,Unit_codes,0))&gt;0,ROW(equipment_ID)),ROW('2.2-Equipment input'!B13))))</f>
        <v>N/A</v>
      </c>
      <c r="C122" s="76" t="str">
        <f>IF($B122="N/A","N/A",INDEX(Equipment_name[],MATCH(B122,equipment_ID,0)))</f>
        <v>N/A</v>
      </c>
      <c r="D122" s="277" t="str">
        <f t="shared" si="10"/>
        <v>N/A</v>
      </c>
      <c r="E122" s="94" t="str">
        <f t="shared" si="11"/>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95" t="str">
        <f t="shared" si="15"/>
        <v/>
      </c>
      <c r="N122" s="277" t="str">
        <f t="shared" si="16"/>
        <v/>
      </c>
      <c r="O122" s="137" t="str">
        <f t="shared" si="17"/>
        <v/>
      </c>
    </row>
    <row r="123" spans="2:15">
      <c r="B123" s="76" t="str">
        <f t="array" ref="B123">IF(COUNTIFS(INDEX(Equipment_Allocation_New,0,MATCH($C$107,Unit_codes,0)),"&gt;0")&lt;ROWS('2.2-Equipment input'!$X$8:$X21),"N/A",INDEX('2.2-Equipment input'!B:B,SMALL(IF(INDEX(Equipment_Allocation_New,0,MATCH($C$107,Unit_codes,0))&gt;0,ROW(equipment_ID)),ROW('2.2-Equipment input'!B14))))</f>
        <v>N/A</v>
      </c>
      <c r="C123" s="76" t="str">
        <f>IF($B123="N/A","N/A",INDEX(Equipment_name[],MATCH(B123,equipment_ID,0)))</f>
        <v>N/A</v>
      </c>
      <c r="D123" s="277" t="str">
        <f t="shared" si="10"/>
        <v>N/A</v>
      </c>
      <c r="E123" s="94" t="str">
        <f t="shared" si="11"/>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95" t="str">
        <f t="shared" si="15"/>
        <v/>
      </c>
      <c r="N123" s="277" t="str">
        <f t="shared" si="16"/>
        <v/>
      </c>
      <c r="O123" s="137" t="str">
        <f t="shared" si="17"/>
        <v/>
      </c>
    </row>
    <row r="124" spans="2:15">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0"/>
        <v>N/A</v>
      </c>
      <c r="E124" s="94" t="str">
        <f t="shared" si="11"/>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95" t="str">
        <f t="shared" si="15"/>
        <v/>
      </c>
      <c r="N124" s="277" t="str">
        <f t="shared" si="16"/>
        <v/>
      </c>
      <c r="O124" s="137" t="str">
        <f t="shared" si="17"/>
        <v/>
      </c>
    </row>
    <row r="125" spans="2:15">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0"/>
        <v>N/A</v>
      </c>
      <c r="E125" s="94" t="str">
        <f t="shared" si="11"/>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2"/>
        <v/>
      </c>
      <c r="I125" s="137" t="str">
        <f>IF($B125="N/A","",IF(INDEX(Equipment_Utility_Decision,MATCH($B125,equipment_ID,0))='4.2-Settings Internal'!$B$32,INDEX(Equipment_Utility_Electricity,MATCH($B125,equipment_ID,0)),""))</f>
        <v/>
      </c>
      <c r="J125" s="277" t="str">
        <f t="shared" si="13"/>
        <v/>
      </c>
      <c r="K125" s="137" t="str">
        <f>IF($B125="N/A","",IF(INDEX(Equipment_Utility_Decision,MATCH($B125,equipment_ID,0))=INDEX(Yes_No_Choice[],1),INDEX(Equipment_Utility_Fuel,MATCH($B125,equipment_ID,0)),""))</f>
        <v/>
      </c>
      <c r="L125" s="277" t="str">
        <f t="shared" si="14"/>
        <v/>
      </c>
      <c r="M125" s="95" t="str">
        <f t="shared" si="15"/>
        <v/>
      </c>
      <c r="N125" s="277" t="str">
        <f t="shared" si="16"/>
        <v/>
      </c>
      <c r="O125" s="137" t="str">
        <f t="shared" si="17"/>
        <v/>
      </c>
    </row>
    <row r="126" spans="2:15">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0"/>
        <v>N/A</v>
      </c>
      <c r="E126" s="94" t="str">
        <f t="shared" si="11"/>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2"/>
        <v/>
      </c>
      <c r="I126" s="137" t="str">
        <f>IF($B126="N/A","",IF(INDEX(Equipment_Utility_Decision,MATCH($B126,equipment_ID,0))='4.2-Settings Internal'!$B$32,INDEX(Equipment_Utility_Electricity,MATCH($B126,equipment_ID,0)),""))</f>
        <v/>
      </c>
      <c r="J126" s="277" t="str">
        <f t="shared" si="13"/>
        <v/>
      </c>
      <c r="K126" s="137" t="str">
        <f>IF($B126="N/A","",IF(INDEX(Equipment_Utility_Decision,MATCH($B126,equipment_ID,0))=INDEX(Yes_No_Choice[],1),INDEX(Equipment_Utility_Fuel,MATCH($B126,equipment_ID,0)),""))</f>
        <v/>
      </c>
      <c r="L126" s="277" t="str">
        <f t="shared" si="14"/>
        <v/>
      </c>
      <c r="M126" s="95" t="str">
        <f t="shared" si="15"/>
        <v/>
      </c>
      <c r="N126" s="277" t="str">
        <f t="shared" si="16"/>
        <v/>
      </c>
      <c r="O126" s="137" t="str">
        <f t="shared" si="17"/>
        <v/>
      </c>
    </row>
    <row r="127" spans="2:15">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0"/>
        <v>N/A</v>
      </c>
      <c r="E127" s="94" t="str">
        <f t="shared" si="11"/>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2"/>
        <v/>
      </c>
      <c r="I127" s="137" t="str">
        <f>IF($B127="N/A","",IF(INDEX(Equipment_Utility_Decision,MATCH($B127,equipment_ID,0))='4.2-Settings Internal'!$B$32,INDEX(Equipment_Utility_Electricity,MATCH($B127,equipment_ID,0)),""))</f>
        <v/>
      </c>
      <c r="J127" s="277" t="str">
        <f t="shared" si="13"/>
        <v/>
      </c>
      <c r="K127" s="137" t="str">
        <f>IF($B127="N/A","",IF(INDEX(Equipment_Utility_Decision,MATCH($B127,equipment_ID,0))=INDEX(Yes_No_Choice[],1),INDEX(Equipment_Utility_Fuel,MATCH($B127,equipment_ID,0)),""))</f>
        <v/>
      </c>
      <c r="L127" s="277" t="str">
        <f t="shared" si="14"/>
        <v/>
      </c>
      <c r="M127" s="95" t="str">
        <f t="shared" si="15"/>
        <v/>
      </c>
      <c r="N127" s="277" t="str">
        <f t="shared" si="16"/>
        <v/>
      </c>
      <c r="O127" s="137" t="str">
        <f t="shared" si="17"/>
        <v/>
      </c>
    </row>
    <row r="128" spans="2:15">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0"/>
        <v>N/A</v>
      </c>
      <c r="E128" s="94" t="str">
        <f t="shared" si="11"/>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2"/>
        <v/>
      </c>
      <c r="I128" s="137" t="str">
        <f>IF($B128="N/A","",IF(INDEX(Equipment_Utility_Decision,MATCH($B128,equipment_ID,0))='4.2-Settings Internal'!$B$32,INDEX(Equipment_Utility_Electricity,MATCH($B128,equipment_ID,0)),""))</f>
        <v/>
      </c>
      <c r="J128" s="277" t="str">
        <f t="shared" si="13"/>
        <v/>
      </c>
      <c r="K128" s="137" t="str">
        <f>IF($B128="N/A","",IF(INDEX(Equipment_Utility_Decision,MATCH($B128,equipment_ID,0))=INDEX(Yes_No_Choice[],1),INDEX(Equipment_Utility_Fuel,MATCH($B128,equipment_ID,0)),""))</f>
        <v/>
      </c>
      <c r="L128" s="277" t="str">
        <f t="shared" si="14"/>
        <v/>
      </c>
      <c r="M128" s="95" t="str">
        <f t="shared" si="15"/>
        <v/>
      </c>
      <c r="N128" s="277" t="str">
        <f t="shared" si="16"/>
        <v/>
      </c>
      <c r="O128" s="137" t="str">
        <f t="shared" si="17"/>
        <v/>
      </c>
    </row>
    <row r="129" spans="2:15">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0"/>
        <v>N/A</v>
      </c>
      <c r="E129" s="94" t="str">
        <f t="shared" si="11"/>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2"/>
        <v/>
      </c>
      <c r="I129" s="137" t="str">
        <f>IF($B129="N/A","",IF(INDEX(Equipment_Utility_Decision,MATCH($B129,equipment_ID,0))='4.2-Settings Internal'!$B$32,INDEX(Equipment_Utility_Electricity,MATCH($B129,equipment_ID,0)),""))</f>
        <v/>
      </c>
      <c r="J129" s="277" t="str">
        <f t="shared" si="13"/>
        <v/>
      </c>
      <c r="K129" s="137" t="str">
        <f>IF($B129="N/A","",IF(INDEX(Equipment_Utility_Decision,MATCH($B129,equipment_ID,0))=INDEX(Yes_No_Choice[],1),INDEX(Equipment_Utility_Fuel,MATCH($B129,equipment_ID,0)),""))</f>
        <v/>
      </c>
      <c r="L129" s="277" t="str">
        <f t="shared" si="14"/>
        <v/>
      </c>
      <c r="M129" s="95" t="str">
        <f t="shared" si="15"/>
        <v/>
      </c>
      <c r="N129" s="277" t="str">
        <f t="shared" si="16"/>
        <v/>
      </c>
      <c r="O129" s="137" t="str">
        <f t="shared" si="17"/>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95" t="str">
        <f t="shared" si="15"/>
        <v/>
      </c>
      <c r="N130" s="277" t="str">
        <f t="shared" si="16"/>
        <v/>
      </c>
      <c r="O130" s="137" t="str">
        <f t="shared" si="17"/>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95" t="str">
        <f t="shared" si="15"/>
        <v/>
      </c>
      <c r="N131" s="277" t="str">
        <f t="shared" si="16"/>
        <v/>
      </c>
      <c r="O131" s="137" t="str">
        <f t="shared" si="17"/>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95" t="str">
        <f t="shared" si="15"/>
        <v/>
      </c>
      <c r="N132" s="277" t="str">
        <f t="shared" si="16"/>
        <v/>
      </c>
      <c r="O132" s="137" t="str">
        <f t="shared" si="17"/>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95" t="str">
        <f t="shared" si="15"/>
        <v/>
      </c>
      <c r="N133" s="277" t="str">
        <f t="shared" si="16"/>
        <v/>
      </c>
      <c r="O133" s="137" t="str">
        <f t="shared" si="17"/>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95" t="str">
        <f t="shared" si="15"/>
        <v/>
      </c>
      <c r="N134" s="277" t="str">
        <f t="shared" si="16"/>
        <v/>
      </c>
      <c r="O134" s="137" t="str">
        <f t="shared" si="17"/>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95" t="str">
        <f t="shared" si="15"/>
        <v/>
      </c>
      <c r="N135" s="277" t="str">
        <f t="shared" si="16"/>
        <v/>
      </c>
      <c r="O135" s="137" t="str">
        <f t="shared" si="17"/>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95" t="str">
        <f t="shared" si="15"/>
        <v/>
      </c>
      <c r="N136" s="277" t="str">
        <f t="shared" si="16"/>
        <v/>
      </c>
      <c r="O136" s="137" t="str">
        <f t="shared" si="17"/>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95" t="str">
        <f t="shared" si="15"/>
        <v/>
      </c>
      <c r="N137" s="277" t="str">
        <f t="shared" si="16"/>
        <v/>
      </c>
      <c r="O137" s="137" t="str">
        <f t="shared" si="17"/>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95" t="str">
        <f t="shared" si="15"/>
        <v/>
      </c>
      <c r="N138" s="277" t="str">
        <f t="shared" si="16"/>
        <v/>
      </c>
      <c r="O138" s="137" t="str">
        <f t="shared" si="17"/>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95" t="str">
        <f t="shared" si="15"/>
        <v/>
      </c>
      <c r="N139" s="277" t="str">
        <f t="shared" si="16"/>
        <v/>
      </c>
      <c r="O139" s="137" t="str">
        <f t="shared" si="17"/>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95" t="str">
        <f t="shared" si="15"/>
        <v/>
      </c>
      <c r="N140" s="277" t="str">
        <f t="shared" si="16"/>
        <v/>
      </c>
      <c r="O140" s="137" t="str">
        <f t="shared" si="17"/>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95" t="str">
        <f t="shared" si="15"/>
        <v/>
      </c>
      <c r="N141" s="277" t="str">
        <f t="shared" si="16"/>
        <v/>
      </c>
      <c r="O141" s="137" t="str">
        <f t="shared" si="17"/>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95" t="str">
        <f t="shared" si="15"/>
        <v/>
      </c>
      <c r="N142" s="277" t="str">
        <f t="shared" si="16"/>
        <v/>
      </c>
      <c r="O142" s="137" t="str">
        <f t="shared" si="17"/>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95" t="str">
        <f t="shared" si="15"/>
        <v/>
      </c>
      <c r="N143" s="277" t="str">
        <f t="shared" si="16"/>
        <v/>
      </c>
      <c r="O143" s="137" t="str">
        <f t="shared" si="17"/>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95" t="str">
        <f t="shared" si="15"/>
        <v/>
      </c>
      <c r="N144" s="277" t="str">
        <f t="shared" si="16"/>
        <v/>
      </c>
      <c r="O144" s="137" t="str">
        <f t="shared" si="17"/>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95" t="str">
        <f t="shared" si="15"/>
        <v/>
      </c>
      <c r="N145" s="277" t="str">
        <f t="shared" si="16"/>
        <v/>
      </c>
      <c r="O145" s="137" t="str">
        <f t="shared" si="17"/>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95" t="str">
        <f t="shared" si="15"/>
        <v/>
      </c>
      <c r="N146" s="277" t="str">
        <f t="shared" si="16"/>
        <v/>
      </c>
      <c r="O146" s="137" t="str">
        <f t="shared" si="17"/>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95" t="str">
        <f t="shared" si="15"/>
        <v/>
      </c>
      <c r="N147" s="277" t="str">
        <f t="shared" si="16"/>
        <v/>
      </c>
      <c r="O147" s="137" t="str">
        <f t="shared" si="17"/>
        <v/>
      </c>
    </row>
    <row r="148" spans="2:23" ht="31.5" customHeight="1"/>
    <row r="149" spans="2:23" ht="31.5" customHeight="1">
      <c r="F149" s="88"/>
      <c r="G149" s="188" t="s">
        <v>620</v>
      </c>
      <c r="H149" s="288">
        <f>SUM(H152:H189)</f>
        <v>19852</v>
      </c>
      <c r="I149" s="288">
        <f t="shared" ref="I149:W149" si="18">SUM(I152:I189)</f>
        <v>0</v>
      </c>
      <c r="J149" s="288">
        <f t="shared" si="18"/>
        <v>0</v>
      </c>
      <c r="K149" s="288">
        <f t="shared" si="18"/>
        <v>315</v>
      </c>
      <c r="L149" s="288">
        <f t="shared" si="18"/>
        <v>0</v>
      </c>
      <c r="M149" s="288">
        <f t="shared" si="18"/>
        <v>19537</v>
      </c>
      <c r="N149" s="288">
        <f t="shared" si="18"/>
        <v>315</v>
      </c>
      <c r="O149" s="288">
        <f t="shared" si="18"/>
        <v>0</v>
      </c>
      <c r="P149" s="288">
        <f t="shared" si="18"/>
        <v>0</v>
      </c>
      <c r="Q149" s="288">
        <f t="shared" si="18"/>
        <v>315</v>
      </c>
      <c r="R149" s="288">
        <f t="shared" si="18"/>
        <v>19537</v>
      </c>
      <c r="S149" s="288">
        <f t="shared" si="18"/>
        <v>0</v>
      </c>
      <c r="T149" s="288">
        <f t="shared" si="18"/>
        <v>315</v>
      </c>
      <c r="U149" s="288">
        <f t="shared" si="18"/>
        <v>0</v>
      </c>
      <c r="V149" s="288">
        <f t="shared" si="18"/>
        <v>0</v>
      </c>
      <c r="W149" s="288">
        <f t="shared" si="18"/>
        <v>19852</v>
      </c>
    </row>
    <row r="151" spans="2:23" ht="31.5">
      <c r="B151" s="97" t="s">
        <v>84</v>
      </c>
      <c r="C151" s="97" t="s">
        <v>53</v>
      </c>
      <c r="D151" s="123" t="s">
        <v>52</v>
      </c>
      <c r="E151" s="184" t="s">
        <v>149</v>
      </c>
      <c r="F151" s="123" t="s">
        <v>50</v>
      </c>
      <c r="G151" s="123" t="s">
        <v>121</v>
      </c>
      <c r="H151" s="186" t="s">
        <v>617</v>
      </c>
      <c r="I151" s="186" t="s">
        <v>595</v>
      </c>
      <c r="J151" s="186" t="s">
        <v>596</v>
      </c>
      <c r="K151" s="186" t="s">
        <v>597</v>
      </c>
      <c r="L151" s="186" t="s">
        <v>598</v>
      </c>
      <c r="M151" s="186" t="s">
        <v>599</v>
      </c>
      <c r="N151" s="186" t="s">
        <v>600</v>
      </c>
      <c r="O151" s="186" t="s">
        <v>601</v>
      </c>
      <c r="P151" s="186" t="s">
        <v>602</v>
      </c>
      <c r="Q151" s="186" t="s">
        <v>603</v>
      </c>
      <c r="R151" s="186" t="s">
        <v>604</v>
      </c>
      <c r="S151" s="186" t="s">
        <v>605</v>
      </c>
      <c r="T151" s="186" t="s">
        <v>606</v>
      </c>
      <c r="U151" s="186" t="s">
        <v>607</v>
      </c>
      <c r="V151" s="186" t="s">
        <v>608</v>
      </c>
      <c r="W151" s="186"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eq0003</v>
      </c>
      <c r="C152" s="76" t="str">
        <f>IF($B152="N/A","N/A",INDEX(Equipment_name[],MATCH(B152,equipment_ID,0)))</f>
        <v>Conversion crates</v>
      </c>
      <c r="D152" s="277">
        <f t="shared" ref="D152:D189" si="19">IF($B152="N/A","N/A",INDEX(Equipment_Capital_Cost,MATCH($B152,equipment_ID,0)))</f>
        <v>4.8999999999999995</v>
      </c>
      <c r="E152" s="94">
        <f t="shared" ref="E152:E189" si="20">IF($B152="N/A","N/A",INDEX(Equipment_Lifetime,MATCH($B152,equipment_ID,0)))</f>
        <v>5</v>
      </c>
      <c r="F152" s="187">
        <f t="shared" ref="F152:F189" si="21">IF($B152="N/A","N/A",INDEX(Equipment_Quantity_New,MATCH($B152,equipment_ID,0)))</f>
        <v>5000</v>
      </c>
      <c r="G152" s="189">
        <f t="shared" ref="G152:G189" si="22">IF($B152="N/A","N/A",INDEX(Equipment_Allocation_New,MATCH($B152,equipment_ID,0),MATCH($C$107,Unit_codes,0)))</f>
        <v>0.5</v>
      </c>
      <c r="H152" s="277">
        <f>IFERROR(IF($B152="N/A","N/A",IF(MOD(COLUMNS(H$151:$H$151)-1,$E152)=0,$F152*$D152*$G152,)),)</f>
        <v>12249.999999999998</v>
      </c>
      <c r="I152" s="277">
        <f>IFERROR(IF($B152="N/A","N/A",IF(MOD(COLUMNS($H$151:I$151)-1,$E152)=0,$F152*$D152*$G152,)),)</f>
        <v>0</v>
      </c>
      <c r="J152" s="277">
        <f>IFERROR(IF($B152="N/A","N/A",IF(MOD(COLUMNS($H$151:J$151)-1,$E152)=0,$F152*$D152*$G152,)),)</f>
        <v>0</v>
      </c>
      <c r="K152" s="277">
        <f>IFERROR(IF($B152="N/A","N/A",IF(MOD(COLUMNS($H$151:K$151)-1,$E152)=0,$F152*$D152*$G152,)),)</f>
        <v>0</v>
      </c>
      <c r="L152" s="277">
        <f>IFERROR(IF($B152="N/A","N/A",IF(MOD(COLUMNS($H$151:L$151)-1,$E152)=0,$F152*$D152*$G152,)),)</f>
        <v>0</v>
      </c>
      <c r="M152" s="277">
        <f>IFERROR(IF($B152="N/A","N/A",IF(MOD(COLUMNS($H$151:M$151)-1,$E152)=0,$F152*$D152*$G152,)),)</f>
        <v>12249.999999999998</v>
      </c>
      <c r="N152" s="277">
        <f>IFERROR(IF($B152="N/A","N/A",IF(MOD(COLUMNS($H$151:N$151)-1,$E152)=0,$F152*$D152*$G152,)),)</f>
        <v>0</v>
      </c>
      <c r="O152" s="277">
        <f>IFERROR(IF($B152="N/A","N/A",IF(MOD(COLUMNS($H$151:O$151)-1,$E152)=0,$F152*$D152*$G152,)),)</f>
        <v>0</v>
      </c>
      <c r="P152" s="277">
        <f>IFERROR(IF($B152="N/A","N/A",IF(MOD(COLUMNS($H$151:P$151)-1,$E152)=0,$F152*$D152*$G152,)),)</f>
        <v>0</v>
      </c>
      <c r="Q152" s="277">
        <f>IFERROR(IF($B152="N/A","N/A",IF(MOD(COLUMNS($H$151:Q$151)-1,$E152)=0,$F152*$D152*$G152,)),)</f>
        <v>0</v>
      </c>
      <c r="R152" s="277">
        <f>IFERROR(IF($B152="N/A","N/A",IF(MOD(COLUMNS($H$151:R$151)-1,$E152)=0,$F152*$D152*$G152,)),)</f>
        <v>12249.999999999998</v>
      </c>
      <c r="S152" s="277">
        <f>IFERROR(IF($B152="N/A","N/A",IF(MOD(COLUMNS($H$151:S$151)-1,$E152)=0,$F152*$D152*$G152,)),)</f>
        <v>0</v>
      </c>
      <c r="T152" s="277">
        <f>IFERROR(IF($B152="N/A","N/A",IF(MOD(COLUMNS($H$151:T$151)-1,$E152)=0,$F152*$D152*$G152,)),)</f>
        <v>0</v>
      </c>
      <c r="U152" s="277">
        <f>IFERROR(IF($B152="N/A","N/A",IF(MOD(COLUMNS($H$151:U$151)-1,$E152)=0,$F152*$D152*$G152,)),)</f>
        <v>0</v>
      </c>
      <c r="V152" s="277">
        <f>IFERROR(IF($B152="N/A","N/A",IF(MOD(COLUMNS($H$151:V$151)-1,$E152)=0,$F152*$D152*$G152,)),)</f>
        <v>0</v>
      </c>
      <c r="W152" s="277">
        <f>IFERROR(IF($B152="N/A","N/A",IF(MOD(COLUMNS($H$151:W$151)-1,$E152)=0,$F152*$D152*$G152,)),)</f>
        <v>12249.999999999998</v>
      </c>
    </row>
    <row r="153" spans="2:23">
      <c r="B153" s="76" t="str">
        <f t="array" ref="B153">IF(COUNTIFS(INDEX(Equipment_Allocation_New,0,MATCH($C$107,Unit_codes,0)),"&gt;0")&lt;ROWS('2.2-Equipment input'!$X$8:$X9),"N/A",INDEX('2.2-Equipment input'!B:B,SMALL(IF(INDEX(Equipment_Allocation_New,0,MATCH($C$107,Unit_codes,0))&gt;0,ROW(equipment_ID)),ROW('2.2-Equipment input'!B2))))</f>
        <v>eq0004</v>
      </c>
      <c r="C153" s="76" t="str">
        <f>IF($B153="N/A","N/A",INDEX(Equipment_name[],MATCH(B153,equipment_ID,0)))</f>
        <v>Pallets</v>
      </c>
      <c r="D153" s="277">
        <f t="shared" si="19"/>
        <v>10.499999999999998</v>
      </c>
      <c r="E153" s="94">
        <f t="shared" si="20"/>
        <v>5</v>
      </c>
      <c r="F153" s="187">
        <f t="shared" si="21"/>
        <v>120</v>
      </c>
      <c r="G153" s="189">
        <f t="shared" si="22"/>
        <v>0.4</v>
      </c>
      <c r="H153" s="277">
        <f>IFERROR(IF($B153="N/A","N/A",IF(MOD(COLUMNS(H$151:$H$151)-1,$E153)=0,$F153*$D153*$G153,)),)</f>
        <v>503.99999999999994</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503.99999999999994</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503.99999999999994</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503.99999999999994</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eq0005</v>
      </c>
      <c r="C154" s="76" t="str">
        <f>IF($B154="N/A","N/A",INDEX(Equipment_name[],MATCH(B154,equipment_ID,0)))</f>
        <v>Ventilation frames</v>
      </c>
      <c r="D154" s="277">
        <f t="shared" si="19"/>
        <v>17.5</v>
      </c>
      <c r="E154" s="94">
        <f t="shared" si="20"/>
        <v>5</v>
      </c>
      <c r="F154" s="187">
        <f t="shared" si="21"/>
        <v>720</v>
      </c>
      <c r="G154" s="189">
        <f t="shared" si="22"/>
        <v>0.5</v>
      </c>
      <c r="H154" s="277">
        <f>IFERROR(IF($B154="N/A","N/A",IF(MOD(COLUMNS(H$151:$H$151)-1,$E154)=0,$F154*$D154*$G154,)),)</f>
        <v>6300</v>
      </c>
      <c r="I154" s="277">
        <f>IFERROR(IF($B154="N/A","N/A",IF(MOD(COLUMNS($H$151:I$151)-1,$E154)=0,$F154*$D154*$G154,)),)</f>
        <v>0</v>
      </c>
      <c r="J154" s="277">
        <f>IFERROR(IF($B154="N/A","N/A",IF(MOD(COLUMNS($H$151:J$151)-1,$E154)=0,$F154*$D154*$G154,)),)</f>
        <v>0</v>
      </c>
      <c r="K154" s="277">
        <f>IFERROR(IF($B154="N/A","N/A",IF(MOD(COLUMNS($H$151:K$151)-1,$E154)=0,$F154*$D154*$G154,)),)</f>
        <v>0</v>
      </c>
      <c r="L154" s="277">
        <f>IFERROR(IF($B154="N/A","N/A",IF(MOD(COLUMNS($H$151:L$151)-1,$E154)=0,$F154*$D154*$G154,)),)</f>
        <v>0</v>
      </c>
      <c r="M154" s="277">
        <f>IFERROR(IF($B154="N/A","N/A",IF(MOD(COLUMNS($H$151:M$151)-1,$E154)=0,$F154*$D154*$G154,)),)</f>
        <v>6300</v>
      </c>
      <c r="N154" s="277">
        <f>IFERROR(IF($B154="N/A","N/A",IF(MOD(COLUMNS($H$151:N$151)-1,$E154)=0,$F154*$D154*$G154,)),)</f>
        <v>0</v>
      </c>
      <c r="O154" s="277">
        <f>IFERROR(IF($B154="N/A","N/A",IF(MOD(COLUMNS($H$151:O$151)-1,$E154)=0,$F154*$D154*$G154,)),)</f>
        <v>0</v>
      </c>
      <c r="P154" s="277">
        <f>IFERROR(IF($B154="N/A","N/A",IF(MOD(COLUMNS($H$151:P$151)-1,$E154)=0,$F154*$D154*$G154,)),)</f>
        <v>0</v>
      </c>
      <c r="Q154" s="277">
        <f>IFERROR(IF($B154="N/A","N/A",IF(MOD(COLUMNS($H$151:Q$151)-1,$E154)=0,$F154*$D154*$G154,)),)</f>
        <v>0</v>
      </c>
      <c r="R154" s="277">
        <f>IFERROR(IF($B154="N/A","N/A",IF(MOD(COLUMNS($H$151:R$151)-1,$E154)=0,$F154*$D154*$G154,)),)</f>
        <v>6300</v>
      </c>
      <c r="S154" s="277">
        <f>IFERROR(IF($B154="N/A","N/A",IF(MOD(COLUMNS($H$151:S$151)-1,$E154)=0,$F154*$D154*$G154,)),)</f>
        <v>0</v>
      </c>
      <c r="T154" s="277">
        <f>IFERROR(IF($B154="N/A","N/A",IF(MOD(COLUMNS($H$151:T$151)-1,$E154)=0,$F154*$D154*$G154,)),)</f>
        <v>0</v>
      </c>
      <c r="U154" s="277">
        <f>IFERROR(IF($B154="N/A","N/A",IF(MOD(COLUMNS($H$151:U$151)-1,$E154)=0,$F154*$D154*$G154,)),)</f>
        <v>0</v>
      </c>
      <c r="V154" s="277">
        <f>IFERROR(IF($B154="N/A","N/A",IF(MOD(COLUMNS($H$151:V$151)-1,$E154)=0,$F154*$D154*$G154,)),)</f>
        <v>0</v>
      </c>
      <c r="W154" s="277">
        <f>IFERROR(IF($B154="N/A","N/A",IF(MOD(COLUMNS($H$151:W$151)-1,$E154)=0,$F154*$D154*$G154,)),)</f>
        <v>6300</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eq0006</v>
      </c>
      <c r="C155" s="76" t="str">
        <f>IF($B155="N/A","N/A",INDEX(Equipment_name[],MATCH(B155,equipment_ID,0)))</f>
        <v>Pallet trolley</v>
      </c>
      <c r="D155" s="277">
        <f t="shared" si="19"/>
        <v>209.99999999999997</v>
      </c>
      <c r="E155" s="94">
        <f t="shared" si="20"/>
        <v>5</v>
      </c>
      <c r="F155" s="187">
        <f t="shared" si="21"/>
        <v>2</v>
      </c>
      <c r="G155" s="189">
        <f t="shared" si="22"/>
        <v>0.4</v>
      </c>
      <c r="H155" s="277">
        <f>IFERROR(IF($B155="N/A","N/A",IF(MOD(COLUMNS(H$151:$H$151)-1,$E155)=0,$F155*$D155*$G155,)),)</f>
        <v>168</v>
      </c>
      <c r="I155" s="277">
        <f>IFERROR(IF($B155="N/A","N/A",IF(MOD(COLUMNS($H$151:I$151)-1,$E155)=0,$F155*$D155*$G155,)),)</f>
        <v>0</v>
      </c>
      <c r="J155" s="277">
        <f>IFERROR(IF($B155="N/A","N/A",IF(MOD(COLUMNS($H$151:J$151)-1,$E155)=0,$F155*$D155*$G155,)),)</f>
        <v>0</v>
      </c>
      <c r="K155" s="277">
        <f>IFERROR(IF($B155="N/A","N/A",IF(MOD(COLUMNS($H$151:K$151)-1,$E155)=0,$F155*$D155*$G155,)),)</f>
        <v>0</v>
      </c>
      <c r="L155" s="277">
        <f>IFERROR(IF($B155="N/A","N/A",IF(MOD(COLUMNS($H$151:L$151)-1,$E155)=0,$F155*$D155*$G155,)),)</f>
        <v>0</v>
      </c>
      <c r="M155" s="277">
        <f>IFERROR(IF($B155="N/A","N/A",IF(MOD(COLUMNS($H$151:M$151)-1,$E155)=0,$F155*$D155*$G155,)),)</f>
        <v>168</v>
      </c>
      <c r="N155" s="277">
        <f>IFERROR(IF($B155="N/A","N/A",IF(MOD(COLUMNS($H$151:N$151)-1,$E155)=0,$F155*$D155*$G155,)),)</f>
        <v>0</v>
      </c>
      <c r="O155" s="277">
        <f>IFERROR(IF($B155="N/A","N/A",IF(MOD(COLUMNS($H$151:O$151)-1,$E155)=0,$F155*$D155*$G155,)),)</f>
        <v>0</v>
      </c>
      <c r="P155" s="277">
        <f>IFERROR(IF($B155="N/A","N/A",IF(MOD(COLUMNS($H$151:P$151)-1,$E155)=0,$F155*$D155*$G155,)),)</f>
        <v>0</v>
      </c>
      <c r="Q155" s="277">
        <f>IFERROR(IF($B155="N/A","N/A",IF(MOD(COLUMNS($H$151:Q$151)-1,$E155)=0,$F155*$D155*$G155,)),)</f>
        <v>0</v>
      </c>
      <c r="R155" s="277">
        <f>IFERROR(IF($B155="N/A","N/A",IF(MOD(COLUMNS($H$151:R$151)-1,$E155)=0,$F155*$D155*$G155,)),)</f>
        <v>168</v>
      </c>
      <c r="S155" s="277">
        <f>IFERROR(IF($B155="N/A","N/A",IF(MOD(COLUMNS($H$151:S$151)-1,$E155)=0,$F155*$D155*$G155,)),)</f>
        <v>0</v>
      </c>
      <c r="T155" s="277">
        <f>IFERROR(IF($B155="N/A","N/A",IF(MOD(COLUMNS($H$151:T$151)-1,$E155)=0,$F155*$D155*$G155,)),)</f>
        <v>0</v>
      </c>
      <c r="U155" s="277">
        <f>IFERROR(IF($B155="N/A","N/A",IF(MOD(COLUMNS($H$151:U$151)-1,$E155)=0,$F155*$D155*$G155,)),)</f>
        <v>0</v>
      </c>
      <c r="V155" s="277">
        <f>IFERROR(IF($B155="N/A","N/A",IF(MOD(COLUMNS($H$151:V$151)-1,$E155)=0,$F155*$D155*$G155,)),)</f>
        <v>0</v>
      </c>
      <c r="W155" s="277">
        <f>IFERROR(IF($B155="N/A","N/A",IF(MOD(COLUMNS($H$151:W$151)-1,$E155)=0,$F155*$D155*$G155,)),)</f>
        <v>168</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eq0008</v>
      </c>
      <c r="C156" s="76" t="str">
        <f>IF($B156="N/A","N/A",INDEX(Equipment_name[],MATCH(B156,equipment_ID,0)))</f>
        <v>High pressure cleaner</v>
      </c>
      <c r="D156" s="277">
        <f t="shared" si="19"/>
        <v>630</v>
      </c>
      <c r="E156" s="94">
        <f t="shared" si="20"/>
        <v>3</v>
      </c>
      <c r="F156" s="187">
        <f t="shared" si="21"/>
        <v>2</v>
      </c>
      <c r="G156" s="189">
        <f t="shared" si="22"/>
        <v>0.25</v>
      </c>
      <c r="H156" s="277">
        <f>IFERROR(IF($B156="N/A","N/A",IF(MOD(COLUMNS(H$151:$H$151)-1,$E156)=0,$F156*$D156*$G156,)),)</f>
        <v>315</v>
      </c>
      <c r="I156" s="277">
        <f>IFERROR(IF($B156="N/A","N/A",IF(MOD(COLUMNS($H$151:I$151)-1,$E156)=0,$F156*$D156*$G156,)),)</f>
        <v>0</v>
      </c>
      <c r="J156" s="277">
        <f>IFERROR(IF($B156="N/A","N/A",IF(MOD(COLUMNS($H$151:J$151)-1,$E156)=0,$F156*$D156*$G156,)),)</f>
        <v>0</v>
      </c>
      <c r="K156" s="277">
        <f>IFERROR(IF($B156="N/A","N/A",IF(MOD(COLUMNS($H$151:K$151)-1,$E156)=0,$F156*$D156*$G156,)),)</f>
        <v>315</v>
      </c>
      <c r="L156" s="277">
        <f>IFERROR(IF($B156="N/A","N/A",IF(MOD(COLUMNS($H$151:L$151)-1,$E156)=0,$F156*$D156*$G156,)),)</f>
        <v>0</v>
      </c>
      <c r="M156" s="277">
        <f>IFERROR(IF($B156="N/A","N/A",IF(MOD(COLUMNS($H$151:M$151)-1,$E156)=0,$F156*$D156*$G156,)),)</f>
        <v>0</v>
      </c>
      <c r="N156" s="277">
        <f>IFERROR(IF($B156="N/A","N/A",IF(MOD(COLUMNS($H$151:N$151)-1,$E156)=0,$F156*$D156*$G156,)),)</f>
        <v>315</v>
      </c>
      <c r="O156" s="277">
        <f>IFERROR(IF($B156="N/A","N/A",IF(MOD(COLUMNS($H$151:O$151)-1,$E156)=0,$F156*$D156*$G156,)),)</f>
        <v>0</v>
      </c>
      <c r="P156" s="277">
        <f>IFERROR(IF($B156="N/A","N/A",IF(MOD(COLUMNS($H$151:P$151)-1,$E156)=0,$F156*$D156*$G156,)),)</f>
        <v>0</v>
      </c>
      <c r="Q156" s="277">
        <f>IFERROR(IF($B156="N/A","N/A",IF(MOD(COLUMNS($H$151:Q$151)-1,$E156)=0,$F156*$D156*$G156,)),)</f>
        <v>315</v>
      </c>
      <c r="R156" s="277">
        <f>IFERROR(IF($B156="N/A","N/A",IF(MOD(COLUMNS($H$151:R$151)-1,$E156)=0,$F156*$D156*$G156,)),)</f>
        <v>0</v>
      </c>
      <c r="S156" s="277">
        <f>IFERROR(IF($B156="N/A","N/A",IF(MOD(COLUMNS($H$151:S$151)-1,$E156)=0,$F156*$D156*$G156,)),)</f>
        <v>0</v>
      </c>
      <c r="T156" s="277">
        <f>IFERROR(IF($B156="N/A","N/A",IF(MOD(COLUMNS($H$151:T$151)-1,$E156)=0,$F156*$D156*$G156,)),)</f>
        <v>315</v>
      </c>
      <c r="U156" s="277">
        <f>IFERROR(IF($B156="N/A","N/A",IF(MOD(COLUMNS($H$151:U$151)-1,$E156)=0,$F156*$D156*$G156,)),)</f>
        <v>0</v>
      </c>
      <c r="V156" s="277">
        <f>IFERROR(IF($B156="N/A","N/A",IF(MOD(COLUMNS($H$151:V$151)-1,$E156)=0,$F156*$D156*$G156,)),)</f>
        <v>0</v>
      </c>
      <c r="W156" s="277">
        <f>IFERROR(IF($B156="N/A","N/A",IF(MOD(COLUMNS($H$151:W$151)-1,$E156)=0,$F156*$D156*$G156,)),)</f>
        <v>315</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eq0030</v>
      </c>
      <c r="C157" s="76" t="str">
        <f>IF($B157="N/A","N/A",INDEX(Equipment_name[],MATCH(B157,equipment_ID,0)))</f>
        <v>Measuring balance ("heavy" duty)</v>
      </c>
      <c r="D157" s="277">
        <f t="shared" si="19"/>
        <v>174.99999999999997</v>
      </c>
      <c r="E157" s="94">
        <f t="shared" si="20"/>
        <v>5</v>
      </c>
      <c r="F157" s="187">
        <f t="shared" si="21"/>
        <v>3</v>
      </c>
      <c r="G157" s="189">
        <f t="shared" si="22"/>
        <v>0.2</v>
      </c>
      <c r="H157" s="277">
        <f>IFERROR(IF($B157="N/A","N/A",IF(MOD(COLUMNS(H$151:$H$151)-1,$E157)=0,$F157*$D157*$G157,)),)</f>
        <v>104.99999999999999</v>
      </c>
      <c r="I157" s="277">
        <f>IFERROR(IF($B157="N/A","N/A",IF(MOD(COLUMNS($H$151:I$151)-1,$E157)=0,$F157*$D157*$G157,)),)</f>
        <v>0</v>
      </c>
      <c r="J157" s="277">
        <f>IFERROR(IF($B157="N/A","N/A",IF(MOD(COLUMNS($H$151:J$151)-1,$E157)=0,$F157*$D157*$G157,)),)</f>
        <v>0</v>
      </c>
      <c r="K157" s="277">
        <f>IFERROR(IF($B157="N/A","N/A",IF(MOD(COLUMNS($H$151:K$151)-1,$E157)=0,$F157*$D157*$G157,)),)</f>
        <v>0</v>
      </c>
      <c r="L157" s="277">
        <f>IFERROR(IF($B157="N/A","N/A",IF(MOD(COLUMNS($H$151:L$151)-1,$E157)=0,$F157*$D157*$G157,)),)</f>
        <v>0</v>
      </c>
      <c r="M157" s="277">
        <f>IFERROR(IF($B157="N/A","N/A",IF(MOD(COLUMNS($H$151:M$151)-1,$E157)=0,$F157*$D157*$G157,)),)</f>
        <v>104.99999999999999</v>
      </c>
      <c r="N157" s="277">
        <f>IFERROR(IF($B157="N/A","N/A",IF(MOD(COLUMNS($H$151:N$151)-1,$E157)=0,$F157*$D157*$G157,)),)</f>
        <v>0</v>
      </c>
      <c r="O157" s="277">
        <f>IFERROR(IF($B157="N/A","N/A",IF(MOD(COLUMNS($H$151:O$151)-1,$E157)=0,$F157*$D157*$G157,)),)</f>
        <v>0</v>
      </c>
      <c r="P157" s="277">
        <f>IFERROR(IF($B157="N/A","N/A",IF(MOD(COLUMNS($H$151:P$151)-1,$E157)=0,$F157*$D157*$G157,)),)</f>
        <v>0</v>
      </c>
      <c r="Q157" s="277">
        <f>IFERROR(IF($B157="N/A","N/A",IF(MOD(COLUMNS($H$151:Q$151)-1,$E157)=0,$F157*$D157*$G157,)),)</f>
        <v>0</v>
      </c>
      <c r="R157" s="277">
        <f>IFERROR(IF($B157="N/A","N/A",IF(MOD(COLUMNS($H$151:R$151)-1,$E157)=0,$F157*$D157*$G157,)),)</f>
        <v>104.99999999999999</v>
      </c>
      <c r="S157" s="277">
        <f>IFERROR(IF($B157="N/A","N/A",IF(MOD(COLUMNS($H$151:S$151)-1,$E157)=0,$F157*$D157*$G157,)),)</f>
        <v>0</v>
      </c>
      <c r="T157" s="277">
        <f>IFERROR(IF($B157="N/A","N/A",IF(MOD(COLUMNS($H$151:T$151)-1,$E157)=0,$F157*$D157*$G157,)),)</f>
        <v>0</v>
      </c>
      <c r="U157" s="277">
        <f>IFERROR(IF($B157="N/A","N/A",IF(MOD(COLUMNS($H$151:U$151)-1,$E157)=0,$F157*$D157*$G157,)),)</f>
        <v>0</v>
      </c>
      <c r="V157" s="277">
        <f>IFERROR(IF($B157="N/A","N/A",IF(MOD(COLUMNS($H$151:V$151)-1,$E157)=0,$F157*$D157*$G157,)),)</f>
        <v>0</v>
      </c>
      <c r="W157" s="277">
        <f>IFERROR(IF($B157="N/A","N/A",IF(MOD(COLUMNS($H$151:W$151)-1,$E157)=0,$F157*$D157*$G157,)),)</f>
        <v>104.99999999999999</v>
      </c>
    </row>
    <row r="158" spans="2:23">
      <c r="B158" s="76" t="str">
        <f t="array" ref="B158">IF(COUNTIFS(INDEX(Equipment_Allocation_New,0,MATCH($C$107,Unit_codes,0)),"&gt;0")&lt;ROWS('2.2-Equipment input'!$X$8:$X14),"N/A",INDEX('2.2-Equipment input'!B:B,SMALL(IF(INDEX(Equipment_Allocation_New,0,MATCH($C$107,Unit_codes,0))&gt;0,ROW(equipment_ID)),ROW('2.2-Equipment input'!B7))))</f>
        <v>eq0032</v>
      </c>
      <c r="C158" s="76" t="str">
        <f>IF($B158="N/A","N/A",INDEX(Equipment_name[],MATCH(B158,equipment_ID,0)))</f>
        <v>Measuring balance (nursery)</v>
      </c>
      <c r="D158" s="277">
        <f t="shared" si="19"/>
        <v>349.99999999999994</v>
      </c>
      <c r="E158" s="94">
        <f t="shared" si="20"/>
        <v>5</v>
      </c>
      <c r="F158" s="187">
        <f t="shared" si="21"/>
        <v>3</v>
      </c>
      <c r="G158" s="189">
        <f t="shared" si="22"/>
        <v>0.2</v>
      </c>
      <c r="H158" s="277">
        <f>IFERROR(IF($B158="N/A","N/A",IF(MOD(COLUMNS(H$151:$H$151)-1,$E158)=0,$F158*$D158*$G158,)),)</f>
        <v>209.99999999999997</v>
      </c>
      <c r="I158" s="277">
        <f>IFERROR(IF($B158="N/A","N/A",IF(MOD(COLUMNS($H$151:I$151)-1,$E158)=0,$F158*$D158*$G158,)),)</f>
        <v>0</v>
      </c>
      <c r="J158" s="277">
        <f>IFERROR(IF($B158="N/A","N/A",IF(MOD(COLUMNS($H$151:J$151)-1,$E158)=0,$F158*$D158*$G158,)),)</f>
        <v>0</v>
      </c>
      <c r="K158" s="277">
        <f>IFERROR(IF($B158="N/A","N/A",IF(MOD(COLUMNS($H$151:K$151)-1,$E158)=0,$F158*$D158*$G158,)),)</f>
        <v>0</v>
      </c>
      <c r="L158" s="277">
        <f>IFERROR(IF($B158="N/A","N/A",IF(MOD(COLUMNS($H$151:L$151)-1,$E158)=0,$F158*$D158*$G158,)),)</f>
        <v>0</v>
      </c>
      <c r="M158" s="277">
        <f>IFERROR(IF($B158="N/A","N/A",IF(MOD(COLUMNS($H$151:M$151)-1,$E158)=0,$F158*$D158*$G158,)),)</f>
        <v>209.99999999999997</v>
      </c>
      <c r="N158" s="277">
        <f>IFERROR(IF($B158="N/A","N/A",IF(MOD(COLUMNS($H$151:N$151)-1,$E158)=0,$F158*$D158*$G158,)),)</f>
        <v>0</v>
      </c>
      <c r="O158" s="277">
        <f>IFERROR(IF($B158="N/A","N/A",IF(MOD(COLUMNS($H$151:O$151)-1,$E158)=0,$F158*$D158*$G158,)),)</f>
        <v>0</v>
      </c>
      <c r="P158" s="277">
        <f>IFERROR(IF($B158="N/A","N/A",IF(MOD(COLUMNS($H$151:P$151)-1,$E158)=0,$F158*$D158*$G158,)),)</f>
        <v>0</v>
      </c>
      <c r="Q158" s="277">
        <f>IFERROR(IF($B158="N/A","N/A",IF(MOD(COLUMNS($H$151:Q$151)-1,$E158)=0,$F158*$D158*$G158,)),)</f>
        <v>0</v>
      </c>
      <c r="R158" s="277">
        <f>IFERROR(IF($B158="N/A","N/A",IF(MOD(COLUMNS($H$151:R$151)-1,$E158)=0,$F158*$D158*$G158,)),)</f>
        <v>209.99999999999997</v>
      </c>
      <c r="S158" s="277">
        <f>IFERROR(IF($B158="N/A","N/A",IF(MOD(COLUMNS($H$151:S$151)-1,$E158)=0,$F158*$D158*$G158,)),)</f>
        <v>0</v>
      </c>
      <c r="T158" s="277">
        <f>IFERROR(IF($B158="N/A","N/A",IF(MOD(COLUMNS($H$151:T$151)-1,$E158)=0,$F158*$D158*$G158,)),)</f>
        <v>0</v>
      </c>
      <c r="U158" s="277">
        <f>IFERROR(IF($B158="N/A","N/A",IF(MOD(COLUMNS($H$151:U$151)-1,$E158)=0,$F158*$D158*$G158,)),)</f>
        <v>0</v>
      </c>
      <c r="V158" s="277">
        <f>IFERROR(IF($B158="N/A","N/A",IF(MOD(COLUMNS($H$151:V$151)-1,$E158)=0,$F158*$D158*$G158,)),)</f>
        <v>0</v>
      </c>
      <c r="W158" s="277">
        <f>IFERROR(IF($B158="N/A","N/A",IF(MOD(COLUMNS($H$151:W$151)-1,$E158)=0,$F158*$D158*$G158,)),)</f>
        <v>209.99999999999997</v>
      </c>
    </row>
    <row r="159" spans="2:23">
      <c r="B159" s="76" t="str">
        <f t="array" ref="B159">IF(COUNTIFS(INDEX(Equipment_Allocation_New,0,MATCH($C$107,Unit_codes,0)),"&gt;0")&lt;ROWS('2.2-Equipment input'!$X$8:$X15),"N/A",INDEX('2.2-Equipment input'!B:B,SMALL(IF(INDEX(Equipment_Allocation_New,0,MATCH($C$107,Unit_codes,0))&gt;0,ROW(equipment_ID)),ROW('2.2-Equipment input'!B8))))</f>
        <v>N/A</v>
      </c>
      <c r="C159" s="76" t="str">
        <f>IF($B159="N/A","N/A",INDEX(Equipment_name[],MATCH(B159,equipment_ID,0)))</f>
        <v>N/A</v>
      </c>
      <c r="D159" s="277" t="str">
        <f t="shared" si="19"/>
        <v>N/A</v>
      </c>
      <c r="E159" s="94" t="str">
        <f t="shared" si="20"/>
        <v>N/A</v>
      </c>
      <c r="F159" s="187" t="str">
        <f t="shared" si="21"/>
        <v>N/A</v>
      </c>
      <c r="G159" s="189" t="str">
        <f t="shared" si="22"/>
        <v>N/A</v>
      </c>
      <c r="H159" s="277" t="str">
        <f>IFERROR(IF($B159="N/A","N/A",IF(MOD(COLUMNS(H$151:$H$151)-1,$E159)=0,$F159*$D159*$G159,)),)</f>
        <v>N/A</v>
      </c>
      <c r="I159" s="277" t="str">
        <f>IFERROR(IF($B159="N/A","N/A",IF(MOD(COLUMNS($H$151:I$151)-1,$E159)=0,$F159*$D159*$G159,)),)</f>
        <v>N/A</v>
      </c>
      <c r="J159" s="277" t="str">
        <f>IFERROR(IF($B159="N/A","N/A",IF(MOD(COLUMNS($H$151:J$151)-1,$E159)=0,$F159*$D159*$G159,)),)</f>
        <v>N/A</v>
      </c>
      <c r="K159" s="277" t="str">
        <f>IFERROR(IF($B159="N/A","N/A",IF(MOD(COLUMNS($H$151:K$151)-1,$E159)=0,$F159*$D159*$G159,)),)</f>
        <v>N/A</v>
      </c>
      <c r="L159" s="277" t="str">
        <f>IFERROR(IF($B159="N/A","N/A",IF(MOD(COLUMNS($H$151:L$151)-1,$E159)=0,$F159*$D159*$G159,)),)</f>
        <v>N/A</v>
      </c>
      <c r="M159" s="277" t="str">
        <f>IFERROR(IF($B159="N/A","N/A",IF(MOD(COLUMNS($H$151:M$151)-1,$E159)=0,$F159*$D159*$G159,)),)</f>
        <v>N/A</v>
      </c>
      <c r="N159" s="277" t="str">
        <f>IFERROR(IF($B159="N/A","N/A",IF(MOD(COLUMNS($H$151:N$151)-1,$E159)=0,$F159*$D159*$G159,)),)</f>
        <v>N/A</v>
      </c>
      <c r="O159" s="277" t="str">
        <f>IFERROR(IF($B159="N/A","N/A",IF(MOD(COLUMNS($H$151:O$151)-1,$E159)=0,$F159*$D159*$G159,)),)</f>
        <v>N/A</v>
      </c>
      <c r="P159" s="277" t="str">
        <f>IFERROR(IF($B159="N/A","N/A",IF(MOD(COLUMNS($H$151:P$151)-1,$E159)=0,$F159*$D159*$G159,)),)</f>
        <v>N/A</v>
      </c>
      <c r="Q159" s="277" t="str">
        <f>IFERROR(IF($B159="N/A","N/A",IF(MOD(COLUMNS($H$151:Q$151)-1,$E159)=0,$F159*$D159*$G159,)),)</f>
        <v>N/A</v>
      </c>
      <c r="R159" s="277" t="str">
        <f>IFERROR(IF($B159="N/A","N/A",IF(MOD(COLUMNS($H$151:R$151)-1,$E159)=0,$F159*$D159*$G159,)),)</f>
        <v>N/A</v>
      </c>
      <c r="S159" s="277" t="str">
        <f>IFERROR(IF($B159="N/A","N/A",IF(MOD(COLUMNS($H$151:S$151)-1,$E159)=0,$F159*$D159*$G159,)),)</f>
        <v>N/A</v>
      </c>
      <c r="T159" s="277" t="str">
        <f>IFERROR(IF($B159="N/A","N/A",IF(MOD(COLUMNS($H$151:T$151)-1,$E159)=0,$F159*$D159*$G159,)),)</f>
        <v>N/A</v>
      </c>
      <c r="U159" s="277" t="str">
        <f>IFERROR(IF($B159="N/A","N/A",IF(MOD(COLUMNS($H$151:U$151)-1,$E159)=0,$F159*$D159*$G159,)),)</f>
        <v>N/A</v>
      </c>
      <c r="V159" s="277" t="str">
        <f>IFERROR(IF($B159="N/A","N/A",IF(MOD(COLUMNS($H$151:V$151)-1,$E159)=0,$F159*$D159*$G159,)),)</f>
        <v>N/A</v>
      </c>
      <c r="W159" s="277" t="str">
        <f>IFERROR(IF($B159="N/A","N/A",IF(MOD(COLUMNS($H$151:W$151)-1,$E159)=0,$F159*$D159*$G159,)),)</f>
        <v>N/A</v>
      </c>
    </row>
    <row r="160" spans="2:23">
      <c r="B160" s="76" t="str">
        <f t="array" ref="B160">IF(COUNTIFS(INDEX(Equipment_Allocation_New,0,MATCH($C$107,Unit_codes,0)),"&gt;0")&lt;ROWS('2.2-Equipment input'!$X$8:$X16),"N/A",INDEX('2.2-Equipment input'!B:B,SMALL(IF(INDEX(Equipment_Allocation_New,0,MATCH($C$107,Unit_codes,0))&gt;0,ROW(equipment_ID)),ROW('2.2-Equipment input'!B9))))</f>
        <v>N/A</v>
      </c>
      <c r="C160" s="76" t="str">
        <f>IF($B160="N/A","N/A",INDEX(Equipment_name[],MATCH(B160,equipment_ID,0)))</f>
        <v>N/A</v>
      </c>
      <c r="D160" s="277" t="str">
        <f t="shared" si="19"/>
        <v>N/A</v>
      </c>
      <c r="E160" s="94" t="str">
        <f t="shared" si="20"/>
        <v>N/A</v>
      </c>
      <c r="F160" s="187" t="str">
        <f t="shared" si="21"/>
        <v>N/A</v>
      </c>
      <c r="G160" s="189" t="str">
        <f t="shared" si="22"/>
        <v>N/A</v>
      </c>
      <c r="H160" s="277" t="str">
        <f>IFERROR(IF($B160="N/A","N/A",IF(MOD(COLUMNS(H$151:$H$151)-1,$E160)=0,$F160*$D160*$G160,)),)</f>
        <v>N/A</v>
      </c>
      <c r="I160" s="277" t="str">
        <f>IFERROR(IF($B160="N/A","N/A",IF(MOD(COLUMNS($H$151:I$151)-1,$E160)=0,$F160*$D160*$G160,)),)</f>
        <v>N/A</v>
      </c>
      <c r="J160" s="277" t="str">
        <f>IFERROR(IF($B160="N/A","N/A",IF(MOD(COLUMNS($H$151:J$151)-1,$E160)=0,$F160*$D160*$G160,)),)</f>
        <v>N/A</v>
      </c>
      <c r="K160" s="277" t="str">
        <f>IFERROR(IF($B160="N/A","N/A",IF(MOD(COLUMNS($H$151:K$151)-1,$E160)=0,$F160*$D160*$G160,)),)</f>
        <v>N/A</v>
      </c>
      <c r="L160" s="277" t="str">
        <f>IFERROR(IF($B160="N/A","N/A",IF(MOD(COLUMNS($H$151:L$151)-1,$E160)=0,$F160*$D160*$G160,)),)</f>
        <v>N/A</v>
      </c>
      <c r="M160" s="277" t="str">
        <f>IFERROR(IF($B160="N/A","N/A",IF(MOD(COLUMNS($H$151:M$151)-1,$E160)=0,$F160*$D160*$G160,)),)</f>
        <v>N/A</v>
      </c>
      <c r="N160" s="277" t="str">
        <f>IFERROR(IF($B160="N/A","N/A",IF(MOD(COLUMNS($H$151:N$151)-1,$E160)=0,$F160*$D160*$G160,)),)</f>
        <v>N/A</v>
      </c>
      <c r="O160" s="277" t="str">
        <f>IFERROR(IF($B160="N/A","N/A",IF(MOD(COLUMNS($H$151:O$151)-1,$E160)=0,$F160*$D160*$G160,)),)</f>
        <v>N/A</v>
      </c>
      <c r="P160" s="277" t="str">
        <f>IFERROR(IF($B160="N/A","N/A",IF(MOD(COLUMNS($H$151:P$151)-1,$E160)=0,$F160*$D160*$G160,)),)</f>
        <v>N/A</v>
      </c>
      <c r="Q160" s="277" t="str">
        <f>IFERROR(IF($B160="N/A","N/A",IF(MOD(COLUMNS($H$151:Q$151)-1,$E160)=0,$F160*$D160*$G160,)),)</f>
        <v>N/A</v>
      </c>
      <c r="R160" s="277" t="str">
        <f>IFERROR(IF($B160="N/A","N/A",IF(MOD(COLUMNS($H$151:R$151)-1,$E160)=0,$F160*$D160*$G160,)),)</f>
        <v>N/A</v>
      </c>
      <c r="S160" s="277" t="str">
        <f>IFERROR(IF($B160="N/A","N/A",IF(MOD(COLUMNS($H$151:S$151)-1,$E160)=0,$F160*$D160*$G160,)),)</f>
        <v>N/A</v>
      </c>
      <c r="T160" s="277" t="str">
        <f>IFERROR(IF($B160="N/A","N/A",IF(MOD(COLUMNS($H$151:T$151)-1,$E160)=0,$F160*$D160*$G160,)),)</f>
        <v>N/A</v>
      </c>
      <c r="U160" s="277" t="str">
        <f>IFERROR(IF($B160="N/A","N/A",IF(MOD(COLUMNS($H$151:U$151)-1,$E160)=0,$F160*$D160*$G160,)),)</f>
        <v>N/A</v>
      </c>
      <c r="V160" s="277" t="str">
        <f>IFERROR(IF($B160="N/A","N/A",IF(MOD(COLUMNS($H$151:V$151)-1,$E160)=0,$F160*$D160*$G160,)),)</f>
        <v>N/A</v>
      </c>
      <c r="W160" s="277" t="str">
        <f>IFERROR(IF($B160="N/A","N/A",IF(MOD(COLUMNS($H$151:W$151)-1,$E160)=0,$F160*$D160*$G160,)),)</f>
        <v>N/A</v>
      </c>
    </row>
    <row r="161" spans="2:23">
      <c r="B161" s="76" t="str">
        <f t="array" ref="B161">IF(COUNTIFS(INDEX(Equipment_Allocation_New,0,MATCH($C$107,Unit_codes,0)),"&gt;0")&lt;ROWS('2.2-Equipment input'!$X$8:$X17),"N/A",INDEX('2.2-Equipment input'!B:B,SMALL(IF(INDEX(Equipment_Allocation_New,0,MATCH($C$107,Unit_codes,0))&gt;0,ROW(equipment_ID)),ROW('2.2-Equipment input'!B10))))</f>
        <v>N/A</v>
      </c>
      <c r="C161" s="76" t="str">
        <f>IF($B161="N/A","N/A",INDEX(Equipment_name[],MATCH(B161,equipment_ID,0)))</f>
        <v>N/A</v>
      </c>
      <c r="D161" s="277" t="str">
        <f t="shared" si="19"/>
        <v>N/A</v>
      </c>
      <c r="E161" s="94" t="str">
        <f t="shared" si="20"/>
        <v>N/A</v>
      </c>
      <c r="F161" s="187" t="str">
        <f t="shared" si="21"/>
        <v>N/A</v>
      </c>
      <c r="G161" s="187" t="str">
        <f t="shared" si="22"/>
        <v>N/A</v>
      </c>
      <c r="H161" s="277" t="str">
        <f>IFERROR(IF($B161="N/A","N/A",IF(MOD(COLUMNS(H$151:$H$151)-1,$E161)=0,$F161*$D161*$G161,)),)</f>
        <v>N/A</v>
      </c>
      <c r="I161" s="277" t="str">
        <f>IFERROR(IF($B161="N/A","N/A",IF(MOD(COLUMNS($H$151:I$151)-1,$E161)=0,$F161*$D161*$G161,)),)</f>
        <v>N/A</v>
      </c>
      <c r="J161" s="277" t="str">
        <f>IFERROR(IF($B161="N/A","N/A",IF(MOD(COLUMNS($H$151:J$151)-1,$E161)=0,$F161*$D161*$G161,)),)</f>
        <v>N/A</v>
      </c>
      <c r="K161" s="277" t="str">
        <f>IFERROR(IF($B161="N/A","N/A",IF(MOD(COLUMNS($H$151:K$151)-1,$E161)=0,$F161*$D161*$G161,)),)</f>
        <v>N/A</v>
      </c>
      <c r="L161" s="277" t="str">
        <f>IFERROR(IF($B161="N/A","N/A",IF(MOD(COLUMNS($H$151:L$151)-1,$E161)=0,$F161*$D161*$G161,)),)</f>
        <v>N/A</v>
      </c>
      <c r="M161" s="277" t="str">
        <f>IFERROR(IF($B161="N/A","N/A",IF(MOD(COLUMNS($H$151:M$151)-1,$E161)=0,$F161*$D161*$G161,)),)</f>
        <v>N/A</v>
      </c>
      <c r="N161" s="277" t="str">
        <f>IFERROR(IF($B161="N/A","N/A",IF(MOD(COLUMNS($H$151:N$151)-1,$E161)=0,$F161*$D161*$G161,)),)</f>
        <v>N/A</v>
      </c>
      <c r="O161" s="277" t="str">
        <f>IFERROR(IF($B161="N/A","N/A",IF(MOD(COLUMNS($H$151:O$151)-1,$E161)=0,$F161*$D161*$G161,)),)</f>
        <v>N/A</v>
      </c>
      <c r="P161" s="277" t="str">
        <f>IFERROR(IF($B161="N/A","N/A",IF(MOD(COLUMNS($H$151:P$151)-1,$E161)=0,$F161*$D161*$G161,)),)</f>
        <v>N/A</v>
      </c>
      <c r="Q161" s="277" t="str">
        <f>IFERROR(IF($B161="N/A","N/A",IF(MOD(COLUMNS($H$151:Q$151)-1,$E161)=0,$F161*$D161*$G161,)),)</f>
        <v>N/A</v>
      </c>
      <c r="R161" s="277" t="str">
        <f>IFERROR(IF($B161="N/A","N/A",IF(MOD(COLUMNS($H$151:R$151)-1,$E161)=0,$F161*$D161*$G161,)),)</f>
        <v>N/A</v>
      </c>
      <c r="S161" s="277" t="str">
        <f>IFERROR(IF($B161="N/A","N/A",IF(MOD(COLUMNS($H$151:S$151)-1,$E161)=0,$F161*$D161*$G161,)),)</f>
        <v>N/A</v>
      </c>
      <c r="T161" s="277" t="str">
        <f>IFERROR(IF($B161="N/A","N/A",IF(MOD(COLUMNS($H$151:T$151)-1,$E161)=0,$F161*$D161*$G161,)),)</f>
        <v>N/A</v>
      </c>
      <c r="U161" s="277" t="str">
        <f>IFERROR(IF($B161="N/A","N/A",IF(MOD(COLUMNS($H$151:U$151)-1,$E161)=0,$F161*$D161*$G161,)),)</f>
        <v>N/A</v>
      </c>
      <c r="V161" s="277" t="str">
        <f>IFERROR(IF($B161="N/A","N/A",IF(MOD(COLUMNS($H$151:V$151)-1,$E161)=0,$F161*$D161*$G161,)),)</f>
        <v>N/A</v>
      </c>
      <c r="W161" s="277" t="str">
        <f>IFERROR(IF($B161="N/A","N/A",IF(MOD(COLUMNS($H$151:W$151)-1,$E161)=0,$F161*$D161*$G161,)),)</f>
        <v>N/A</v>
      </c>
    </row>
    <row r="162" spans="2:23">
      <c r="B162" s="76" t="str">
        <f t="array" ref="B162">IF(COUNTIFS(INDEX(Equipment_Allocation_New,0,MATCH($C$107,Unit_codes,0)),"&gt;0")&lt;ROWS('2.2-Equipment input'!$X$8:$X18),"N/A",INDEX('2.2-Equipment input'!B:B,SMALL(IF(INDEX(Equipment_Allocation_New,0,MATCH($C$107,Unit_codes,0))&gt;0,ROW(equipment_ID)),ROW('2.2-Equipment input'!B11))))</f>
        <v>N/A</v>
      </c>
      <c r="C162" s="76" t="str">
        <f>IF($B162="N/A","N/A",INDEX(Equipment_name[],MATCH(B162,equipment_ID,0)))</f>
        <v>N/A</v>
      </c>
      <c r="D162" s="277" t="str">
        <f t="shared" si="19"/>
        <v>N/A</v>
      </c>
      <c r="E162" s="94" t="str">
        <f t="shared" si="20"/>
        <v>N/A</v>
      </c>
      <c r="F162" s="187" t="str">
        <f t="shared" si="21"/>
        <v>N/A</v>
      </c>
      <c r="G162" s="187" t="str">
        <f t="shared" si="22"/>
        <v>N/A</v>
      </c>
      <c r="H162" s="277" t="str">
        <f>IFERROR(IF($B162="N/A","N/A",IF(MOD(COLUMNS(H$151:$H$151)-1,$E162)=0,$F162*$D162*$G162,)),)</f>
        <v>N/A</v>
      </c>
      <c r="I162" s="277" t="str">
        <f>IFERROR(IF($B162="N/A","N/A",IF(MOD(COLUMNS($H$151:I$151)-1,$E162)=0,$F162*$D162*$G162,)),)</f>
        <v>N/A</v>
      </c>
      <c r="J162" s="277" t="str">
        <f>IFERROR(IF($B162="N/A","N/A",IF(MOD(COLUMNS($H$151:J$151)-1,$E162)=0,$F162*$D162*$G162,)),)</f>
        <v>N/A</v>
      </c>
      <c r="K162" s="277" t="str">
        <f>IFERROR(IF($B162="N/A","N/A",IF(MOD(COLUMNS($H$151:K$151)-1,$E162)=0,$F162*$D162*$G162,)),)</f>
        <v>N/A</v>
      </c>
      <c r="L162" s="277" t="str">
        <f>IFERROR(IF($B162="N/A","N/A",IF(MOD(COLUMNS($H$151:L$151)-1,$E162)=0,$F162*$D162*$G162,)),)</f>
        <v>N/A</v>
      </c>
      <c r="M162" s="277" t="str">
        <f>IFERROR(IF($B162="N/A","N/A",IF(MOD(COLUMNS($H$151:M$151)-1,$E162)=0,$F162*$D162*$G162,)),)</f>
        <v>N/A</v>
      </c>
      <c r="N162" s="277" t="str">
        <f>IFERROR(IF($B162="N/A","N/A",IF(MOD(COLUMNS($H$151:N$151)-1,$E162)=0,$F162*$D162*$G162,)),)</f>
        <v>N/A</v>
      </c>
      <c r="O162" s="277" t="str">
        <f>IFERROR(IF($B162="N/A","N/A",IF(MOD(COLUMNS($H$151:O$151)-1,$E162)=0,$F162*$D162*$G162,)),)</f>
        <v>N/A</v>
      </c>
      <c r="P162" s="277" t="str">
        <f>IFERROR(IF($B162="N/A","N/A",IF(MOD(COLUMNS($H$151:P$151)-1,$E162)=0,$F162*$D162*$G162,)),)</f>
        <v>N/A</v>
      </c>
      <c r="Q162" s="277" t="str">
        <f>IFERROR(IF($B162="N/A","N/A",IF(MOD(COLUMNS($H$151:Q$151)-1,$E162)=0,$F162*$D162*$G162,)),)</f>
        <v>N/A</v>
      </c>
      <c r="R162" s="277" t="str">
        <f>IFERROR(IF($B162="N/A","N/A",IF(MOD(COLUMNS($H$151:R$151)-1,$E162)=0,$F162*$D162*$G162,)),)</f>
        <v>N/A</v>
      </c>
      <c r="S162" s="277" t="str">
        <f>IFERROR(IF($B162="N/A","N/A",IF(MOD(COLUMNS($H$151:S$151)-1,$E162)=0,$F162*$D162*$G162,)),)</f>
        <v>N/A</v>
      </c>
      <c r="T162" s="277" t="str">
        <f>IFERROR(IF($B162="N/A","N/A",IF(MOD(COLUMNS($H$151:T$151)-1,$E162)=0,$F162*$D162*$G162,)),)</f>
        <v>N/A</v>
      </c>
      <c r="U162" s="277" t="str">
        <f>IFERROR(IF($B162="N/A","N/A",IF(MOD(COLUMNS($H$151:U$151)-1,$E162)=0,$F162*$D162*$G162,)),)</f>
        <v>N/A</v>
      </c>
      <c r="V162" s="277" t="str">
        <f>IFERROR(IF($B162="N/A","N/A",IF(MOD(COLUMNS($H$151:V$151)-1,$E162)=0,$F162*$D162*$G162,)),)</f>
        <v>N/A</v>
      </c>
      <c r="W162" s="277" t="str">
        <f>IFERROR(IF($B162="N/A","N/A",IF(MOD(COLUMNS($H$151:W$151)-1,$E162)=0,$F162*$D162*$G162,)),)</f>
        <v>N/A</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19"/>
        <v>N/A</v>
      </c>
      <c r="E163" s="94" t="str">
        <f t="shared" si="20"/>
        <v>N/A</v>
      </c>
      <c r="F163" s="187" t="str">
        <f t="shared" si="21"/>
        <v>N/A</v>
      </c>
      <c r="G163" s="187" t="str">
        <f t="shared" si="22"/>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19"/>
        <v>N/A</v>
      </c>
      <c r="E164" s="94" t="str">
        <f t="shared" si="20"/>
        <v>N/A</v>
      </c>
      <c r="F164" s="187" t="str">
        <f t="shared" si="21"/>
        <v>N/A</v>
      </c>
      <c r="G164" s="187" t="str">
        <f t="shared" si="22"/>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19"/>
        <v>N/A</v>
      </c>
      <c r="E165" s="94" t="str">
        <f t="shared" si="20"/>
        <v>N/A</v>
      </c>
      <c r="F165" s="187" t="str">
        <f t="shared" si="21"/>
        <v>N/A</v>
      </c>
      <c r="G165" s="187" t="str">
        <f t="shared" si="22"/>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19"/>
        <v>N/A</v>
      </c>
      <c r="E166" s="94" t="str">
        <f t="shared" si="20"/>
        <v>N/A</v>
      </c>
      <c r="F166" s="187" t="str">
        <f t="shared" si="21"/>
        <v>N/A</v>
      </c>
      <c r="G166" s="187" t="str">
        <f t="shared" si="22"/>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19"/>
        <v>N/A</v>
      </c>
      <c r="E167" s="94" t="str">
        <f t="shared" si="20"/>
        <v>N/A</v>
      </c>
      <c r="F167" s="187" t="str">
        <f t="shared" si="21"/>
        <v>N/A</v>
      </c>
      <c r="G167" s="187" t="str">
        <f t="shared" si="22"/>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19"/>
        <v>N/A</v>
      </c>
      <c r="E168" s="94" t="str">
        <f t="shared" si="20"/>
        <v>N/A</v>
      </c>
      <c r="F168" s="187" t="str">
        <f t="shared" si="21"/>
        <v>N/A</v>
      </c>
      <c r="G168" s="187" t="str">
        <f t="shared" si="22"/>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19"/>
        <v>N/A</v>
      </c>
      <c r="E169" s="94" t="str">
        <f t="shared" si="20"/>
        <v>N/A</v>
      </c>
      <c r="F169" s="187" t="str">
        <f t="shared" si="21"/>
        <v>N/A</v>
      </c>
      <c r="G169" s="187" t="str">
        <f t="shared" si="22"/>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19"/>
        <v>N/A</v>
      </c>
      <c r="E170" s="94" t="str">
        <f t="shared" si="20"/>
        <v>N/A</v>
      </c>
      <c r="F170" s="187" t="str">
        <f t="shared" si="21"/>
        <v>N/A</v>
      </c>
      <c r="G170" s="187" t="str">
        <f t="shared" si="22"/>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19"/>
        <v>N/A</v>
      </c>
      <c r="E171" s="94" t="str">
        <f t="shared" si="20"/>
        <v>N/A</v>
      </c>
      <c r="F171" s="187" t="str">
        <f t="shared" si="21"/>
        <v>N/A</v>
      </c>
      <c r="G171" s="187" t="str">
        <f t="shared" si="22"/>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187" t="str">
        <f t="shared" si="21"/>
        <v>N/A</v>
      </c>
      <c r="G172" s="187"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187" t="str">
        <f t="shared" si="21"/>
        <v>N/A</v>
      </c>
      <c r="G173" s="187"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187" t="str">
        <f t="shared" si="21"/>
        <v>N/A</v>
      </c>
      <c r="G174" s="187"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187" t="str">
        <f t="shared" si="21"/>
        <v>N/A</v>
      </c>
      <c r="G175" s="187"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187" t="str">
        <f t="shared" si="21"/>
        <v>N/A</v>
      </c>
      <c r="G176" s="187"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187" t="str">
        <f t="shared" si="21"/>
        <v>N/A</v>
      </c>
      <c r="G177" s="187"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187" t="str">
        <f t="shared" si="21"/>
        <v>N/A</v>
      </c>
      <c r="G178" s="187"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187" t="str">
        <f t="shared" si="21"/>
        <v>N/A</v>
      </c>
      <c r="G179" s="187"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187" t="str">
        <f t="shared" si="21"/>
        <v>N/A</v>
      </c>
      <c r="G180" s="187"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187" t="str">
        <f t="shared" si="21"/>
        <v>N/A</v>
      </c>
      <c r="G181" s="187"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187" t="str">
        <f t="shared" si="21"/>
        <v>N/A</v>
      </c>
      <c r="G182" s="187"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187" t="str">
        <f t="shared" si="21"/>
        <v>N/A</v>
      </c>
      <c r="G183" s="187"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187" t="str">
        <f t="shared" si="21"/>
        <v>N/A</v>
      </c>
      <c r="G184" s="187"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187" t="str">
        <f t="shared" si="21"/>
        <v>N/A</v>
      </c>
      <c r="G185" s="187"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187" t="str">
        <f t="shared" si="21"/>
        <v>N/A</v>
      </c>
      <c r="G186" s="187"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187" t="str">
        <f t="shared" si="21"/>
        <v>N/A</v>
      </c>
      <c r="G187" s="187"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187" t="str">
        <f t="shared" si="21"/>
        <v>N/A</v>
      </c>
      <c r="G188" s="187"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187" t="str">
        <f t="shared" si="21"/>
        <v>N/A</v>
      </c>
      <c r="G189" s="187"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bSRYncxDELU4SDzv25Dw1RePh54+jCxEnGuz/XK0BpzFqNfkt56KyNKTMHnsga8xqKpB90uRItMGiwcMpEcivQ==" saltValue="MyjGKeuxAxKgcMDtsnS0qA==" spinCount="100000" sheet="1" objects="1" scenarios="1"/>
  <mergeCells count="6">
    <mergeCell ref="B33:D33"/>
    <mergeCell ref="C48:D48"/>
    <mergeCell ref="C49:D49"/>
    <mergeCell ref="C79:D79"/>
    <mergeCell ref="C80:D80"/>
    <mergeCell ref="B43:D43"/>
  </mergeCells>
  <conditionalFormatting sqref="B110:C147">
    <cfRule type="containsText" dxfId="644" priority="99" operator="containsText" text="N/A">
      <formula>NOT(ISERROR(SEARCH("N/A",B110)))</formula>
    </cfRule>
  </conditionalFormatting>
  <conditionalFormatting sqref="E110:E147">
    <cfRule type="containsText" dxfId="643" priority="98" operator="containsText" text="N/A">
      <formula>NOT(ISERROR(SEARCH("N/A",E110)))</formula>
    </cfRule>
  </conditionalFormatting>
  <conditionalFormatting sqref="B52:B74 E52:E74">
    <cfRule type="containsText" dxfId="642" priority="97" operator="containsText" text="N/A">
      <formula>NOT(ISERROR(SEARCH("N/A",B52)))</formula>
    </cfRule>
  </conditionalFormatting>
  <conditionalFormatting sqref="C52:C74">
    <cfRule type="containsText" dxfId="641" priority="96" operator="containsText" text="N/A">
      <formula>NOT(ISERROR(SEARCH("N/A",C52)))</formula>
    </cfRule>
  </conditionalFormatting>
  <conditionalFormatting sqref="E20:E31">
    <cfRule type="containsText" dxfId="640" priority="71" operator="containsText" text="N/A">
      <formula>NOT(ISERROR(SEARCH("N/A",E20)))</formula>
    </cfRule>
  </conditionalFormatting>
  <conditionalFormatting sqref="F52:F74">
    <cfRule type="containsText" dxfId="639" priority="94" operator="containsText" text="N/A">
      <formula>NOT(ISERROR(SEARCH("N/A",F52)))</formula>
    </cfRule>
  </conditionalFormatting>
  <conditionalFormatting sqref="B83:B103 E83:E103">
    <cfRule type="containsText" dxfId="638" priority="93" operator="containsText" text="N/A">
      <formula>NOT(ISERROR(SEARCH("N/A",B83)))</formula>
    </cfRule>
  </conditionalFormatting>
  <conditionalFormatting sqref="C83:C103">
    <cfRule type="containsText" dxfId="637" priority="92" operator="containsText" text="N/A">
      <formula>NOT(ISERROR(SEARCH("N/A",C83)))</formula>
    </cfRule>
  </conditionalFormatting>
  <conditionalFormatting sqref="G152:G189">
    <cfRule type="containsText" dxfId="636" priority="73" operator="containsText" text="N/A">
      <formula>NOT(ISERROR(SEARCH("N/A",G152)))</formula>
    </cfRule>
  </conditionalFormatting>
  <conditionalFormatting sqref="F83:F103">
    <cfRule type="containsText" dxfId="635" priority="90" operator="containsText" text="N/A">
      <formula>NOT(ISERROR(SEARCH("N/A",F83)))</formula>
    </cfRule>
  </conditionalFormatting>
  <conditionalFormatting sqref="B20:D31">
    <cfRule type="containsText" dxfId="634" priority="89" operator="containsText" text="N/A">
      <formula>NOT(ISERROR(SEARCH("N/A",B20)))</formula>
    </cfRule>
  </conditionalFormatting>
  <conditionalFormatting sqref="F110:F147">
    <cfRule type="containsText" dxfId="633" priority="85" operator="containsText" text="N/A">
      <formula>NOT(ISERROR(SEARCH("N/A",F110)))</formula>
    </cfRule>
  </conditionalFormatting>
  <conditionalFormatting sqref="G110:G147">
    <cfRule type="containsText" dxfId="632" priority="88" operator="containsText" text="N/A">
      <formula>NOT(ISERROR(SEARCH("N/A",G110)))</formula>
    </cfRule>
  </conditionalFormatting>
  <conditionalFormatting sqref="I110:I147">
    <cfRule type="containsText" dxfId="631" priority="87" operator="containsText" text="N/A">
      <formula>NOT(ISERROR(SEARCH("N/A",I110)))</formula>
    </cfRule>
  </conditionalFormatting>
  <conditionalFormatting sqref="K110:K147">
    <cfRule type="containsText" dxfId="630" priority="86" operator="containsText" text="N/A">
      <formula>NOT(ISERROR(SEARCH("N/A",K110)))</formula>
    </cfRule>
  </conditionalFormatting>
  <conditionalFormatting sqref="B152:B189">
    <cfRule type="containsText" dxfId="629" priority="84" operator="containsText" text="N/A">
      <formula>NOT(ISERROR(SEARCH("N/A",B152)))</formula>
    </cfRule>
  </conditionalFormatting>
  <conditionalFormatting sqref="C152:C189">
    <cfRule type="containsText" dxfId="628" priority="83" operator="containsText" text="N/A">
      <formula>NOT(ISERROR(SEARCH("N/A",C152)))</formula>
    </cfRule>
  </conditionalFormatting>
  <conditionalFormatting sqref="F152:F189">
    <cfRule type="containsText" dxfId="627" priority="82" operator="containsText" text="N/A">
      <formula>NOT(ISERROR(SEARCH("N/A",F152)))</formula>
    </cfRule>
  </conditionalFormatting>
  <conditionalFormatting sqref="E152:E189">
    <cfRule type="containsText" dxfId="626" priority="80" operator="containsText" text="N/A">
      <formula>NOT(ISERROR(SEARCH("N/A",E152)))</formula>
    </cfRule>
  </conditionalFormatting>
  <conditionalFormatting sqref="H153:W189 I152:W152">
    <cfRule type="containsText" dxfId="625" priority="76" operator="containsText" text="N/A">
      <formula>NOT(ISERROR(SEARCH("N/A",H152)))</formula>
    </cfRule>
  </conditionalFormatting>
  <conditionalFormatting sqref="O110:O147">
    <cfRule type="containsText" dxfId="624" priority="70" operator="containsText" text="N/A">
      <formula>NOT(ISERROR(SEARCH("N/A",O110)))</formula>
    </cfRule>
  </conditionalFormatting>
  <conditionalFormatting sqref="H149:W149">
    <cfRule type="expression" dxfId="623" priority="13">
      <formula>IF(INDIRECT("General_Currency_Selection")="CHF",TRUE)</formula>
    </cfRule>
    <cfRule type="expression" dxfId="622" priority="14">
      <formula>IF(INDIRECT("General_Currency_Selection")="EUR",TRUE)</formula>
    </cfRule>
    <cfRule type="expression" dxfId="621" priority="15">
      <formula>IF(INDIRECT("General_Currency_Selection")="USD",TRUE)</formula>
    </cfRule>
  </conditionalFormatting>
  <conditionalFormatting sqref="F39:F41">
    <cfRule type="expression" dxfId="620" priority="64">
      <formula>IF(INDIRECT("General_Currency_Selection")="CHF",TRUE)</formula>
    </cfRule>
    <cfRule type="expression" dxfId="619" priority="65">
      <formula>IF(INDIRECT("General_Currency_Selection")="EUR",TRUE)</formula>
    </cfRule>
    <cfRule type="expression" dxfId="618" priority="66">
      <formula>IF(INDIRECT("General_Currency_Selection")="USD",TRUE)</formula>
    </cfRule>
  </conditionalFormatting>
  <conditionalFormatting sqref="E39:E41">
    <cfRule type="expression" dxfId="617" priority="61">
      <formula>IF(INDIRECT("General_Currency_Selection")="CHF",TRUE)</formula>
    </cfRule>
    <cfRule type="expression" dxfId="616" priority="62">
      <formula>IF(INDIRECT("General_Currency_Selection")="EUR",TRUE)</formula>
    </cfRule>
    <cfRule type="expression" dxfId="615" priority="63">
      <formula>IF(INDIRECT("General_Currency_Selection")="USD",TRUE)</formula>
    </cfRule>
  </conditionalFormatting>
  <conditionalFormatting sqref="E43:F43">
    <cfRule type="expression" dxfId="614" priority="58">
      <formula>IF(INDIRECT("General_Currency_Selection")="CHF",TRUE)</formula>
    </cfRule>
    <cfRule type="expression" dxfId="613" priority="59">
      <formula>IF(INDIRECT("General_Currency_Selection")="EUR",TRUE)</formula>
    </cfRule>
    <cfRule type="expression" dxfId="612" priority="60">
      <formula>IF(INDIRECT("General_Currency_Selection")="USD",TRUE)</formula>
    </cfRule>
  </conditionalFormatting>
  <conditionalFormatting sqref="G35">
    <cfRule type="expression" dxfId="611" priority="55">
      <formula>IF(INDIRECT("General_Currency_Selection")="CHF",TRUE)</formula>
    </cfRule>
    <cfRule type="expression" dxfId="610" priority="56">
      <formula>IF(INDIRECT("General_Currency_Selection")="EUR",TRUE)</formula>
    </cfRule>
    <cfRule type="expression" dxfId="609" priority="57">
      <formula>IF(INDIRECT("General_Currency_Selection")="USD",TRUE)</formula>
    </cfRule>
  </conditionalFormatting>
  <conditionalFormatting sqref="G15">
    <cfRule type="expression" dxfId="608" priority="52">
      <formula>IF(INDIRECT("General_Currency_Selection")="CHF",TRUE)</formula>
    </cfRule>
    <cfRule type="expression" dxfId="607" priority="53">
      <formula>IF(INDIRECT("General_Currency_Selection")="EUR",TRUE)</formula>
    </cfRule>
    <cfRule type="expression" dxfId="606" priority="54">
      <formula>IF(INDIRECT("General_Currency_Selection")="USD",TRUE)</formula>
    </cfRule>
  </conditionalFormatting>
  <conditionalFormatting sqref="G45">
    <cfRule type="expression" dxfId="605" priority="49">
      <formula>IF(INDIRECT("General_Currency_Selection")="CHF",TRUE)</formula>
    </cfRule>
    <cfRule type="expression" dxfId="604" priority="50">
      <formula>IF(INDIRECT("General_Currency_Selection")="EUR",TRUE)</formula>
    </cfRule>
    <cfRule type="expression" dxfId="603" priority="51">
      <formula>IF(INDIRECT("General_Currency_Selection")="USD",TRUE)</formula>
    </cfRule>
  </conditionalFormatting>
  <conditionalFormatting sqref="F20:F31">
    <cfRule type="expression" dxfId="602" priority="46">
      <formula>IF(INDIRECT("General_Currency_Selection")="CHF",TRUE)</formula>
    </cfRule>
    <cfRule type="expression" dxfId="601" priority="47">
      <formula>IF(INDIRECT("General_Currency_Selection")="EUR",TRUE)</formula>
    </cfRule>
    <cfRule type="expression" dxfId="600" priority="48">
      <formula>IF(INDIRECT("General_Currency_Selection")="USD",TRUE)</formula>
    </cfRule>
  </conditionalFormatting>
  <conditionalFormatting sqref="E33">
    <cfRule type="expression" dxfId="599" priority="43">
      <formula>IF(INDIRECT("General_Currency_Selection")="CHF",TRUE)</formula>
    </cfRule>
    <cfRule type="expression" dxfId="598" priority="44">
      <formula>IF(INDIRECT("General_Currency_Selection")="EUR",TRUE)</formula>
    </cfRule>
    <cfRule type="expression" dxfId="597" priority="45">
      <formula>IF(INDIRECT("General_Currency_Selection")="USD",TRUE)</formula>
    </cfRule>
  </conditionalFormatting>
  <conditionalFormatting sqref="H152:W189">
    <cfRule type="expression" dxfId="596" priority="10">
      <formula>IF(INDIRECT("General_Currency_Selection")="CHF",TRUE)</formula>
    </cfRule>
    <cfRule type="expression" dxfId="595" priority="11">
      <formula>IF(INDIRECT("General_Currency_Selection")="EUR",TRUE)</formula>
    </cfRule>
    <cfRule type="expression" dxfId="594" priority="12">
      <formula>IF(INDIRECT("General_Currency_Selection")="USD",TRUE)</formula>
    </cfRule>
  </conditionalFormatting>
  <conditionalFormatting sqref="D52:D74">
    <cfRule type="expression" dxfId="593" priority="40">
      <formula>IF(INDIRECT("General_Currency_Selection")="CHF",TRUE)</formula>
    </cfRule>
    <cfRule type="expression" dxfId="592" priority="41">
      <formula>IF(INDIRECT("General_Currency_Selection")="EUR",TRUE)</formula>
    </cfRule>
    <cfRule type="expression" dxfId="591" priority="42">
      <formula>IF(INDIRECT("General_Currency_Selection")="USD",TRUE)</formula>
    </cfRule>
  </conditionalFormatting>
  <conditionalFormatting sqref="G52:G74">
    <cfRule type="expression" dxfId="590" priority="37">
      <formula>IF(INDIRECT("General_Currency_Selection")="CHF",TRUE)</formula>
    </cfRule>
    <cfRule type="expression" dxfId="589" priority="38">
      <formula>IF(INDIRECT("General_Currency_Selection")="EUR",TRUE)</formula>
    </cfRule>
    <cfRule type="expression" dxfId="588" priority="39">
      <formula>IF(INDIRECT("General_Currency_Selection")="USD",TRUE)</formula>
    </cfRule>
  </conditionalFormatting>
  <conditionalFormatting sqref="G76">
    <cfRule type="expression" dxfId="587" priority="34">
      <formula>IF(INDIRECT("General_Currency_Selection")="CHF",TRUE)</formula>
    </cfRule>
    <cfRule type="expression" dxfId="586" priority="35">
      <formula>IF(INDIRECT("General_Currency_Selection")="EUR",TRUE)</formula>
    </cfRule>
    <cfRule type="expression" dxfId="585" priority="36">
      <formula>IF(INDIRECT("General_Currency_Selection")="USD",TRUE)</formula>
    </cfRule>
  </conditionalFormatting>
  <conditionalFormatting sqref="D83:D103">
    <cfRule type="expression" dxfId="584" priority="31">
      <formula>IF(INDIRECT("General_Currency_Selection")="CHF",TRUE)</formula>
    </cfRule>
    <cfRule type="expression" dxfId="583" priority="32">
      <formula>IF(INDIRECT("General_Currency_Selection")="EUR",TRUE)</formula>
    </cfRule>
    <cfRule type="expression" dxfId="582" priority="33">
      <formula>IF(INDIRECT("General_Currency_Selection")="USD",TRUE)</formula>
    </cfRule>
  </conditionalFormatting>
  <conditionalFormatting sqref="G83:G103">
    <cfRule type="expression" dxfId="581" priority="28">
      <formula>IF(INDIRECT("General_Currency_Selection")="CHF",TRUE)</formula>
    </cfRule>
    <cfRule type="expression" dxfId="580" priority="29">
      <formula>IF(INDIRECT("General_Currency_Selection")="EUR",TRUE)</formula>
    </cfRule>
    <cfRule type="expression" dxfId="579" priority="30">
      <formula>IF(INDIRECT("General_Currency_Selection")="USD",TRUE)</formula>
    </cfRule>
  </conditionalFormatting>
  <conditionalFormatting sqref="G105">
    <cfRule type="expression" dxfId="578" priority="25">
      <formula>IF(INDIRECT("General_Currency_Selection")="CHF",TRUE)</formula>
    </cfRule>
    <cfRule type="expression" dxfId="577" priority="26">
      <formula>IF(INDIRECT("General_Currency_Selection")="EUR",TRUE)</formula>
    </cfRule>
    <cfRule type="expression" dxfId="576" priority="27">
      <formula>IF(INDIRECT("General_Currency_Selection")="USD",TRUE)</formula>
    </cfRule>
  </conditionalFormatting>
  <conditionalFormatting sqref="D110:D147">
    <cfRule type="expression" dxfId="575" priority="22">
      <formula>IF(INDIRECT("General_Currency_Selection")="CHF",TRUE)</formula>
    </cfRule>
    <cfRule type="expression" dxfId="574" priority="23">
      <formula>IF(INDIRECT("General_Currency_Selection")="EUR",TRUE)</formula>
    </cfRule>
    <cfRule type="expression" dxfId="573" priority="24">
      <formula>IF(INDIRECT("General_Currency_Selection")="USD",TRUE)</formula>
    </cfRule>
  </conditionalFormatting>
  <conditionalFormatting sqref="N110:N147">
    <cfRule type="expression" dxfId="572" priority="19">
      <formula>IF(INDIRECT("General_Currency_Selection")="CHF",TRUE)</formula>
    </cfRule>
    <cfRule type="expression" dxfId="571" priority="20">
      <formula>IF(INDIRECT("General_Currency_Selection")="EUR",TRUE)</formula>
    </cfRule>
    <cfRule type="expression" dxfId="570" priority="21">
      <formula>IF(INDIRECT("General_Currency_Selection")="USD",TRUE)</formula>
    </cfRule>
  </conditionalFormatting>
  <conditionalFormatting sqref="D152:D189">
    <cfRule type="expression" dxfId="569" priority="16">
      <formula>IF(INDIRECT("General_Currency_Selection")="CHF",TRUE)</formula>
    </cfRule>
    <cfRule type="expression" dxfId="568" priority="17">
      <formula>IF(INDIRECT("General_Currency_Selection")="EUR",TRUE)</formula>
    </cfRule>
    <cfRule type="expression" dxfId="567" priority="18">
      <formula>IF(INDIRECT("General_Currency_Selection")="USD",TRUE)</formula>
    </cfRule>
  </conditionalFormatting>
  <conditionalFormatting sqref="H110:H147">
    <cfRule type="expression" dxfId="566" priority="7">
      <formula>IF(INDIRECT("General_Currency_Selection")="CHF",TRUE)</formula>
    </cfRule>
    <cfRule type="expression" dxfId="565" priority="8">
      <formula>IF(INDIRECT("General_Currency_Selection")="EUR",TRUE)</formula>
    </cfRule>
    <cfRule type="expression" dxfId="564" priority="9">
      <formula>IF(INDIRECT("General_Currency_Selection")="USD",TRUE)</formula>
    </cfRule>
  </conditionalFormatting>
  <conditionalFormatting sqref="J110:J147">
    <cfRule type="expression" dxfId="563" priority="4">
      <formula>IF(INDIRECT("General_Currency_Selection")="CHF",TRUE)</formula>
    </cfRule>
    <cfRule type="expression" dxfId="562" priority="5">
      <formula>IF(INDIRECT("General_Currency_Selection")="EUR",TRUE)</formula>
    </cfRule>
    <cfRule type="expression" dxfId="561" priority="6">
      <formula>IF(INDIRECT("General_Currency_Selection")="USD",TRUE)</formula>
    </cfRule>
  </conditionalFormatting>
  <conditionalFormatting sqref="L110:L147">
    <cfRule type="expression" dxfId="560" priority="1">
      <formula>IF(INDIRECT("General_Currency_Selection")="CHF",TRUE)</formula>
    </cfRule>
    <cfRule type="expression" dxfId="559" priority="2">
      <formula>IF(INDIRECT("General_Currency_Selection")="EUR",TRUE)</formula>
    </cfRule>
    <cfRule type="expression" dxfId="558"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79998168889431442"/>
  </sheetPr>
  <dimension ref="B1:W189"/>
  <sheetViews>
    <sheetView zoomScale="70" zoomScaleNormal="70" workbookViewId="0">
      <selection activeCell="E22" sqref="E22"/>
    </sheetView>
  </sheetViews>
  <sheetFormatPr defaultColWidth="11.140625" defaultRowHeight="15"/>
  <cols>
    <col min="1" max="1" width="0.85546875" style="12" customWidth="1"/>
    <col min="2" max="2" width="13.85546875" style="12" customWidth="1"/>
    <col min="3" max="3" width="18.42578125" style="12" customWidth="1"/>
    <col min="4" max="4" width="17.85546875" style="12" bestFit="1" customWidth="1"/>
    <col min="5" max="5" width="17.85546875" style="12" customWidth="1"/>
    <col min="6" max="6" width="26.85546875" style="12" customWidth="1"/>
    <col min="7" max="23" width="16.5703125" style="12" customWidth="1"/>
    <col min="24" max="16384" width="11.140625" style="12"/>
  </cols>
  <sheetData>
    <row r="1" spans="2:16" ht="21">
      <c r="B1" s="1" t="s">
        <v>99</v>
      </c>
      <c r="C1" s="6"/>
    </row>
    <row r="2" spans="2:16" ht="15.75" thickBot="1"/>
    <row r="3" spans="2:16" ht="18.75">
      <c r="B3" s="2" t="s">
        <v>0</v>
      </c>
      <c r="C3" s="110"/>
      <c r="D3" s="61"/>
      <c r="E3" s="61"/>
      <c r="F3" s="61"/>
      <c r="G3" s="61"/>
      <c r="H3" s="61"/>
      <c r="I3" s="61"/>
      <c r="J3" s="61"/>
      <c r="K3" s="61"/>
      <c r="L3" s="61"/>
      <c r="M3" s="61"/>
      <c r="N3" s="61"/>
      <c r="O3" s="61"/>
      <c r="P3" s="61"/>
    </row>
    <row r="4" spans="2:16" ht="15.75">
      <c r="B4" s="67"/>
    </row>
    <row r="5" spans="2:16" ht="15.75">
      <c r="B5" s="67"/>
    </row>
    <row r="6" spans="2:16" ht="15.75">
      <c r="B6" s="67"/>
    </row>
    <row r="7" spans="2:16" ht="15.75">
      <c r="B7" s="67"/>
    </row>
    <row r="8" spans="2:16" ht="15.75">
      <c r="B8" s="67"/>
    </row>
    <row r="9" spans="2:16" ht="15.75">
      <c r="B9" s="67"/>
    </row>
    <row r="12" spans="2:16" ht="15.75">
      <c r="B12" s="105" t="s">
        <v>70</v>
      </c>
      <c r="C12" s="105" t="s">
        <v>71</v>
      </c>
      <c r="E12" s="67" t="s">
        <v>74</v>
      </c>
    </row>
    <row r="13" spans="2:16">
      <c r="B13" s="126" t="s">
        <v>111</v>
      </c>
      <c r="C13" s="125">
        <f>General_FreshLarvae_TotalProd</f>
        <v>291.65168310395092</v>
      </c>
    </row>
    <row r="14" spans="2:16" ht="15.75" thickBot="1"/>
    <row r="15" spans="2:16" ht="30.75">
      <c r="B15" s="2" t="s">
        <v>73</v>
      </c>
      <c r="C15" s="110"/>
      <c r="D15" s="61"/>
      <c r="E15" s="61"/>
      <c r="F15" s="108" t="s">
        <v>128</v>
      </c>
      <c r="G15" s="288">
        <f>E33*C13*1000</f>
        <v>0</v>
      </c>
      <c r="H15" s="61"/>
      <c r="I15" s="61"/>
      <c r="J15" s="61"/>
      <c r="K15" s="61"/>
      <c r="L15" s="61"/>
      <c r="M15" s="61"/>
      <c r="N15" s="61"/>
      <c r="O15" s="61"/>
      <c r="P15" s="61"/>
    </row>
    <row r="16" spans="2:16" ht="15.75">
      <c r="B16" s="67" t="s">
        <v>441</v>
      </c>
      <c r="H16" s="24"/>
      <c r="I16" s="24"/>
      <c r="J16" s="24"/>
      <c r="K16" s="24"/>
      <c r="L16" s="24"/>
    </row>
    <row r="17" spans="2:12">
      <c r="B17" s="105" t="s">
        <v>78</v>
      </c>
      <c r="C17" s="86" t="s">
        <v>66</v>
      </c>
      <c r="H17" s="24"/>
      <c r="I17" s="24"/>
      <c r="J17" s="24"/>
      <c r="K17" s="24"/>
      <c r="L17" s="24"/>
    </row>
    <row r="18" spans="2:12">
      <c r="H18" s="24"/>
      <c r="I18" s="300"/>
      <c r="J18" s="121"/>
      <c r="K18" s="121"/>
      <c r="L18" s="24"/>
    </row>
    <row r="19" spans="2:12">
      <c r="B19" s="115" t="s">
        <v>416</v>
      </c>
      <c r="C19" s="115" t="s">
        <v>417</v>
      </c>
      <c r="D19" s="105" t="s">
        <v>917</v>
      </c>
      <c r="E19" s="105" t="s">
        <v>109</v>
      </c>
      <c r="F19" s="105" t="s">
        <v>649</v>
      </c>
      <c r="H19" s="24"/>
      <c r="I19" s="122"/>
      <c r="J19" s="121"/>
      <c r="K19" s="121"/>
      <c r="L19" s="24"/>
    </row>
    <row r="20" spans="2:12">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93" t="str">
        <f t="shared" ref="E20:E31" si="2">IF($B20="N/A","N/A",INDEX(Material_Unit_Price,MATCH($B20,Material_Code,0)))</f>
        <v>N/A</v>
      </c>
      <c r="F20" s="277" t="str">
        <f>IFERROR(E20*D20,"")</f>
        <v/>
      </c>
      <c r="H20" s="24"/>
      <c r="I20" s="122"/>
      <c r="J20" s="121"/>
      <c r="K20" s="121"/>
      <c r="L20" s="24"/>
    </row>
    <row r="21" spans="2:12">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93" t="str">
        <f t="shared" si="2"/>
        <v>N/A</v>
      </c>
      <c r="F21" s="277" t="str">
        <f t="shared" ref="F21:F31" si="3">IFERROR(E21*D21,"")</f>
        <v/>
      </c>
      <c r="H21" s="24"/>
      <c r="I21" s="122"/>
      <c r="J21" s="121"/>
      <c r="K21" s="121"/>
      <c r="L21" s="24"/>
    </row>
    <row r="22" spans="2:12">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93" t="str">
        <f t="shared" si="2"/>
        <v>N/A</v>
      </c>
      <c r="F22" s="277" t="str">
        <f t="shared" si="3"/>
        <v/>
      </c>
      <c r="H22" s="24"/>
      <c r="I22" s="24"/>
      <c r="J22" s="24"/>
      <c r="K22" s="24"/>
      <c r="L22" s="24"/>
    </row>
    <row r="23" spans="2:12">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row>
    <row r="24" spans="2:12">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row>
    <row r="25" spans="2:12">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row>
    <row r="26" spans="2:12">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row>
    <row r="27" spans="2:12">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row>
    <row r="28" spans="2:12">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row>
    <row r="29" spans="2:12">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row>
    <row r="30" spans="2:12">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row>
    <row r="31" spans="2:12">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row>
    <row r="32" spans="2:12">
      <c r="E32" s="84"/>
    </row>
    <row r="33" spans="2:16">
      <c r="B33" s="909" t="s">
        <v>186</v>
      </c>
      <c r="C33" s="909"/>
      <c r="D33" s="909"/>
      <c r="E33" s="289">
        <f>SUM(F20:F31)</f>
        <v>0</v>
      </c>
    </row>
    <row r="34" spans="2:16" ht="15.75" thickBot="1">
      <c r="B34" s="130"/>
      <c r="C34" s="130"/>
      <c r="D34" s="130"/>
      <c r="E34" s="121"/>
    </row>
    <row r="35" spans="2:16" ht="18.75">
      <c r="B35" s="2" t="s">
        <v>144</v>
      </c>
      <c r="C35" s="110"/>
      <c r="D35" s="61"/>
      <c r="E35" s="61"/>
      <c r="F35" s="108" t="s">
        <v>187</v>
      </c>
      <c r="G35" s="288">
        <f>F43</f>
        <v>637.37420306666661</v>
      </c>
      <c r="H35" s="61"/>
      <c r="I35" s="61"/>
      <c r="J35" s="61"/>
      <c r="K35" s="61"/>
      <c r="L35" s="61"/>
      <c r="M35" s="61"/>
      <c r="N35" s="61"/>
      <c r="O35" s="61"/>
      <c r="P35" s="61"/>
    </row>
    <row r="36" spans="2:16" ht="15.75">
      <c r="B36" s="67" t="s">
        <v>541</v>
      </c>
      <c r="C36" s="24"/>
      <c r="D36" s="24"/>
      <c r="E36" s="24"/>
    </row>
    <row r="37" spans="2:16">
      <c r="B37" s="32"/>
      <c r="C37" s="138"/>
      <c r="D37" s="24"/>
      <c r="E37" s="24"/>
      <c r="H37" s="24"/>
      <c r="I37" s="24"/>
      <c r="J37" s="24"/>
      <c r="K37" s="24"/>
      <c r="L37" s="24"/>
    </row>
    <row r="38" spans="2:16" ht="15.75">
      <c r="C38" s="97" t="s">
        <v>527</v>
      </c>
      <c r="D38" s="97" t="s">
        <v>78</v>
      </c>
      <c r="E38" s="97" t="s">
        <v>648</v>
      </c>
      <c r="F38" s="97" t="s">
        <v>647</v>
      </c>
      <c r="H38" s="24"/>
      <c r="I38" s="192"/>
      <c r="J38" s="96"/>
      <c r="K38" s="121"/>
      <c r="L38" s="24"/>
    </row>
    <row r="39" spans="2:16">
      <c r="B39" s="105" t="str">
        <f>INDEX(Equipment_Utility_Spec_List,2)</f>
        <v>Water</v>
      </c>
      <c r="C39" s="141">
        <f>SUMPRODUCT($F$110:$F$147,$G$110:$G$147,$M$110:$M$147)</f>
        <v>0.85119047619047616</v>
      </c>
      <c r="D39" s="140" t="s">
        <v>528</v>
      </c>
      <c r="E39" s="277">
        <f>SUMIF($B$110:$B$147,("&lt;&gt;N/A"),$H$110:$H$147)</f>
        <v>0.35749999999999998</v>
      </c>
      <c r="F39" s="277">
        <f>E39*Staff_Days_Operation</f>
        <v>130.48749999999998</v>
      </c>
      <c r="H39" s="24"/>
      <c r="I39" s="79"/>
      <c r="J39" s="96"/>
      <c r="K39" s="121"/>
      <c r="L39" s="24"/>
    </row>
    <row r="40" spans="2:16">
      <c r="B40" s="105" t="str">
        <f>INDEX(Equipment_Utility_Spec_List,3)</f>
        <v>Electricity</v>
      </c>
      <c r="C40" s="141">
        <f>SUMPRODUCT($F$110:$F$147,$I$110:$I$147,$M$110:$M$147)</f>
        <v>9.2577526349206352</v>
      </c>
      <c r="D40" s="140" t="s">
        <v>530</v>
      </c>
      <c r="E40" s="277">
        <f>SUMIF($B$110:$B$147,("&lt;&gt;N/A"),$J$110:$J$147)</f>
        <v>1.3887306933333332</v>
      </c>
      <c r="F40" s="277">
        <f>E40*Staff_Days_Operation</f>
        <v>506.8867030666666</v>
      </c>
      <c r="H40" s="24"/>
      <c r="I40" s="122"/>
      <c r="J40" s="121"/>
      <c r="K40" s="121"/>
      <c r="L40" s="24"/>
    </row>
    <row r="41" spans="2:16">
      <c r="B41" s="105" t="str">
        <f>INDEX(Equipment_Utility_Spec_List,4)</f>
        <v>Fuel</v>
      </c>
      <c r="C41" s="141">
        <f>SUMPRODUCT($F$110:$F$147,$K$110:$K$147,$M$110:$M$147)</f>
        <v>0</v>
      </c>
      <c r="D41" s="140" t="s">
        <v>529</v>
      </c>
      <c r="E41" s="277">
        <f>SUMIF($B$110:$B$147,("&lt;&gt;N/A"),$L$110:$L$147)</f>
        <v>0</v>
      </c>
      <c r="F41" s="277">
        <f>E41*Staff_Days_Operation</f>
        <v>0</v>
      </c>
      <c r="H41" s="24"/>
      <c r="I41" s="122"/>
      <c r="J41" s="121"/>
      <c r="K41" s="121"/>
      <c r="L41" s="24"/>
    </row>
    <row r="42" spans="2:16">
      <c r="B42" s="8"/>
      <c r="C42" s="122"/>
      <c r="D42" s="24"/>
      <c r="E42" s="139"/>
      <c r="H42" s="24"/>
      <c r="I42" s="24"/>
      <c r="J42" s="24"/>
      <c r="K42" s="24"/>
      <c r="L42" s="24"/>
    </row>
    <row r="43" spans="2:16">
      <c r="B43" s="908" t="s">
        <v>452</v>
      </c>
      <c r="C43" s="908"/>
      <c r="D43" s="908"/>
      <c r="E43" s="277">
        <f>SUM(E39:E41)</f>
        <v>1.7462306933333331</v>
      </c>
      <c r="F43" s="277">
        <f>SUM(F39:F41)</f>
        <v>637.37420306666661</v>
      </c>
      <c r="G43" s="24"/>
      <c r="H43" s="24"/>
      <c r="I43" s="24"/>
      <c r="J43" s="24"/>
      <c r="K43" s="121"/>
      <c r="L43" s="24"/>
    </row>
    <row r="44" spans="2:16" ht="15.75" thickBot="1">
      <c r="B44" s="130"/>
      <c r="C44" s="130"/>
      <c r="D44" s="130"/>
      <c r="E44" s="121"/>
      <c r="F44" s="62"/>
      <c r="G44" s="62"/>
    </row>
    <row r="45" spans="2:16" ht="18.75">
      <c r="B45" s="111" t="s">
        <v>3</v>
      </c>
      <c r="C45" s="112"/>
      <c r="D45" s="85"/>
      <c r="E45" s="85"/>
      <c r="F45" s="171" t="s">
        <v>129</v>
      </c>
      <c r="G45" s="288">
        <f>SUM(G52:G74)</f>
        <v>7309.8438826566016</v>
      </c>
      <c r="H45" s="85"/>
      <c r="I45" s="85"/>
      <c r="J45" s="85"/>
      <c r="K45" s="85"/>
      <c r="L45" s="85"/>
      <c r="M45" s="85"/>
      <c r="N45" s="85"/>
      <c r="O45" s="85"/>
      <c r="P45" s="85"/>
    </row>
    <row r="46" spans="2:16" ht="15.75">
      <c r="B46" s="67" t="s">
        <v>80</v>
      </c>
    </row>
    <row r="47" spans="2:16" ht="15.75">
      <c r="B47" s="67" t="s">
        <v>81</v>
      </c>
    </row>
    <row r="48" spans="2:16">
      <c r="B48" s="105" t="s">
        <v>77</v>
      </c>
      <c r="C48" s="907" t="s">
        <v>68</v>
      </c>
      <c r="D48" s="907"/>
    </row>
    <row r="49" spans="2:9">
      <c r="B49" s="105" t="s">
        <v>78</v>
      </c>
      <c r="C49" s="907" t="s">
        <v>66</v>
      </c>
      <c r="D49" s="907"/>
      <c r="I49" s="89"/>
    </row>
    <row r="51" spans="2:9" ht="31.5">
      <c r="B51" s="99" t="s">
        <v>211</v>
      </c>
      <c r="C51" s="99" t="s">
        <v>5</v>
      </c>
      <c r="D51" s="99" t="s">
        <v>79</v>
      </c>
      <c r="E51" s="129" t="s">
        <v>233</v>
      </c>
      <c r="F51" s="99" t="s">
        <v>121</v>
      </c>
      <c r="G51" s="99" t="s">
        <v>122</v>
      </c>
    </row>
    <row r="52" spans="2:9">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7" t="str">
        <f>IF($B52="N/A","N/A",INDEX(Staff_position[],MATCH(B52,Staff_Position_ID,0)))</f>
        <v>General worker</v>
      </c>
      <c r="D52" s="277">
        <f>IF($B52="N/A","N/A",INDEX(Staff_net_salary[],MATCH(B52,Staff_Position_ID,0)))</f>
        <v>1680</v>
      </c>
      <c r="E52" s="91">
        <f t="shared" ref="E52:E74" si="4">IF($B52="N/A","N/A",INDEX(Staff_number_of_employees,MATCH(B52,Staff_Position_ID,0)))</f>
        <v>14</v>
      </c>
      <c r="F52" s="92">
        <f t="shared" ref="F52:F74" si="5">IFERROR(INDEX(Staff_Position_Allocation,MATCH(B52,Staff_Position_ID),MATCH($C$49,Unit_codes,0)),"")</f>
        <v>0.31079268208573985</v>
      </c>
      <c r="G52" s="277">
        <f>IFERROR(D52*E52*F52,"")</f>
        <v>7309.8438826566016</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4"/>
        <v>N/A</v>
      </c>
      <c r="F53" s="92" t="str">
        <f t="shared" si="5"/>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si="5"/>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si="5"/>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4"/>
        <v>N/A</v>
      </c>
      <c r="F56" s="92" t="str">
        <f t="shared" si="5"/>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4"/>
        <v>N/A</v>
      </c>
      <c r="F57" s="92" t="str">
        <f t="shared" si="5"/>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4"/>
        <v>N/A</v>
      </c>
      <c r="F58" s="92" t="str">
        <f t="shared" si="5"/>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4"/>
        <v>N/A</v>
      </c>
      <c r="F59" s="92" t="str">
        <f t="shared" si="5"/>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4"/>
        <v>N/A</v>
      </c>
      <c r="F60" s="92" t="str">
        <f t="shared" si="5"/>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4"/>
        <v>N/A</v>
      </c>
      <c r="F61" s="92" t="str">
        <f t="shared" si="5"/>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4"/>
        <v>N/A</v>
      </c>
      <c r="F62" s="92" t="str">
        <f t="shared" si="5"/>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4"/>
        <v>N/A</v>
      </c>
      <c r="F63" s="92" t="str">
        <f t="shared" si="5"/>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4"/>
        <v>N/A</v>
      </c>
      <c r="F64" s="92" t="str">
        <f t="shared" si="5"/>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4"/>
        <v>N/A</v>
      </c>
      <c r="F65" s="92" t="str">
        <f t="shared" si="5"/>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4"/>
        <v>N/A</v>
      </c>
      <c r="F66" s="92" t="str">
        <f t="shared" si="5"/>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4"/>
        <v>N/A</v>
      </c>
      <c r="F67" s="92" t="str">
        <f t="shared" si="5"/>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4"/>
        <v>N/A</v>
      </c>
      <c r="F68" s="92" t="str">
        <f t="shared" si="5"/>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4"/>
        <v>N/A</v>
      </c>
      <c r="F69" s="92" t="str">
        <f t="shared" si="5"/>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4"/>
        <v>N/A</v>
      </c>
      <c r="F70" s="92" t="str">
        <f t="shared" si="5"/>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4"/>
        <v>N/A</v>
      </c>
      <c r="F71" s="92" t="str">
        <f t="shared" si="5"/>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4"/>
        <v>N/A</v>
      </c>
      <c r="F72" s="92" t="str">
        <f t="shared" si="5"/>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4"/>
        <v>N/A</v>
      </c>
      <c r="F73" s="92" t="str">
        <f t="shared" si="5"/>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4"/>
        <v>N/A</v>
      </c>
      <c r="F74" s="92" t="str">
        <f t="shared" si="5"/>
        <v/>
      </c>
      <c r="G74" s="277" t="str">
        <f t="shared" si="6"/>
        <v/>
      </c>
    </row>
    <row r="75" spans="2:16" ht="15.75" thickBot="1"/>
    <row r="76" spans="2:16" ht="30.75">
      <c r="B76" s="111" t="s">
        <v>83</v>
      </c>
      <c r="C76" s="112"/>
      <c r="D76" s="85"/>
      <c r="E76" s="85"/>
      <c r="F76" s="106" t="s">
        <v>86</v>
      </c>
      <c r="G76" s="288">
        <f>SUMIF(G83:G103,("&lt;&gt;N/A"),G83:G103)</f>
        <v>1680</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66</v>
      </c>
      <c r="D80" s="907"/>
    </row>
    <row r="82" spans="2:7" ht="31.5">
      <c r="B82" s="99" t="s">
        <v>211</v>
      </c>
      <c r="C82" s="99" t="s">
        <v>5</v>
      </c>
      <c r="D82" s="99" t="s">
        <v>79</v>
      </c>
      <c r="E82" s="129" t="s">
        <v>233</v>
      </c>
      <c r="F82" s="99" t="s">
        <v>121</v>
      </c>
      <c r="G82" s="99"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7" t="str">
        <f>IF($B83="N/A","N/A",INDEX(Staff_position[],MATCH(B83,Staff_Position_ID,0)))</f>
        <v>Waste units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IFERROR(INDEX(Staff_Position_Allocation,MATCH(B83,Staff_Position_ID),MATCH($C$80,Unit_codes,0)),"")</f>
        <v>0.2</v>
      </c>
      <c r="G83" s="277">
        <f>IFERROR(D83*E83*F83,"")</f>
        <v>672</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0.1</v>
      </c>
      <c r="G84" s="277">
        <f t="shared" ref="G84:G103" si="9">IFERROR(D84*E84*F84,"")</f>
        <v>1007.9999999999999</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16" ht="15.75" thickBot="1">
      <c r="E104" s="150"/>
      <c r="F104" s="150"/>
      <c r="G104" s="150"/>
    </row>
    <row r="105" spans="2:16" ht="45">
      <c r="B105" s="2" t="s">
        <v>2</v>
      </c>
      <c r="C105" s="110"/>
      <c r="D105" s="61"/>
      <c r="F105" s="152" t="s">
        <v>153</v>
      </c>
      <c r="G105" s="288">
        <f>SUMIF(B110:B147,("&lt;&gt;N/A"),N110:N147)</f>
        <v>5789.2333333333327</v>
      </c>
      <c r="H105" s="61"/>
      <c r="I105" s="61"/>
      <c r="J105" s="61"/>
      <c r="K105" s="61"/>
      <c r="L105" s="61"/>
      <c r="M105" s="61"/>
      <c r="N105" s="61"/>
      <c r="O105" s="61"/>
      <c r="P105" s="61"/>
    </row>
    <row r="106" spans="2:16" ht="15.75">
      <c r="B106" s="67" t="s">
        <v>82</v>
      </c>
    </row>
    <row r="107" spans="2:16">
      <c r="B107" s="105" t="s">
        <v>78</v>
      </c>
      <c r="C107" s="86" t="s">
        <v>66</v>
      </c>
    </row>
    <row r="109" spans="2:16" ht="47.25">
      <c r="B109" s="97" t="s">
        <v>84</v>
      </c>
      <c r="C109" s="97" t="s">
        <v>53</v>
      </c>
      <c r="D109" s="99" t="s">
        <v>152</v>
      </c>
      <c r="E109" s="123" t="s">
        <v>50</v>
      </c>
      <c r="F109" s="99" t="s">
        <v>514</v>
      </c>
      <c r="G109" s="99" t="s">
        <v>451</v>
      </c>
      <c r="H109" s="99" t="s">
        <v>515</v>
      </c>
      <c r="I109" s="99" t="s">
        <v>519</v>
      </c>
      <c r="J109" s="99" t="s">
        <v>516</v>
      </c>
      <c r="K109" s="99" t="s">
        <v>518</v>
      </c>
      <c r="L109" s="99" t="s">
        <v>517</v>
      </c>
      <c r="M109" s="99" t="s">
        <v>114</v>
      </c>
      <c r="N109" s="99" t="s">
        <v>154</v>
      </c>
      <c r="O109" s="99"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eq0003</v>
      </c>
      <c r="C110" s="76" t="str">
        <f>IF($B110="N/A","N/A",INDEX(Equipment_name[],MATCH(B110,equipment_ID,0)))</f>
        <v>Conversion crates</v>
      </c>
      <c r="D110" s="277">
        <f t="shared" ref="D110:D147" si="10">IF($B110="N/A","N/A",INDEX(Equipment_Depreciation,MATCH(B110,equipment_ID,0)))</f>
        <v>0.97999999999999987</v>
      </c>
      <c r="E110" s="94">
        <f t="shared" ref="E110:E147" si="11">IF($B110="N/A","N/A",INDEX(Equipment_Quantity_New,MATCH(B110,equipment_ID,0)))</f>
        <v>5000</v>
      </c>
      <c r="F110" s="137" t="str">
        <f>IF($B110="N/A","",IF(INDEX(Equipment_Utility_Decision,MATCH($B110,equipment_ID,0))='4.2-Settings Internal'!$B$32,INDEX(Equipment_Utility_Run,MATCH($B110,equipment_ID,0)),""))</f>
        <v/>
      </c>
      <c r="G110" s="137" t="str">
        <f>IF($B110="N/A","",IF(INDEX(Equipment_Utility_Decision,MATCH($B110,equipment_ID,0))='4.2-Settings Internal'!$B$32,INDEX(Equipment_Utility_Water,MATCH($B110,equipment_ID,0)),""))</f>
        <v/>
      </c>
      <c r="H110" s="277" t="str">
        <f t="shared" ref="H110:H147" si="12">IFERROR($E110*$F110*G110*$M110*General_Water_Price,"")</f>
        <v/>
      </c>
      <c r="I110" s="137" t="str">
        <f>IF($B110="N/A","",IF(INDEX(Equipment_Utility_Decision,MATCH($B110,equipment_ID,0))='4.2-Settings Internal'!$B$32,INDEX(Equipment_Utility_Electricity,MATCH($B110,equipment_ID,0)),""))</f>
        <v/>
      </c>
      <c r="J110" s="277" t="str">
        <f t="shared" ref="J110:J147" si="13">IFERROR($E110*$F110*I110*$M110*General_Electricity_Price,"")</f>
        <v/>
      </c>
      <c r="K110" s="137" t="str">
        <f>IF($B110="N/A","",IF(INDEX(Equipment_Utility_Decision,MATCH($B110,equipment_ID,0))=INDEX(Yes_No_Choice[],1),INDEX(Equipment_Utility_Fuel,MATCH($B110,equipment_ID,0)),""))</f>
        <v/>
      </c>
      <c r="L110" s="277" t="str">
        <f t="shared" ref="L110:L147" si="14">IFERROR($E110*$F110*$K110*$M110*INDEX(General_Utilities,MATCH(INDEX(Equipment_Utility_Fuel_Selection,MATCH($B110,equipment_ID,0)),General_Utilities_Type,0),4),"")</f>
        <v/>
      </c>
      <c r="M110" s="95">
        <f t="shared" ref="M110:M147" si="15">IFERROR(INDEX(Equipment_Allocation_New,MATCH(B110,equipment_ID,0),MATCH($C$107,Unit_codes,0)),"")</f>
        <v>0.5</v>
      </c>
      <c r="N110" s="277">
        <f t="shared" ref="N110:N147" si="16">IFERROR($D110*E110*M110,"")</f>
        <v>2449.9999999999995</v>
      </c>
      <c r="O110" s="137" t="str">
        <f t="shared" ref="O110:O147" si="17">IF($B110="N/A","",IF(INDEX(Equipment_Space_Selection,MATCH(B110,equipment_ID,0))="Yes",INDEX(Equipment_Space_Footprint,MATCH(B110,equipment_ID,0))*INDEX(Equipment_Quantity_New,MATCH(B110,equipment_ID,0))*M110,""))</f>
        <v/>
      </c>
    </row>
    <row r="111" spans="2:16">
      <c r="B111" s="76" t="str">
        <f t="array" ref="B111">IF(COUNTIFS(INDEX(Equipment_Allocation_New,0,MATCH($C$107,Unit_codes,0)),"&gt;0")&lt;ROWS('2.2-Equipment input'!$X$8:$X9),"N/A",INDEX('2.2-Equipment input'!B:B,SMALL(IF(INDEX(Equipment_Allocation_New,0,MATCH($C$107,Unit_codes,0))&gt;0,ROW(equipment_ID)),ROW('2.2-Equipment input'!B2))))</f>
        <v>eq0004</v>
      </c>
      <c r="C111" s="76" t="str">
        <f>IF($B111="N/A","N/A",INDEX(Equipment_name[],MATCH(B111,equipment_ID,0)))</f>
        <v>Pallets</v>
      </c>
      <c r="D111" s="277">
        <f t="shared" si="10"/>
        <v>2.0999999999999996</v>
      </c>
      <c r="E111" s="94">
        <f t="shared" si="11"/>
        <v>120</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95">
        <f t="shared" si="15"/>
        <v>0.4</v>
      </c>
      <c r="N111" s="277">
        <f t="shared" si="16"/>
        <v>100.79999999999998</v>
      </c>
      <c r="O111" s="137">
        <f t="shared" si="17"/>
        <v>75.542400000000015</v>
      </c>
    </row>
    <row r="112" spans="2:16">
      <c r="B112" s="76" t="str">
        <f t="array" ref="B112">IF(COUNTIFS(INDEX(Equipment_Allocation_New,0,MATCH($C$107,Unit_codes,0)),"&gt;0")&lt;ROWS('2.2-Equipment input'!$X$8:$X10),"N/A",INDEX('2.2-Equipment input'!B:B,SMALL(IF(INDEX(Equipment_Allocation_New,0,MATCH($C$107,Unit_codes,0))&gt;0,ROW(equipment_ID)),ROW('2.2-Equipment input'!B3))))</f>
        <v>eq0005</v>
      </c>
      <c r="C112" s="76" t="str">
        <f>IF($B112="N/A","N/A",INDEX(Equipment_name[],MATCH(B112,equipment_ID,0)))</f>
        <v>Ventilation frames</v>
      </c>
      <c r="D112" s="277">
        <f t="shared" si="10"/>
        <v>3.5</v>
      </c>
      <c r="E112" s="94">
        <f t="shared" si="11"/>
        <v>720</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12"/>
        <v/>
      </c>
      <c r="I112" s="137" t="str">
        <f>IF($B112="N/A","",IF(INDEX(Equipment_Utility_Decision,MATCH($B112,equipment_ID,0))='4.2-Settings Internal'!$B$32,INDEX(Equipment_Utility_Electricity,MATCH($B112,equipment_ID,0)),""))</f>
        <v/>
      </c>
      <c r="J112" s="277" t="str">
        <f t="shared" si="13"/>
        <v/>
      </c>
      <c r="K112" s="137" t="str">
        <f>IF($B112="N/A","",IF(INDEX(Equipment_Utility_Decision,MATCH($B112,equipment_ID,0))=INDEX(Yes_No_Choice[],1),INDEX(Equipment_Utility_Fuel,MATCH($B112,equipment_ID,0)),""))</f>
        <v/>
      </c>
      <c r="L112" s="277" t="str">
        <f t="shared" si="14"/>
        <v/>
      </c>
      <c r="M112" s="95">
        <f t="shared" si="15"/>
        <v>0.5</v>
      </c>
      <c r="N112" s="277">
        <f t="shared" si="16"/>
        <v>1260</v>
      </c>
      <c r="O112" s="137" t="str">
        <f t="shared" si="17"/>
        <v/>
      </c>
    </row>
    <row r="113" spans="2:15">
      <c r="B113" s="76" t="str">
        <f t="array" ref="B113">IF(COUNTIFS(INDEX(Equipment_Allocation_New,0,MATCH($C$107,Unit_codes,0)),"&gt;0")&lt;ROWS('2.2-Equipment input'!$X$8:$X11),"N/A",INDEX('2.2-Equipment input'!B:B,SMALL(IF(INDEX(Equipment_Allocation_New,0,MATCH($C$107,Unit_codes,0))&gt;0,ROW(equipment_ID)),ROW('2.2-Equipment input'!B4))))</f>
        <v>eq0006</v>
      </c>
      <c r="C113" s="76" t="str">
        <f>IF($B113="N/A","N/A",INDEX(Equipment_name[],MATCH(B113,equipment_ID,0)))</f>
        <v>Pallet trolley</v>
      </c>
      <c r="D113" s="277">
        <f t="shared" si="10"/>
        <v>41.999999999999993</v>
      </c>
      <c r="E113" s="94">
        <f t="shared" si="11"/>
        <v>2</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12"/>
        <v/>
      </c>
      <c r="I113" s="137" t="str">
        <f>IF($B113="N/A","",IF(INDEX(Equipment_Utility_Decision,MATCH($B113,equipment_ID,0))='4.2-Settings Internal'!$B$32,INDEX(Equipment_Utility_Electricity,MATCH($B113,equipment_ID,0)),""))</f>
        <v/>
      </c>
      <c r="J113" s="277" t="str">
        <f t="shared" si="13"/>
        <v/>
      </c>
      <c r="K113" s="137" t="str">
        <f>IF($B113="N/A","",IF(INDEX(Equipment_Utility_Decision,MATCH($B113,equipment_ID,0))=INDEX(Yes_No_Choice[],1),INDEX(Equipment_Utility_Fuel,MATCH($B113,equipment_ID,0)),""))</f>
        <v/>
      </c>
      <c r="L113" s="277" t="str">
        <f t="shared" si="14"/>
        <v/>
      </c>
      <c r="M113" s="95">
        <f t="shared" si="15"/>
        <v>0.4</v>
      </c>
      <c r="N113" s="277">
        <f t="shared" si="16"/>
        <v>33.599999999999994</v>
      </c>
      <c r="O113" s="137" t="str">
        <f t="shared" si="17"/>
        <v/>
      </c>
    </row>
    <row r="114" spans="2:15">
      <c r="B114" s="76" t="str">
        <f t="array" ref="B114">IF(COUNTIFS(INDEX(Equipment_Allocation_New,0,MATCH($C$107,Unit_codes,0)),"&gt;0")&lt;ROWS('2.2-Equipment input'!$X$8:$X12),"N/A",INDEX('2.2-Equipment input'!B:B,SMALL(IF(INDEX(Equipment_Allocation_New,0,MATCH($C$107,Unit_codes,0))&gt;0,ROW(equipment_ID)),ROW('2.2-Equipment input'!B5))))</f>
        <v>eq0008</v>
      </c>
      <c r="C114" s="76" t="str">
        <f>IF($B114="N/A","N/A",INDEX(Equipment_name[],MATCH(B114,equipment_ID,0)))</f>
        <v>High pressure cleaner</v>
      </c>
      <c r="D114" s="277">
        <f t="shared" si="10"/>
        <v>210</v>
      </c>
      <c r="E114" s="94">
        <f t="shared" si="11"/>
        <v>2</v>
      </c>
      <c r="F114" s="137">
        <f>IF($B114="N/A","",IF(INDEX(Equipment_Utility_Decision,MATCH($B114,equipment_ID,0))='4.2-Settings Internal'!$B$32,INDEX(Equipment_Utility_Run,MATCH($B114,equipment_ID,0)),""))</f>
        <v>7.9365079365079367</v>
      </c>
      <c r="G114" s="137">
        <f>IF($B114="N/A","",IF(INDEX(Equipment_Utility_Decision,MATCH($B114,equipment_ID,0))='4.2-Settings Internal'!$B$32,INDEX(Equipment_Utility_Water,MATCH($B114,equipment_ID,0)),""))</f>
        <v>0.42899999999999999</v>
      </c>
      <c r="H114" s="277">
        <f t="shared" si="12"/>
        <v>0.35749999999999998</v>
      </c>
      <c r="I114" s="137">
        <f>IF($B114="N/A","",IF(INDEX(Equipment_Utility_Decision,MATCH($B114,equipment_ID,0))='4.2-Settings Internal'!$B$32,INDEX(Equipment_Utility_Electricity,MATCH($B114,equipment_ID,0)),""))</f>
        <v>2</v>
      </c>
      <c r="J114" s="277">
        <f t="shared" si="13"/>
        <v>0.83333333333333337</v>
      </c>
      <c r="K114" s="137">
        <f>IF($B114="N/A","",IF(INDEX(Equipment_Utility_Decision,MATCH($B114,equipment_ID,0))=INDEX(Yes_No_Choice[],1),INDEX(Equipment_Utility_Fuel,MATCH($B114,equipment_ID,0)),""))</f>
        <v>0</v>
      </c>
      <c r="L114" s="277" t="str">
        <f t="shared" si="14"/>
        <v/>
      </c>
      <c r="M114" s="95">
        <f t="shared" si="15"/>
        <v>0.25</v>
      </c>
      <c r="N114" s="277">
        <f t="shared" si="16"/>
        <v>105</v>
      </c>
      <c r="O114" s="137">
        <f t="shared" si="17"/>
        <v>0.125</v>
      </c>
    </row>
    <row r="115" spans="2:15">
      <c r="B115" s="76" t="str">
        <f t="array" ref="B115">IF(COUNTIFS(INDEX(Equipment_Allocation_New,0,MATCH($C$107,Unit_codes,0)),"&gt;0")&lt;ROWS('2.2-Equipment input'!$X$8:$X13),"N/A",INDEX('2.2-Equipment input'!B:B,SMALL(IF(INDEX(Equipment_Allocation_New,0,MATCH($C$107,Unit_codes,0))&gt;0,ROW(equipment_ID)),ROW('2.2-Equipment input'!B6))))</f>
        <v>eq0009</v>
      </c>
      <c r="C115" s="76" t="str">
        <f>IF($B115="N/A","N/A",INDEX(Equipment_name[],MATCH(B115,equipment_ID,0)))</f>
        <v>Vibrating sieve</v>
      </c>
      <c r="D115" s="277">
        <f t="shared" si="10"/>
        <v>349.99999999999994</v>
      </c>
      <c r="E115" s="94">
        <f t="shared" si="11"/>
        <v>1</v>
      </c>
      <c r="F115" s="137">
        <f>IF($B115="N/A","",IF(INDEX(Equipment_Utility_Decision,MATCH($B115,equipment_ID,0))='4.2-Settings Internal'!$B$32,INDEX(Equipment_Utility_Run,MATCH($B115,equipment_ID,0)),""))</f>
        <v>7.0933333333333319</v>
      </c>
      <c r="G115" s="137">
        <f>IF($B115="N/A","",IF(INDEX(Equipment_Utility_Decision,MATCH($B115,equipment_ID,0))='4.2-Settings Internal'!$B$32,INDEX(Equipment_Utility_Water,MATCH($B115,equipment_ID,0)),""))</f>
        <v>0</v>
      </c>
      <c r="H115" s="277">
        <f t="shared" si="12"/>
        <v>0</v>
      </c>
      <c r="I115" s="137">
        <f>IF($B115="N/A","",IF(INDEX(Equipment_Utility_Decision,MATCH($B115,equipment_ID,0))='4.2-Settings Internal'!$B$32,INDEX(Equipment_Utility_Electricity,MATCH($B115,equipment_ID,0)),""))</f>
        <v>0.74570000000000003</v>
      </c>
      <c r="J115" s="277">
        <f t="shared" si="13"/>
        <v>0.55539735999999995</v>
      </c>
      <c r="K115" s="137">
        <f>IF($B115="N/A","",IF(INDEX(Equipment_Utility_Decision,MATCH($B115,equipment_ID,0))=INDEX(Yes_No_Choice[],1),INDEX(Equipment_Utility_Fuel,MATCH($B115,equipment_ID,0)),""))</f>
        <v>0</v>
      </c>
      <c r="L115" s="277" t="str">
        <f t="shared" si="14"/>
        <v/>
      </c>
      <c r="M115" s="95">
        <f t="shared" si="15"/>
        <v>1</v>
      </c>
      <c r="N115" s="277">
        <f t="shared" si="16"/>
        <v>349.99999999999994</v>
      </c>
      <c r="O115" s="137">
        <f t="shared" si="17"/>
        <v>4</v>
      </c>
    </row>
    <row r="116" spans="2:15">
      <c r="B116" s="76" t="str">
        <f t="array" ref="B116">IF(COUNTIFS(INDEX(Equipment_Allocation_New,0,MATCH($C$107,Unit_codes,0)),"&gt;0")&lt;ROWS('2.2-Equipment input'!$X$8:$X14),"N/A",INDEX('2.2-Equipment input'!B:B,SMALL(IF(INDEX(Equipment_Allocation_New,0,MATCH($C$107,Unit_codes,0))&gt;0,ROW(equipment_ID)),ROW('2.2-Equipment input'!B7))))</f>
        <v>eq0010</v>
      </c>
      <c r="C116" s="76" t="str">
        <f>IF($B116="N/A","N/A",INDEX(Equipment_name[],MATCH(B116,equipment_ID,0)))</f>
        <v>Harvesting unit (wet)</v>
      </c>
      <c r="D116" s="277">
        <f t="shared" si="10"/>
        <v>200.89999999999998</v>
      </c>
      <c r="E116" s="94">
        <f t="shared" si="11"/>
        <v>5</v>
      </c>
      <c r="F116" s="137" t="str">
        <f>IF($B116="N/A","",IF(INDEX(Equipment_Utility_Decision,MATCH($B116,equipment_ID,0))='4.2-Settings Internal'!$B$32,INDEX(Equipment_Utility_Run,MATCH($B116,equipment_ID,0)),""))</f>
        <v/>
      </c>
      <c r="G116" s="137" t="str">
        <f>IF($B116="N/A","",IF(INDEX(Equipment_Utility_Decision,MATCH($B116,equipment_ID,0))='4.2-Settings Internal'!$B$32,INDEX(Equipment_Utility_Water,MATCH($B116,equipment_ID,0)),""))</f>
        <v/>
      </c>
      <c r="H116" s="277" t="str">
        <f t="shared" si="12"/>
        <v/>
      </c>
      <c r="I116" s="137" t="str">
        <f>IF($B116="N/A","",IF(INDEX(Equipment_Utility_Decision,MATCH($B116,equipment_ID,0))='4.2-Settings Internal'!$B$32,INDEX(Equipment_Utility_Electricity,MATCH($B116,equipment_ID,0)),""))</f>
        <v/>
      </c>
      <c r="J116" s="277" t="str">
        <f t="shared" si="13"/>
        <v/>
      </c>
      <c r="K116" s="137" t="str">
        <f>IF($B116="N/A","",IF(INDEX(Equipment_Utility_Decision,MATCH($B116,equipment_ID,0))=INDEX(Yes_No_Choice[],1),INDEX(Equipment_Utility_Fuel,MATCH($B116,equipment_ID,0)),""))</f>
        <v/>
      </c>
      <c r="L116" s="277" t="str">
        <f t="shared" si="14"/>
        <v/>
      </c>
      <c r="M116" s="95">
        <f t="shared" si="15"/>
        <v>1</v>
      </c>
      <c r="N116" s="277">
        <f t="shared" si="16"/>
        <v>1004.4999999999999</v>
      </c>
      <c r="O116" s="137" t="str">
        <f t="shared" si="17"/>
        <v/>
      </c>
    </row>
    <row r="117" spans="2:15">
      <c r="B117" s="76" t="str">
        <f t="array" ref="B117">IF(COUNTIFS(INDEX(Equipment_Allocation_New,0,MATCH($C$107,Unit_codes,0)),"&gt;0")&lt;ROWS('2.2-Equipment input'!$X$8:$X15),"N/A",INDEX('2.2-Equipment input'!B:B,SMALL(IF(INDEX(Equipment_Allocation_New,0,MATCH($C$107,Unit_codes,0))&gt;0,ROW(equipment_ID)),ROW('2.2-Equipment input'!B8))))</f>
        <v>eq0011</v>
      </c>
      <c r="C117" s="76" t="str">
        <f>IF($B117="N/A","N/A",INDEX(Equipment_name[],MATCH(B117,equipment_ID,0)))</f>
        <v>Harvesting container</v>
      </c>
      <c r="D117" s="277">
        <f t="shared" si="10"/>
        <v>83.999999999999986</v>
      </c>
      <c r="E117" s="94">
        <f t="shared" si="11"/>
        <v>5</v>
      </c>
      <c r="F117" s="137" t="str">
        <f>IF($B117="N/A","",IF(INDEX(Equipment_Utility_Decision,MATCH($B117,equipment_ID,0))='4.2-Settings Internal'!$B$32,INDEX(Equipment_Utility_Run,MATCH($B117,equipment_ID,0)),""))</f>
        <v/>
      </c>
      <c r="G117" s="137" t="str">
        <f>IF($B117="N/A","",IF(INDEX(Equipment_Utility_Decision,MATCH($B117,equipment_ID,0))='4.2-Settings Internal'!$B$32,INDEX(Equipment_Utility_Water,MATCH($B117,equipment_ID,0)),""))</f>
        <v/>
      </c>
      <c r="H117" s="277" t="str">
        <f t="shared" si="12"/>
        <v/>
      </c>
      <c r="I117" s="137" t="str">
        <f>IF($B117="N/A","",IF(INDEX(Equipment_Utility_Decision,MATCH($B117,equipment_ID,0))='4.2-Settings Internal'!$B$32,INDEX(Equipment_Utility_Electricity,MATCH($B117,equipment_ID,0)),""))</f>
        <v/>
      </c>
      <c r="J117" s="277" t="str">
        <f t="shared" si="13"/>
        <v/>
      </c>
      <c r="K117" s="137" t="str">
        <f>IF($B117="N/A","",IF(INDEX(Equipment_Utility_Decision,MATCH($B117,equipment_ID,0))=INDEX(Yes_No_Choice[],1),INDEX(Equipment_Utility_Fuel,MATCH($B117,equipment_ID,0)),""))</f>
        <v/>
      </c>
      <c r="L117" s="277" t="str">
        <f t="shared" si="14"/>
        <v/>
      </c>
      <c r="M117" s="95">
        <f t="shared" si="15"/>
        <v>1</v>
      </c>
      <c r="N117" s="277">
        <f t="shared" si="16"/>
        <v>419.99999999999994</v>
      </c>
      <c r="O117" s="137" t="str">
        <f t="shared" si="17"/>
        <v/>
      </c>
    </row>
    <row r="118" spans="2:15">
      <c r="B118" s="76" t="str">
        <f t="array" ref="B118">IF(COUNTIFS(INDEX(Equipment_Allocation_New,0,MATCH($C$107,Unit_codes,0)),"&gt;0")&lt;ROWS('2.2-Equipment input'!$X$8:$X16),"N/A",INDEX('2.2-Equipment input'!B:B,SMALL(IF(INDEX(Equipment_Allocation_New,0,MATCH($C$107,Unit_codes,0))&gt;0,ROW(equipment_ID)),ROW('2.2-Equipment input'!B9))))</f>
        <v>eq0012</v>
      </c>
      <c r="C118" s="76" t="str">
        <f>IF($B118="N/A","N/A",INDEX(Equipment_name[],MATCH(B118,equipment_ID,0)))</f>
        <v>Harvesting large scoop</v>
      </c>
      <c r="D118" s="277">
        <f t="shared" si="10"/>
        <v>0.46666666666666662</v>
      </c>
      <c r="E118" s="94">
        <f t="shared" si="11"/>
        <v>5</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12"/>
        <v/>
      </c>
      <c r="I118" s="137" t="str">
        <f>IF($B118="N/A","",IF(INDEX(Equipment_Utility_Decision,MATCH($B118,equipment_ID,0))='4.2-Settings Internal'!$B$32,INDEX(Equipment_Utility_Electricity,MATCH($B118,equipment_ID,0)),""))</f>
        <v/>
      </c>
      <c r="J118" s="277" t="str">
        <f t="shared" si="13"/>
        <v/>
      </c>
      <c r="K118" s="137" t="str">
        <f>IF($B118="N/A","",IF(INDEX(Equipment_Utility_Decision,MATCH($B118,equipment_ID,0))=INDEX(Yes_No_Choice[],1),INDEX(Equipment_Utility_Fuel,MATCH($B118,equipment_ID,0)),""))</f>
        <v/>
      </c>
      <c r="L118" s="277" t="str">
        <f t="shared" si="14"/>
        <v/>
      </c>
      <c r="M118" s="95">
        <f t="shared" si="15"/>
        <v>1</v>
      </c>
      <c r="N118" s="277">
        <f t="shared" si="16"/>
        <v>2.333333333333333</v>
      </c>
      <c r="O118" s="137" t="str">
        <f t="shared" si="17"/>
        <v/>
      </c>
    </row>
    <row r="119" spans="2:15">
      <c r="B119" s="76" t="str">
        <f t="array" ref="B119">IF(COUNTIFS(INDEX(Equipment_Allocation_New,0,MATCH($C$107,Unit_codes,0)),"&gt;0")&lt;ROWS('2.2-Equipment input'!$X$8:$X17),"N/A",INDEX('2.2-Equipment input'!B:B,SMALL(IF(INDEX(Equipment_Allocation_New,0,MATCH($C$107,Unit_codes,0))&gt;0,ROW(equipment_ID)),ROW('2.2-Equipment input'!B10))))</f>
        <v>eq0030</v>
      </c>
      <c r="C119" s="76" t="str">
        <f>IF($B119="N/A","N/A",INDEX(Equipment_name[],MATCH(B119,equipment_ID,0)))</f>
        <v>Measuring balance ("heavy" duty)</v>
      </c>
      <c r="D119" s="277">
        <f t="shared" si="10"/>
        <v>34.999999999999993</v>
      </c>
      <c r="E119" s="94">
        <f t="shared" si="11"/>
        <v>3</v>
      </c>
      <c r="F119" s="137">
        <f>IF($B119="N/A","",IF(INDEX(Equipment_Utility_Decision,MATCH($B119,equipment_ID,0))='4.2-Settings Internal'!$B$32,INDEX(Equipment_Utility_Run,MATCH($B119,equipment_ID,0)),""))</f>
        <v>0</v>
      </c>
      <c r="G119" s="137">
        <f>IF($B119="N/A","",IF(INDEX(Equipment_Utility_Decision,MATCH($B119,equipment_ID,0))='4.2-Settings Internal'!$B$32,INDEX(Equipment_Utility_Water,MATCH($B119,equipment_ID,0)),""))</f>
        <v>0</v>
      </c>
      <c r="H119" s="277">
        <f t="shared" si="12"/>
        <v>0</v>
      </c>
      <c r="I119" s="137">
        <f>IF($B119="N/A","",IF(INDEX(Equipment_Utility_Decision,MATCH($B119,equipment_ID,0))='4.2-Settings Internal'!$B$32,INDEX(Equipment_Utility_Electricity,MATCH($B119,equipment_ID,0)),""))</f>
        <v>0</v>
      </c>
      <c r="J119" s="277">
        <f t="shared" si="13"/>
        <v>0</v>
      </c>
      <c r="K119" s="137">
        <f>IF($B119="N/A","",IF(INDEX(Equipment_Utility_Decision,MATCH($B119,equipment_ID,0))=INDEX(Yes_No_Choice[],1),INDEX(Equipment_Utility_Fuel,MATCH($B119,equipment_ID,0)),""))</f>
        <v>0</v>
      </c>
      <c r="L119" s="277" t="str">
        <f t="shared" si="14"/>
        <v/>
      </c>
      <c r="M119" s="95">
        <f t="shared" si="15"/>
        <v>0.2</v>
      </c>
      <c r="N119" s="277">
        <f t="shared" si="16"/>
        <v>20.999999999999996</v>
      </c>
      <c r="O119" s="137" t="str">
        <f t="shared" si="17"/>
        <v/>
      </c>
    </row>
    <row r="120" spans="2:15">
      <c r="B120" s="76" t="str">
        <f t="array" ref="B120">IF(COUNTIFS(INDEX(Equipment_Allocation_New,0,MATCH($C$107,Unit_codes,0)),"&gt;0")&lt;ROWS('2.2-Equipment input'!$X$8:$X18),"N/A",INDEX('2.2-Equipment input'!B:B,SMALL(IF(INDEX(Equipment_Allocation_New,0,MATCH($C$107,Unit_codes,0))&gt;0,ROW(equipment_ID)),ROW('2.2-Equipment input'!B11))))</f>
        <v>eq0032</v>
      </c>
      <c r="C120" s="76" t="str">
        <f>IF($B120="N/A","N/A",INDEX(Equipment_name[],MATCH(B120,equipment_ID,0)))</f>
        <v>Measuring balance (nursery)</v>
      </c>
      <c r="D120" s="277">
        <f t="shared" si="10"/>
        <v>69.999999999999986</v>
      </c>
      <c r="E120" s="94">
        <f t="shared" si="11"/>
        <v>3</v>
      </c>
      <c r="F120" s="137">
        <f>IF($B120="N/A","",IF(INDEX(Equipment_Utility_Decision,MATCH($B120,equipment_ID,0))='4.2-Settings Internal'!$B$32,INDEX(Equipment_Utility_Run,MATCH($B120,equipment_ID,0)),""))</f>
        <v>0</v>
      </c>
      <c r="G120" s="137">
        <f>IF($B120="N/A","",IF(INDEX(Equipment_Utility_Decision,MATCH($B120,equipment_ID,0))='4.2-Settings Internal'!$B$32,INDEX(Equipment_Utility_Water,MATCH($B120,equipment_ID,0)),""))</f>
        <v>0</v>
      </c>
      <c r="H120" s="277">
        <f t="shared" si="12"/>
        <v>0</v>
      </c>
      <c r="I120" s="137">
        <f>IF($B120="N/A","",IF(INDEX(Equipment_Utility_Decision,MATCH($B120,equipment_ID,0))='4.2-Settings Internal'!$B$32,INDEX(Equipment_Utility_Electricity,MATCH($B120,equipment_ID,0)),""))</f>
        <v>0</v>
      </c>
      <c r="J120" s="277">
        <f t="shared" si="13"/>
        <v>0</v>
      </c>
      <c r="K120" s="137">
        <f>IF($B120="N/A","",IF(INDEX(Equipment_Utility_Decision,MATCH($B120,equipment_ID,0))=INDEX(Yes_No_Choice[],1),INDEX(Equipment_Utility_Fuel,MATCH($B120,equipment_ID,0)),""))</f>
        <v>0</v>
      </c>
      <c r="L120" s="277" t="str">
        <f t="shared" si="14"/>
        <v/>
      </c>
      <c r="M120" s="95">
        <f t="shared" si="15"/>
        <v>0.2</v>
      </c>
      <c r="N120" s="277">
        <f t="shared" si="16"/>
        <v>41.999999999999993</v>
      </c>
      <c r="O120" s="137" t="str">
        <f t="shared" si="17"/>
        <v/>
      </c>
    </row>
    <row r="121" spans="2:15">
      <c r="B121" s="76" t="str">
        <f t="array" ref="B121">IF(COUNTIFS(INDEX(Equipment_Allocation_New,0,MATCH($C$107,Unit_codes,0)),"&gt;0")&lt;ROWS('2.2-Equipment input'!$X$8:$X19),"N/A",INDEX('2.2-Equipment input'!B:B,SMALL(IF(INDEX(Equipment_Allocation_New,0,MATCH($C$107,Unit_codes,0))&gt;0,ROW(equipment_ID)),ROW('2.2-Equipment input'!B12))))</f>
        <v>N/A</v>
      </c>
      <c r="C121" s="76" t="str">
        <f>IF($B121="N/A","N/A",INDEX(Equipment_name[],MATCH(B121,equipment_ID,0)))</f>
        <v>N/A</v>
      </c>
      <c r="D121" s="277" t="str">
        <f t="shared" si="10"/>
        <v>N/A</v>
      </c>
      <c r="E121" s="94" t="str">
        <f t="shared" si="11"/>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95" t="str">
        <f t="shared" si="15"/>
        <v/>
      </c>
      <c r="N121" s="277" t="str">
        <f t="shared" si="16"/>
        <v/>
      </c>
      <c r="O121" s="137" t="str">
        <f t="shared" si="17"/>
        <v/>
      </c>
    </row>
    <row r="122" spans="2:15">
      <c r="B122" s="76" t="str">
        <f t="array" ref="B122">IF(COUNTIFS(INDEX(Equipment_Allocation_New,0,MATCH($C$107,Unit_codes,0)),"&gt;0")&lt;ROWS('2.2-Equipment input'!$X$8:$X20),"N/A",INDEX('2.2-Equipment input'!B:B,SMALL(IF(INDEX(Equipment_Allocation_New,0,MATCH($C$107,Unit_codes,0))&gt;0,ROW(equipment_ID)),ROW('2.2-Equipment input'!B13))))</f>
        <v>N/A</v>
      </c>
      <c r="C122" s="76" t="str">
        <f>IF($B122="N/A","N/A",INDEX(Equipment_name[],MATCH(B122,equipment_ID,0)))</f>
        <v>N/A</v>
      </c>
      <c r="D122" s="277" t="str">
        <f t="shared" si="10"/>
        <v>N/A</v>
      </c>
      <c r="E122" s="94" t="str">
        <f t="shared" si="11"/>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95" t="str">
        <f t="shared" si="15"/>
        <v/>
      </c>
      <c r="N122" s="277" t="str">
        <f t="shared" si="16"/>
        <v/>
      </c>
      <c r="O122" s="137" t="str">
        <f t="shared" si="17"/>
        <v/>
      </c>
    </row>
    <row r="123" spans="2:15">
      <c r="B123" s="76" t="str">
        <f t="array" ref="B123">IF(COUNTIFS(INDEX(Equipment_Allocation_New,0,MATCH($C$107,Unit_codes,0)),"&gt;0")&lt;ROWS('2.2-Equipment input'!$X$8:$X21),"N/A",INDEX('2.2-Equipment input'!B:B,SMALL(IF(INDEX(Equipment_Allocation_New,0,MATCH($C$107,Unit_codes,0))&gt;0,ROW(equipment_ID)),ROW('2.2-Equipment input'!B14))))</f>
        <v>N/A</v>
      </c>
      <c r="C123" s="76" t="str">
        <f>IF($B123="N/A","N/A",INDEX(Equipment_name[],MATCH(B123,equipment_ID,0)))</f>
        <v>N/A</v>
      </c>
      <c r="D123" s="277" t="str">
        <f t="shared" si="10"/>
        <v>N/A</v>
      </c>
      <c r="E123" s="94" t="str">
        <f t="shared" si="11"/>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95" t="str">
        <f t="shared" si="15"/>
        <v/>
      </c>
      <c r="N123" s="277" t="str">
        <f t="shared" si="16"/>
        <v/>
      </c>
      <c r="O123" s="137" t="str">
        <f t="shared" si="17"/>
        <v/>
      </c>
    </row>
    <row r="124" spans="2:15">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0"/>
        <v>N/A</v>
      </c>
      <c r="E124" s="94" t="str">
        <f t="shared" si="11"/>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95" t="str">
        <f t="shared" si="15"/>
        <v/>
      </c>
      <c r="N124" s="277" t="str">
        <f t="shared" si="16"/>
        <v/>
      </c>
      <c r="O124" s="137" t="str">
        <f t="shared" si="17"/>
        <v/>
      </c>
    </row>
    <row r="125" spans="2:15">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0"/>
        <v>N/A</v>
      </c>
      <c r="E125" s="94" t="str">
        <f t="shared" si="11"/>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2"/>
        <v/>
      </c>
      <c r="I125" s="137" t="str">
        <f>IF($B125="N/A","",IF(INDEX(Equipment_Utility_Decision,MATCH($B125,equipment_ID,0))='4.2-Settings Internal'!$B$32,INDEX(Equipment_Utility_Electricity,MATCH($B125,equipment_ID,0)),""))</f>
        <v/>
      </c>
      <c r="J125" s="277" t="str">
        <f t="shared" si="13"/>
        <v/>
      </c>
      <c r="K125" s="137" t="str">
        <f>IF($B125="N/A","",IF(INDEX(Equipment_Utility_Decision,MATCH($B125,equipment_ID,0))=INDEX(Yes_No_Choice[],1),INDEX(Equipment_Utility_Fuel,MATCH($B125,equipment_ID,0)),""))</f>
        <v/>
      </c>
      <c r="L125" s="277" t="str">
        <f t="shared" si="14"/>
        <v/>
      </c>
      <c r="M125" s="95" t="str">
        <f t="shared" si="15"/>
        <v/>
      </c>
      <c r="N125" s="277" t="str">
        <f t="shared" si="16"/>
        <v/>
      </c>
      <c r="O125" s="137" t="str">
        <f t="shared" si="17"/>
        <v/>
      </c>
    </row>
    <row r="126" spans="2:15">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0"/>
        <v>N/A</v>
      </c>
      <c r="E126" s="94" t="str">
        <f t="shared" si="11"/>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2"/>
        <v/>
      </c>
      <c r="I126" s="137" t="str">
        <f>IF($B126="N/A","",IF(INDEX(Equipment_Utility_Decision,MATCH($B126,equipment_ID,0))='4.2-Settings Internal'!$B$32,INDEX(Equipment_Utility_Electricity,MATCH($B126,equipment_ID,0)),""))</f>
        <v/>
      </c>
      <c r="J126" s="277" t="str">
        <f t="shared" si="13"/>
        <v/>
      </c>
      <c r="K126" s="137" t="str">
        <f>IF($B126="N/A","",IF(INDEX(Equipment_Utility_Decision,MATCH($B126,equipment_ID,0))=INDEX(Yes_No_Choice[],1),INDEX(Equipment_Utility_Fuel,MATCH($B126,equipment_ID,0)),""))</f>
        <v/>
      </c>
      <c r="L126" s="277" t="str">
        <f t="shared" si="14"/>
        <v/>
      </c>
      <c r="M126" s="95" t="str">
        <f t="shared" si="15"/>
        <v/>
      </c>
      <c r="N126" s="277" t="str">
        <f t="shared" si="16"/>
        <v/>
      </c>
      <c r="O126" s="137" t="str">
        <f t="shared" si="17"/>
        <v/>
      </c>
    </row>
    <row r="127" spans="2:15">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0"/>
        <v>N/A</v>
      </c>
      <c r="E127" s="94" t="str">
        <f t="shared" si="11"/>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2"/>
        <v/>
      </c>
      <c r="I127" s="137" t="str">
        <f>IF($B127="N/A","",IF(INDEX(Equipment_Utility_Decision,MATCH($B127,equipment_ID,0))='4.2-Settings Internal'!$B$32,INDEX(Equipment_Utility_Electricity,MATCH($B127,equipment_ID,0)),""))</f>
        <v/>
      </c>
      <c r="J127" s="277" t="str">
        <f t="shared" si="13"/>
        <v/>
      </c>
      <c r="K127" s="137" t="str">
        <f>IF($B127="N/A","",IF(INDEX(Equipment_Utility_Decision,MATCH($B127,equipment_ID,0))=INDEX(Yes_No_Choice[],1),INDEX(Equipment_Utility_Fuel,MATCH($B127,equipment_ID,0)),""))</f>
        <v/>
      </c>
      <c r="L127" s="277" t="str">
        <f t="shared" si="14"/>
        <v/>
      </c>
      <c r="M127" s="95" t="str">
        <f t="shared" si="15"/>
        <v/>
      </c>
      <c r="N127" s="277" t="str">
        <f t="shared" si="16"/>
        <v/>
      </c>
      <c r="O127" s="137" t="str">
        <f t="shared" si="17"/>
        <v/>
      </c>
    </row>
    <row r="128" spans="2:15">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0"/>
        <v>N/A</v>
      </c>
      <c r="E128" s="94" t="str">
        <f t="shared" si="11"/>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2"/>
        <v/>
      </c>
      <c r="I128" s="137" t="str">
        <f>IF($B128="N/A","",IF(INDEX(Equipment_Utility_Decision,MATCH($B128,equipment_ID,0))='4.2-Settings Internal'!$B$32,INDEX(Equipment_Utility_Electricity,MATCH($B128,equipment_ID,0)),""))</f>
        <v/>
      </c>
      <c r="J128" s="277" t="str">
        <f t="shared" si="13"/>
        <v/>
      </c>
      <c r="K128" s="137" t="str">
        <f>IF($B128="N/A","",IF(INDEX(Equipment_Utility_Decision,MATCH($B128,equipment_ID,0))=INDEX(Yes_No_Choice[],1),INDEX(Equipment_Utility_Fuel,MATCH($B128,equipment_ID,0)),""))</f>
        <v/>
      </c>
      <c r="L128" s="277" t="str">
        <f t="shared" si="14"/>
        <v/>
      </c>
      <c r="M128" s="95" t="str">
        <f t="shared" si="15"/>
        <v/>
      </c>
      <c r="N128" s="277" t="str">
        <f t="shared" si="16"/>
        <v/>
      </c>
      <c r="O128" s="137" t="str">
        <f t="shared" si="17"/>
        <v/>
      </c>
    </row>
    <row r="129" spans="2:15">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0"/>
        <v>N/A</v>
      </c>
      <c r="E129" s="94" t="str">
        <f t="shared" si="11"/>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2"/>
        <v/>
      </c>
      <c r="I129" s="137" t="str">
        <f>IF($B129="N/A","",IF(INDEX(Equipment_Utility_Decision,MATCH($B129,equipment_ID,0))='4.2-Settings Internal'!$B$32,INDEX(Equipment_Utility_Electricity,MATCH($B129,equipment_ID,0)),""))</f>
        <v/>
      </c>
      <c r="J129" s="277" t="str">
        <f t="shared" si="13"/>
        <v/>
      </c>
      <c r="K129" s="137" t="str">
        <f>IF($B129="N/A","",IF(INDEX(Equipment_Utility_Decision,MATCH($B129,equipment_ID,0))=INDEX(Yes_No_Choice[],1),INDEX(Equipment_Utility_Fuel,MATCH($B129,equipment_ID,0)),""))</f>
        <v/>
      </c>
      <c r="L129" s="277" t="str">
        <f t="shared" si="14"/>
        <v/>
      </c>
      <c r="M129" s="95" t="str">
        <f t="shared" si="15"/>
        <v/>
      </c>
      <c r="N129" s="277" t="str">
        <f t="shared" si="16"/>
        <v/>
      </c>
      <c r="O129" s="137" t="str">
        <f t="shared" si="17"/>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95" t="str">
        <f t="shared" si="15"/>
        <v/>
      </c>
      <c r="N130" s="277" t="str">
        <f t="shared" si="16"/>
        <v/>
      </c>
      <c r="O130" s="137" t="str">
        <f t="shared" si="17"/>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95" t="str">
        <f t="shared" si="15"/>
        <v/>
      </c>
      <c r="N131" s="277" t="str">
        <f t="shared" si="16"/>
        <v/>
      </c>
      <c r="O131" s="137" t="str">
        <f t="shared" si="17"/>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95" t="str">
        <f t="shared" si="15"/>
        <v/>
      </c>
      <c r="N132" s="277" t="str">
        <f t="shared" si="16"/>
        <v/>
      </c>
      <c r="O132" s="137" t="str">
        <f t="shared" si="17"/>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95" t="str">
        <f t="shared" si="15"/>
        <v/>
      </c>
      <c r="N133" s="277" t="str">
        <f t="shared" si="16"/>
        <v/>
      </c>
      <c r="O133" s="137" t="str">
        <f t="shared" si="17"/>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95" t="str">
        <f t="shared" si="15"/>
        <v/>
      </c>
      <c r="N134" s="277" t="str">
        <f t="shared" si="16"/>
        <v/>
      </c>
      <c r="O134" s="137" t="str">
        <f t="shared" si="17"/>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95" t="str">
        <f t="shared" si="15"/>
        <v/>
      </c>
      <c r="N135" s="277" t="str">
        <f t="shared" si="16"/>
        <v/>
      </c>
      <c r="O135" s="137" t="str">
        <f t="shared" si="17"/>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95" t="str">
        <f t="shared" si="15"/>
        <v/>
      </c>
      <c r="N136" s="277" t="str">
        <f t="shared" si="16"/>
        <v/>
      </c>
      <c r="O136" s="137" t="str">
        <f t="shared" si="17"/>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95" t="str">
        <f t="shared" si="15"/>
        <v/>
      </c>
      <c r="N137" s="277" t="str">
        <f t="shared" si="16"/>
        <v/>
      </c>
      <c r="O137" s="137" t="str">
        <f t="shared" si="17"/>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95" t="str">
        <f t="shared" si="15"/>
        <v/>
      </c>
      <c r="N138" s="277" t="str">
        <f t="shared" si="16"/>
        <v/>
      </c>
      <c r="O138" s="137" t="str">
        <f t="shared" si="17"/>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95" t="str">
        <f t="shared" si="15"/>
        <v/>
      </c>
      <c r="N139" s="277" t="str">
        <f t="shared" si="16"/>
        <v/>
      </c>
      <c r="O139" s="137" t="str">
        <f t="shared" si="17"/>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95" t="str">
        <f t="shared" si="15"/>
        <v/>
      </c>
      <c r="N140" s="277" t="str">
        <f t="shared" si="16"/>
        <v/>
      </c>
      <c r="O140" s="137" t="str">
        <f t="shared" si="17"/>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95" t="str">
        <f t="shared" si="15"/>
        <v/>
      </c>
      <c r="N141" s="277" t="str">
        <f t="shared" si="16"/>
        <v/>
      </c>
      <c r="O141" s="137" t="str">
        <f t="shared" si="17"/>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95" t="str">
        <f t="shared" si="15"/>
        <v/>
      </c>
      <c r="N142" s="277" t="str">
        <f t="shared" si="16"/>
        <v/>
      </c>
      <c r="O142" s="137" t="str">
        <f t="shared" si="17"/>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95" t="str">
        <f t="shared" si="15"/>
        <v/>
      </c>
      <c r="N143" s="277" t="str">
        <f t="shared" si="16"/>
        <v/>
      </c>
      <c r="O143" s="137" t="str">
        <f t="shared" si="17"/>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95" t="str">
        <f t="shared" si="15"/>
        <v/>
      </c>
      <c r="N144" s="277" t="str">
        <f t="shared" si="16"/>
        <v/>
      </c>
      <c r="O144" s="137" t="str">
        <f t="shared" si="17"/>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95" t="str">
        <f t="shared" si="15"/>
        <v/>
      </c>
      <c r="N145" s="277" t="str">
        <f t="shared" si="16"/>
        <v/>
      </c>
      <c r="O145" s="137" t="str">
        <f t="shared" si="17"/>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95" t="str">
        <f t="shared" si="15"/>
        <v/>
      </c>
      <c r="N146" s="277" t="str">
        <f t="shared" si="16"/>
        <v/>
      </c>
      <c r="O146" s="137" t="str">
        <f t="shared" si="17"/>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95" t="str">
        <f t="shared" si="15"/>
        <v/>
      </c>
      <c r="N147" s="277" t="str">
        <f t="shared" si="16"/>
        <v/>
      </c>
      <c r="O147" s="137" t="str">
        <f t="shared" si="17"/>
        <v/>
      </c>
    </row>
    <row r="148" spans="2:23" ht="33" customHeight="1"/>
    <row r="149" spans="2:23" ht="33" customHeight="1">
      <c r="G149" s="188" t="s">
        <v>620</v>
      </c>
      <c r="H149" s="288">
        <f>SUM(H152:H189)</f>
        <v>28731.5</v>
      </c>
      <c r="I149" s="288">
        <f t="shared" ref="I149:W149" si="18">SUM(I152:I189)</f>
        <v>0</v>
      </c>
      <c r="J149" s="288">
        <f t="shared" si="18"/>
        <v>0</v>
      </c>
      <c r="K149" s="288">
        <f t="shared" si="18"/>
        <v>322</v>
      </c>
      <c r="L149" s="288">
        <f t="shared" si="18"/>
        <v>0</v>
      </c>
      <c r="M149" s="288">
        <f t="shared" si="18"/>
        <v>28409.5</v>
      </c>
      <c r="N149" s="288">
        <f t="shared" si="18"/>
        <v>322</v>
      </c>
      <c r="O149" s="288">
        <f t="shared" si="18"/>
        <v>0</v>
      </c>
      <c r="P149" s="288">
        <f t="shared" si="18"/>
        <v>0</v>
      </c>
      <c r="Q149" s="288">
        <f t="shared" si="18"/>
        <v>322</v>
      </c>
      <c r="R149" s="288">
        <f t="shared" si="18"/>
        <v>28409.5</v>
      </c>
      <c r="S149" s="288">
        <f t="shared" si="18"/>
        <v>0</v>
      </c>
      <c r="T149" s="288">
        <f t="shared" si="18"/>
        <v>322</v>
      </c>
      <c r="U149" s="288">
        <f t="shared" si="18"/>
        <v>0</v>
      </c>
      <c r="V149" s="288">
        <f t="shared" si="18"/>
        <v>0</v>
      </c>
      <c r="W149" s="288">
        <f t="shared" si="18"/>
        <v>28731.5</v>
      </c>
    </row>
    <row r="151" spans="2:23" ht="31.5">
      <c r="B151" s="97" t="s">
        <v>84</v>
      </c>
      <c r="C151" s="97" t="s">
        <v>53</v>
      </c>
      <c r="D151" s="123" t="s">
        <v>52</v>
      </c>
      <c r="E151" s="184" t="s">
        <v>149</v>
      </c>
      <c r="F151" s="123" t="s">
        <v>50</v>
      </c>
      <c r="G151" s="123" t="s">
        <v>121</v>
      </c>
      <c r="H151" s="123" t="s">
        <v>617</v>
      </c>
      <c r="I151" s="123" t="s">
        <v>595</v>
      </c>
      <c r="J151" s="123" t="s">
        <v>596</v>
      </c>
      <c r="K151" s="123" t="s">
        <v>597</v>
      </c>
      <c r="L151" s="123" t="s">
        <v>598</v>
      </c>
      <c r="M151" s="123" t="s">
        <v>599</v>
      </c>
      <c r="N151" s="123" t="s">
        <v>600</v>
      </c>
      <c r="O151" s="123" t="s">
        <v>601</v>
      </c>
      <c r="P151" s="123" t="s">
        <v>602</v>
      </c>
      <c r="Q151" s="123" t="s">
        <v>603</v>
      </c>
      <c r="R151" s="123" t="s">
        <v>604</v>
      </c>
      <c r="S151" s="123" t="s">
        <v>605</v>
      </c>
      <c r="T151" s="123" t="s">
        <v>606</v>
      </c>
      <c r="U151" s="123" t="s">
        <v>607</v>
      </c>
      <c r="V151" s="123" t="s">
        <v>608</v>
      </c>
      <c r="W151" s="123"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eq0003</v>
      </c>
      <c r="C152" s="76" t="str">
        <f>IF($B152="N/A","N/A",INDEX(Equipment_name[],MATCH(B152,equipment_ID,0)))</f>
        <v>Conversion crates</v>
      </c>
      <c r="D152" s="277">
        <f t="shared" ref="D152:D189" si="19">IF($B152="N/A","N/A",INDEX(Equipment_Capital_Cost,MATCH($B152,equipment_ID,0)))</f>
        <v>4.8999999999999995</v>
      </c>
      <c r="E152" s="94">
        <f t="shared" ref="E152:E189" si="20">IF($B152="N/A","N/A",INDEX(Equipment_Lifetime,MATCH($B152,equipment_ID,0)))</f>
        <v>5</v>
      </c>
      <c r="F152" s="94">
        <f t="shared" ref="F152:F189" si="21">IF($B152="N/A","N/A",INDEX(Equipment_Quantity_New,MATCH($B152,equipment_ID,0)))</f>
        <v>5000</v>
      </c>
      <c r="G152" s="92">
        <f t="shared" ref="G152:G189" si="22">IF($B152="N/A","N/A",INDEX(Equipment_Allocation_New,MATCH($B152,equipment_ID,0),MATCH($C$107,Unit_codes,0)))</f>
        <v>0.5</v>
      </c>
      <c r="H152" s="277">
        <f>IFERROR(IF($B152="N/A","N/A",IF(MOD(COLUMNS(H$151:$H$151)-1,$E152)=0,$F152*$D152*$G152,)),)</f>
        <v>12249.999999999998</v>
      </c>
      <c r="I152" s="277">
        <f>IFERROR(IF($B152="N/A","N/A",IF(MOD(COLUMNS($H$151:I$151)-1,$E152)=0,$F152*$D152*$G152,)),)</f>
        <v>0</v>
      </c>
      <c r="J152" s="277">
        <f>IFERROR(IF($B152="N/A","N/A",IF(MOD(COLUMNS($H$151:J$151)-1,$E152)=0,$F152*$D152*$G152,)),)</f>
        <v>0</v>
      </c>
      <c r="K152" s="277">
        <f>IFERROR(IF($B152="N/A","N/A",IF(MOD(COLUMNS($H$151:K$151)-1,$E152)=0,$F152*$D152*$G152,)),)</f>
        <v>0</v>
      </c>
      <c r="L152" s="277">
        <f>IFERROR(IF($B152="N/A","N/A",IF(MOD(COLUMNS($H$151:L$151)-1,$E152)=0,$F152*$D152*$G152,)),)</f>
        <v>0</v>
      </c>
      <c r="M152" s="277">
        <f>IFERROR(IF($B152="N/A","N/A",IF(MOD(COLUMNS($H$151:M$151)-1,$E152)=0,$F152*$D152*$G152,)),)</f>
        <v>12249.999999999998</v>
      </c>
      <c r="N152" s="277">
        <f>IFERROR(IF($B152="N/A","N/A",IF(MOD(COLUMNS($H$151:N$151)-1,$E152)=0,$F152*$D152*$G152,)),)</f>
        <v>0</v>
      </c>
      <c r="O152" s="277">
        <f>IFERROR(IF($B152="N/A","N/A",IF(MOD(COLUMNS($H$151:O$151)-1,$E152)=0,$F152*$D152*$G152,)),)</f>
        <v>0</v>
      </c>
      <c r="P152" s="277">
        <f>IFERROR(IF($B152="N/A","N/A",IF(MOD(COLUMNS($H$151:P$151)-1,$E152)=0,$F152*$D152*$G152,)),)</f>
        <v>0</v>
      </c>
      <c r="Q152" s="277">
        <f>IFERROR(IF($B152="N/A","N/A",IF(MOD(COLUMNS($H$151:Q$151)-1,$E152)=0,$F152*$D152*$G152,)),)</f>
        <v>0</v>
      </c>
      <c r="R152" s="277">
        <f>IFERROR(IF($B152="N/A","N/A",IF(MOD(COLUMNS($H$151:R$151)-1,$E152)=0,$F152*$D152*$G152,)),)</f>
        <v>12249.999999999998</v>
      </c>
      <c r="S152" s="277">
        <f>IFERROR(IF($B152="N/A","N/A",IF(MOD(COLUMNS($H$151:S$151)-1,$E152)=0,$F152*$D152*$G152,)),)</f>
        <v>0</v>
      </c>
      <c r="T152" s="277">
        <f>IFERROR(IF($B152="N/A","N/A",IF(MOD(COLUMNS($H$151:T$151)-1,$E152)=0,$F152*$D152*$G152,)),)</f>
        <v>0</v>
      </c>
      <c r="U152" s="277">
        <f>IFERROR(IF($B152="N/A","N/A",IF(MOD(COLUMNS($H$151:U$151)-1,$E152)=0,$F152*$D152*$G152,)),)</f>
        <v>0</v>
      </c>
      <c r="V152" s="277">
        <f>IFERROR(IF($B152="N/A","N/A",IF(MOD(COLUMNS($H$151:V$151)-1,$E152)=0,$F152*$D152*$G152,)),)</f>
        <v>0</v>
      </c>
      <c r="W152" s="277">
        <f>IFERROR(IF($B152="N/A","N/A",IF(MOD(COLUMNS($H$151:W$151)-1,$E152)=0,$F152*$D152*$G152,)),)</f>
        <v>12249.999999999998</v>
      </c>
    </row>
    <row r="153" spans="2:23">
      <c r="B153" s="76" t="str">
        <f t="array" ref="B153">IF(COUNTIFS(INDEX(Equipment_Allocation_New,0,MATCH($C$107,Unit_codes,0)),"&gt;0")&lt;ROWS('2.2-Equipment input'!$X$8:$X9),"N/A",INDEX('2.2-Equipment input'!B:B,SMALL(IF(INDEX(Equipment_Allocation_New,0,MATCH($C$107,Unit_codes,0))&gt;0,ROW(equipment_ID)),ROW('2.2-Equipment input'!B2))))</f>
        <v>eq0004</v>
      </c>
      <c r="C153" s="76" t="str">
        <f>IF($B153="N/A","N/A",INDEX(Equipment_name[],MATCH(B153,equipment_ID,0)))</f>
        <v>Pallets</v>
      </c>
      <c r="D153" s="277">
        <f t="shared" si="19"/>
        <v>10.499999999999998</v>
      </c>
      <c r="E153" s="94">
        <f t="shared" si="20"/>
        <v>5</v>
      </c>
      <c r="F153" s="94">
        <f t="shared" si="21"/>
        <v>120</v>
      </c>
      <c r="G153" s="92">
        <f t="shared" si="22"/>
        <v>0.4</v>
      </c>
      <c r="H153" s="277">
        <f>IFERROR(IF($B153="N/A","N/A",IF(MOD(COLUMNS(H$151:$H$151)-1,$E153)=0,$F153*$D153*$G153,)),)</f>
        <v>503.99999999999994</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503.99999999999994</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503.99999999999994</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503.99999999999994</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eq0005</v>
      </c>
      <c r="C154" s="76" t="str">
        <f>IF($B154="N/A","N/A",INDEX(Equipment_name[],MATCH(B154,equipment_ID,0)))</f>
        <v>Ventilation frames</v>
      </c>
      <c r="D154" s="277">
        <f t="shared" si="19"/>
        <v>17.5</v>
      </c>
      <c r="E154" s="94">
        <f t="shared" si="20"/>
        <v>5</v>
      </c>
      <c r="F154" s="94">
        <f t="shared" si="21"/>
        <v>720</v>
      </c>
      <c r="G154" s="92">
        <f t="shared" si="22"/>
        <v>0.5</v>
      </c>
      <c r="H154" s="277">
        <f>IFERROR(IF($B154="N/A","N/A",IF(MOD(COLUMNS(H$151:$H$151)-1,$E154)=0,$F154*$D154*$G154,)),)</f>
        <v>6300</v>
      </c>
      <c r="I154" s="277">
        <f>IFERROR(IF($B154="N/A","N/A",IF(MOD(COLUMNS($H$151:I$151)-1,$E154)=0,$F154*$D154*$G154,)),)</f>
        <v>0</v>
      </c>
      <c r="J154" s="277">
        <f>IFERROR(IF($B154="N/A","N/A",IF(MOD(COLUMNS($H$151:J$151)-1,$E154)=0,$F154*$D154*$G154,)),)</f>
        <v>0</v>
      </c>
      <c r="K154" s="277">
        <f>IFERROR(IF($B154="N/A","N/A",IF(MOD(COLUMNS($H$151:K$151)-1,$E154)=0,$F154*$D154*$G154,)),)</f>
        <v>0</v>
      </c>
      <c r="L154" s="277">
        <f>IFERROR(IF($B154="N/A","N/A",IF(MOD(COLUMNS($H$151:L$151)-1,$E154)=0,$F154*$D154*$G154,)),)</f>
        <v>0</v>
      </c>
      <c r="M154" s="277">
        <f>IFERROR(IF($B154="N/A","N/A",IF(MOD(COLUMNS($H$151:M$151)-1,$E154)=0,$F154*$D154*$G154,)),)</f>
        <v>6300</v>
      </c>
      <c r="N154" s="277">
        <f>IFERROR(IF($B154="N/A","N/A",IF(MOD(COLUMNS($H$151:N$151)-1,$E154)=0,$F154*$D154*$G154,)),)</f>
        <v>0</v>
      </c>
      <c r="O154" s="277">
        <f>IFERROR(IF($B154="N/A","N/A",IF(MOD(COLUMNS($H$151:O$151)-1,$E154)=0,$F154*$D154*$G154,)),)</f>
        <v>0</v>
      </c>
      <c r="P154" s="277">
        <f>IFERROR(IF($B154="N/A","N/A",IF(MOD(COLUMNS($H$151:P$151)-1,$E154)=0,$F154*$D154*$G154,)),)</f>
        <v>0</v>
      </c>
      <c r="Q154" s="277">
        <f>IFERROR(IF($B154="N/A","N/A",IF(MOD(COLUMNS($H$151:Q$151)-1,$E154)=0,$F154*$D154*$G154,)),)</f>
        <v>0</v>
      </c>
      <c r="R154" s="277">
        <f>IFERROR(IF($B154="N/A","N/A",IF(MOD(COLUMNS($H$151:R$151)-1,$E154)=0,$F154*$D154*$G154,)),)</f>
        <v>6300</v>
      </c>
      <c r="S154" s="277">
        <f>IFERROR(IF($B154="N/A","N/A",IF(MOD(COLUMNS($H$151:S$151)-1,$E154)=0,$F154*$D154*$G154,)),)</f>
        <v>0</v>
      </c>
      <c r="T154" s="277">
        <f>IFERROR(IF($B154="N/A","N/A",IF(MOD(COLUMNS($H$151:T$151)-1,$E154)=0,$F154*$D154*$G154,)),)</f>
        <v>0</v>
      </c>
      <c r="U154" s="277">
        <f>IFERROR(IF($B154="N/A","N/A",IF(MOD(COLUMNS($H$151:U$151)-1,$E154)=0,$F154*$D154*$G154,)),)</f>
        <v>0</v>
      </c>
      <c r="V154" s="277">
        <f>IFERROR(IF($B154="N/A","N/A",IF(MOD(COLUMNS($H$151:V$151)-1,$E154)=0,$F154*$D154*$G154,)),)</f>
        <v>0</v>
      </c>
      <c r="W154" s="277">
        <f>IFERROR(IF($B154="N/A","N/A",IF(MOD(COLUMNS($H$151:W$151)-1,$E154)=0,$F154*$D154*$G154,)),)</f>
        <v>6300</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eq0006</v>
      </c>
      <c r="C155" s="76" t="str">
        <f>IF($B155="N/A","N/A",INDEX(Equipment_name[],MATCH(B155,equipment_ID,0)))</f>
        <v>Pallet trolley</v>
      </c>
      <c r="D155" s="277">
        <f t="shared" si="19"/>
        <v>209.99999999999997</v>
      </c>
      <c r="E155" s="94">
        <f t="shared" si="20"/>
        <v>5</v>
      </c>
      <c r="F155" s="94">
        <f t="shared" si="21"/>
        <v>2</v>
      </c>
      <c r="G155" s="92">
        <f t="shared" si="22"/>
        <v>0.4</v>
      </c>
      <c r="H155" s="277">
        <f>IFERROR(IF($B155="N/A","N/A",IF(MOD(COLUMNS(H$151:$H$151)-1,$E155)=0,$F155*$D155*$G155,)),)</f>
        <v>168</v>
      </c>
      <c r="I155" s="277">
        <f>IFERROR(IF($B155="N/A","N/A",IF(MOD(COLUMNS($H$151:I$151)-1,$E155)=0,$F155*$D155*$G155,)),)</f>
        <v>0</v>
      </c>
      <c r="J155" s="277">
        <f>IFERROR(IF($B155="N/A","N/A",IF(MOD(COLUMNS($H$151:J$151)-1,$E155)=0,$F155*$D155*$G155,)),)</f>
        <v>0</v>
      </c>
      <c r="K155" s="277">
        <f>IFERROR(IF($B155="N/A","N/A",IF(MOD(COLUMNS($H$151:K$151)-1,$E155)=0,$F155*$D155*$G155,)),)</f>
        <v>0</v>
      </c>
      <c r="L155" s="277">
        <f>IFERROR(IF($B155="N/A","N/A",IF(MOD(COLUMNS($H$151:L$151)-1,$E155)=0,$F155*$D155*$G155,)),)</f>
        <v>0</v>
      </c>
      <c r="M155" s="277">
        <f>IFERROR(IF($B155="N/A","N/A",IF(MOD(COLUMNS($H$151:M$151)-1,$E155)=0,$F155*$D155*$G155,)),)</f>
        <v>168</v>
      </c>
      <c r="N155" s="277">
        <f>IFERROR(IF($B155="N/A","N/A",IF(MOD(COLUMNS($H$151:N$151)-1,$E155)=0,$F155*$D155*$G155,)),)</f>
        <v>0</v>
      </c>
      <c r="O155" s="277">
        <f>IFERROR(IF($B155="N/A","N/A",IF(MOD(COLUMNS($H$151:O$151)-1,$E155)=0,$F155*$D155*$G155,)),)</f>
        <v>0</v>
      </c>
      <c r="P155" s="277">
        <f>IFERROR(IF($B155="N/A","N/A",IF(MOD(COLUMNS($H$151:P$151)-1,$E155)=0,$F155*$D155*$G155,)),)</f>
        <v>0</v>
      </c>
      <c r="Q155" s="277">
        <f>IFERROR(IF($B155="N/A","N/A",IF(MOD(COLUMNS($H$151:Q$151)-1,$E155)=0,$F155*$D155*$G155,)),)</f>
        <v>0</v>
      </c>
      <c r="R155" s="277">
        <f>IFERROR(IF($B155="N/A","N/A",IF(MOD(COLUMNS($H$151:R$151)-1,$E155)=0,$F155*$D155*$G155,)),)</f>
        <v>168</v>
      </c>
      <c r="S155" s="277">
        <f>IFERROR(IF($B155="N/A","N/A",IF(MOD(COLUMNS($H$151:S$151)-1,$E155)=0,$F155*$D155*$G155,)),)</f>
        <v>0</v>
      </c>
      <c r="T155" s="277">
        <f>IFERROR(IF($B155="N/A","N/A",IF(MOD(COLUMNS($H$151:T$151)-1,$E155)=0,$F155*$D155*$G155,)),)</f>
        <v>0</v>
      </c>
      <c r="U155" s="277">
        <f>IFERROR(IF($B155="N/A","N/A",IF(MOD(COLUMNS($H$151:U$151)-1,$E155)=0,$F155*$D155*$G155,)),)</f>
        <v>0</v>
      </c>
      <c r="V155" s="277">
        <f>IFERROR(IF($B155="N/A","N/A",IF(MOD(COLUMNS($H$151:V$151)-1,$E155)=0,$F155*$D155*$G155,)),)</f>
        <v>0</v>
      </c>
      <c r="W155" s="277">
        <f>IFERROR(IF($B155="N/A","N/A",IF(MOD(COLUMNS($H$151:W$151)-1,$E155)=0,$F155*$D155*$G155,)),)</f>
        <v>168</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eq0008</v>
      </c>
      <c r="C156" s="76" t="str">
        <f>IF($B156="N/A","N/A",INDEX(Equipment_name[],MATCH(B156,equipment_ID,0)))</f>
        <v>High pressure cleaner</v>
      </c>
      <c r="D156" s="277">
        <f t="shared" si="19"/>
        <v>630</v>
      </c>
      <c r="E156" s="94">
        <f t="shared" si="20"/>
        <v>3</v>
      </c>
      <c r="F156" s="94">
        <f t="shared" si="21"/>
        <v>2</v>
      </c>
      <c r="G156" s="92">
        <f t="shared" si="22"/>
        <v>0.25</v>
      </c>
      <c r="H156" s="277">
        <f>IFERROR(IF($B156="N/A","N/A",IF(MOD(COLUMNS(H$151:$H$151)-1,$E156)=0,$F156*$D156*$G156,)),)</f>
        <v>315</v>
      </c>
      <c r="I156" s="277">
        <f>IFERROR(IF($B156="N/A","N/A",IF(MOD(COLUMNS($H$151:I$151)-1,$E156)=0,$F156*$D156*$G156,)),)</f>
        <v>0</v>
      </c>
      <c r="J156" s="277">
        <f>IFERROR(IF($B156="N/A","N/A",IF(MOD(COLUMNS($H$151:J$151)-1,$E156)=0,$F156*$D156*$G156,)),)</f>
        <v>0</v>
      </c>
      <c r="K156" s="277">
        <f>IFERROR(IF($B156="N/A","N/A",IF(MOD(COLUMNS($H$151:K$151)-1,$E156)=0,$F156*$D156*$G156,)),)</f>
        <v>315</v>
      </c>
      <c r="L156" s="277">
        <f>IFERROR(IF($B156="N/A","N/A",IF(MOD(COLUMNS($H$151:L$151)-1,$E156)=0,$F156*$D156*$G156,)),)</f>
        <v>0</v>
      </c>
      <c r="M156" s="277">
        <f>IFERROR(IF($B156="N/A","N/A",IF(MOD(COLUMNS($H$151:M$151)-1,$E156)=0,$F156*$D156*$G156,)),)</f>
        <v>0</v>
      </c>
      <c r="N156" s="277">
        <f>IFERROR(IF($B156="N/A","N/A",IF(MOD(COLUMNS($H$151:N$151)-1,$E156)=0,$F156*$D156*$G156,)),)</f>
        <v>315</v>
      </c>
      <c r="O156" s="277">
        <f>IFERROR(IF($B156="N/A","N/A",IF(MOD(COLUMNS($H$151:O$151)-1,$E156)=0,$F156*$D156*$G156,)),)</f>
        <v>0</v>
      </c>
      <c r="P156" s="277">
        <f>IFERROR(IF($B156="N/A","N/A",IF(MOD(COLUMNS($H$151:P$151)-1,$E156)=0,$F156*$D156*$G156,)),)</f>
        <v>0</v>
      </c>
      <c r="Q156" s="277">
        <f>IFERROR(IF($B156="N/A","N/A",IF(MOD(COLUMNS($H$151:Q$151)-1,$E156)=0,$F156*$D156*$G156,)),)</f>
        <v>315</v>
      </c>
      <c r="R156" s="277">
        <f>IFERROR(IF($B156="N/A","N/A",IF(MOD(COLUMNS($H$151:R$151)-1,$E156)=0,$F156*$D156*$G156,)),)</f>
        <v>0</v>
      </c>
      <c r="S156" s="277">
        <f>IFERROR(IF($B156="N/A","N/A",IF(MOD(COLUMNS($H$151:S$151)-1,$E156)=0,$F156*$D156*$G156,)),)</f>
        <v>0</v>
      </c>
      <c r="T156" s="277">
        <f>IFERROR(IF($B156="N/A","N/A",IF(MOD(COLUMNS($H$151:T$151)-1,$E156)=0,$F156*$D156*$G156,)),)</f>
        <v>315</v>
      </c>
      <c r="U156" s="277">
        <f>IFERROR(IF($B156="N/A","N/A",IF(MOD(COLUMNS($H$151:U$151)-1,$E156)=0,$F156*$D156*$G156,)),)</f>
        <v>0</v>
      </c>
      <c r="V156" s="277">
        <f>IFERROR(IF($B156="N/A","N/A",IF(MOD(COLUMNS($H$151:V$151)-1,$E156)=0,$F156*$D156*$G156,)),)</f>
        <v>0</v>
      </c>
      <c r="W156" s="277">
        <f>IFERROR(IF($B156="N/A","N/A",IF(MOD(COLUMNS($H$151:W$151)-1,$E156)=0,$F156*$D156*$G156,)),)</f>
        <v>315</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eq0009</v>
      </c>
      <c r="C157" s="76" t="str">
        <f>IF($B157="N/A","N/A",INDEX(Equipment_name[],MATCH(B157,equipment_ID,0)))</f>
        <v>Vibrating sieve</v>
      </c>
      <c r="D157" s="277">
        <f t="shared" si="19"/>
        <v>1749.9999999999998</v>
      </c>
      <c r="E157" s="94">
        <f t="shared" si="20"/>
        <v>5</v>
      </c>
      <c r="F157" s="94">
        <f t="shared" si="21"/>
        <v>1</v>
      </c>
      <c r="G157" s="92">
        <f t="shared" si="22"/>
        <v>1</v>
      </c>
      <c r="H157" s="277">
        <f>IFERROR(IF($B157="N/A","N/A",IF(MOD(COLUMNS(H$151:$H$151)-1,$E157)=0,$F157*$D157*$G157,)),)</f>
        <v>1749.9999999999998</v>
      </c>
      <c r="I157" s="277">
        <f>IFERROR(IF($B157="N/A","N/A",IF(MOD(COLUMNS($H$151:I$151)-1,$E157)=0,$F157*$D157*$G157,)),)</f>
        <v>0</v>
      </c>
      <c r="J157" s="277">
        <f>IFERROR(IF($B157="N/A","N/A",IF(MOD(COLUMNS($H$151:J$151)-1,$E157)=0,$F157*$D157*$G157,)),)</f>
        <v>0</v>
      </c>
      <c r="K157" s="277">
        <f>IFERROR(IF($B157="N/A","N/A",IF(MOD(COLUMNS($H$151:K$151)-1,$E157)=0,$F157*$D157*$G157,)),)</f>
        <v>0</v>
      </c>
      <c r="L157" s="277">
        <f>IFERROR(IF($B157="N/A","N/A",IF(MOD(COLUMNS($H$151:L$151)-1,$E157)=0,$F157*$D157*$G157,)),)</f>
        <v>0</v>
      </c>
      <c r="M157" s="277">
        <f>IFERROR(IF($B157="N/A","N/A",IF(MOD(COLUMNS($H$151:M$151)-1,$E157)=0,$F157*$D157*$G157,)),)</f>
        <v>1749.9999999999998</v>
      </c>
      <c r="N157" s="277">
        <f>IFERROR(IF($B157="N/A","N/A",IF(MOD(COLUMNS($H$151:N$151)-1,$E157)=0,$F157*$D157*$G157,)),)</f>
        <v>0</v>
      </c>
      <c r="O157" s="277">
        <f>IFERROR(IF($B157="N/A","N/A",IF(MOD(COLUMNS($H$151:O$151)-1,$E157)=0,$F157*$D157*$G157,)),)</f>
        <v>0</v>
      </c>
      <c r="P157" s="277">
        <f>IFERROR(IF($B157="N/A","N/A",IF(MOD(COLUMNS($H$151:P$151)-1,$E157)=0,$F157*$D157*$G157,)),)</f>
        <v>0</v>
      </c>
      <c r="Q157" s="277">
        <f>IFERROR(IF($B157="N/A","N/A",IF(MOD(COLUMNS($H$151:Q$151)-1,$E157)=0,$F157*$D157*$G157,)),)</f>
        <v>0</v>
      </c>
      <c r="R157" s="277">
        <f>IFERROR(IF($B157="N/A","N/A",IF(MOD(COLUMNS($H$151:R$151)-1,$E157)=0,$F157*$D157*$G157,)),)</f>
        <v>1749.9999999999998</v>
      </c>
      <c r="S157" s="277">
        <f>IFERROR(IF($B157="N/A","N/A",IF(MOD(COLUMNS($H$151:S$151)-1,$E157)=0,$F157*$D157*$G157,)),)</f>
        <v>0</v>
      </c>
      <c r="T157" s="277">
        <f>IFERROR(IF($B157="N/A","N/A",IF(MOD(COLUMNS($H$151:T$151)-1,$E157)=0,$F157*$D157*$G157,)),)</f>
        <v>0</v>
      </c>
      <c r="U157" s="277">
        <f>IFERROR(IF($B157="N/A","N/A",IF(MOD(COLUMNS($H$151:U$151)-1,$E157)=0,$F157*$D157*$G157,)),)</f>
        <v>0</v>
      </c>
      <c r="V157" s="277">
        <f>IFERROR(IF($B157="N/A","N/A",IF(MOD(COLUMNS($H$151:V$151)-1,$E157)=0,$F157*$D157*$G157,)),)</f>
        <v>0</v>
      </c>
      <c r="W157" s="277">
        <f>IFERROR(IF($B157="N/A","N/A",IF(MOD(COLUMNS($H$151:W$151)-1,$E157)=0,$F157*$D157*$G157,)),)</f>
        <v>1749.9999999999998</v>
      </c>
    </row>
    <row r="158" spans="2:23">
      <c r="B158" s="76" t="str">
        <f t="array" ref="B158">IF(COUNTIFS(INDEX(Equipment_Allocation_New,0,MATCH($C$107,Unit_codes,0)),"&gt;0")&lt;ROWS('2.2-Equipment input'!$X$8:$X14),"N/A",INDEX('2.2-Equipment input'!B:B,SMALL(IF(INDEX(Equipment_Allocation_New,0,MATCH($C$107,Unit_codes,0))&gt;0,ROW(equipment_ID)),ROW('2.2-Equipment input'!B7))))</f>
        <v>eq0010</v>
      </c>
      <c r="C158" s="76" t="str">
        <f>IF($B158="N/A","N/A",INDEX(Equipment_name[],MATCH(B158,equipment_ID,0)))</f>
        <v>Harvesting unit (wet)</v>
      </c>
      <c r="D158" s="277">
        <f t="shared" si="19"/>
        <v>1004.4999999999999</v>
      </c>
      <c r="E158" s="94">
        <f t="shared" si="20"/>
        <v>5</v>
      </c>
      <c r="F158" s="94">
        <f t="shared" si="21"/>
        <v>5</v>
      </c>
      <c r="G158" s="92">
        <f t="shared" si="22"/>
        <v>1</v>
      </c>
      <c r="H158" s="277">
        <f>IFERROR(IF($B158="N/A","N/A",IF(MOD(COLUMNS(H$151:$H$151)-1,$E158)=0,$F158*$D158*$G158,)),)</f>
        <v>5022.4999999999991</v>
      </c>
      <c r="I158" s="277">
        <f>IFERROR(IF($B158="N/A","N/A",IF(MOD(COLUMNS($H$151:I$151)-1,$E158)=0,$F158*$D158*$G158,)),)</f>
        <v>0</v>
      </c>
      <c r="J158" s="277">
        <f>IFERROR(IF($B158="N/A","N/A",IF(MOD(COLUMNS($H$151:J$151)-1,$E158)=0,$F158*$D158*$G158,)),)</f>
        <v>0</v>
      </c>
      <c r="K158" s="277">
        <f>IFERROR(IF($B158="N/A","N/A",IF(MOD(COLUMNS($H$151:K$151)-1,$E158)=0,$F158*$D158*$G158,)),)</f>
        <v>0</v>
      </c>
      <c r="L158" s="277">
        <f>IFERROR(IF($B158="N/A","N/A",IF(MOD(COLUMNS($H$151:L$151)-1,$E158)=0,$F158*$D158*$G158,)),)</f>
        <v>0</v>
      </c>
      <c r="M158" s="277">
        <f>IFERROR(IF($B158="N/A","N/A",IF(MOD(COLUMNS($H$151:M$151)-1,$E158)=0,$F158*$D158*$G158,)),)</f>
        <v>5022.4999999999991</v>
      </c>
      <c r="N158" s="277">
        <f>IFERROR(IF($B158="N/A","N/A",IF(MOD(COLUMNS($H$151:N$151)-1,$E158)=0,$F158*$D158*$G158,)),)</f>
        <v>0</v>
      </c>
      <c r="O158" s="277">
        <f>IFERROR(IF($B158="N/A","N/A",IF(MOD(COLUMNS($H$151:O$151)-1,$E158)=0,$F158*$D158*$G158,)),)</f>
        <v>0</v>
      </c>
      <c r="P158" s="277">
        <f>IFERROR(IF($B158="N/A","N/A",IF(MOD(COLUMNS($H$151:P$151)-1,$E158)=0,$F158*$D158*$G158,)),)</f>
        <v>0</v>
      </c>
      <c r="Q158" s="277">
        <f>IFERROR(IF($B158="N/A","N/A",IF(MOD(COLUMNS($H$151:Q$151)-1,$E158)=0,$F158*$D158*$G158,)),)</f>
        <v>0</v>
      </c>
      <c r="R158" s="277">
        <f>IFERROR(IF($B158="N/A","N/A",IF(MOD(COLUMNS($H$151:R$151)-1,$E158)=0,$F158*$D158*$G158,)),)</f>
        <v>5022.4999999999991</v>
      </c>
      <c r="S158" s="277">
        <f>IFERROR(IF($B158="N/A","N/A",IF(MOD(COLUMNS($H$151:S$151)-1,$E158)=0,$F158*$D158*$G158,)),)</f>
        <v>0</v>
      </c>
      <c r="T158" s="277">
        <f>IFERROR(IF($B158="N/A","N/A",IF(MOD(COLUMNS($H$151:T$151)-1,$E158)=0,$F158*$D158*$G158,)),)</f>
        <v>0</v>
      </c>
      <c r="U158" s="277">
        <f>IFERROR(IF($B158="N/A","N/A",IF(MOD(COLUMNS($H$151:U$151)-1,$E158)=0,$F158*$D158*$G158,)),)</f>
        <v>0</v>
      </c>
      <c r="V158" s="277">
        <f>IFERROR(IF($B158="N/A","N/A",IF(MOD(COLUMNS($H$151:V$151)-1,$E158)=0,$F158*$D158*$G158,)),)</f>
        <v>0</v>
      </c>
      <c r="W158" s="277">
        <f>IFERROR(IF($B158="N/A","N/A",IF(MOD(COLUMNS($H$151:W$151)-1,$E158)=0,$F158*$D158*$G158,)),)</f>
        <v>5022.4999999999991</v>
      </c>
    </row>
    <row r="159" spans="2:23">
      <c r="B159" s="76" t="str">
        <f t="array" ref="B159">IF(COUNTIFS(INDEX(Equipment_Allocation_New,0,MATCH($C$107,Unit_codes,0)),"&gt;0")&lt;ROWS('2.2-Equipment input'!$X$8:$X15),"N/A",INDEX('2.2-Equipment input'!B:B,SMALL(IF(INDEX(Equipment_Allocation_New,0,MATCH($C$107,Unit_codes,0))&gt;0,ROW(equipment_ID)),ROW('2.2-Equipment input'!B8))))</f>
        <v>eq0011</v>
      </c>
      <c r="C159" s="76" t="str">
        <f>IF($B159="N/A","N/A",INDEX(Equipment_name[],MATCH(B159,equipment_ID,0)))</f>
        <v>Harvesting container</v>
      </c>
      <c r="D159" s="277">
        <f t="shared" si="19"/>
        <v>419.99999999999994</v>
      </c>
      <c r="E159" s="94">
        <f t="shared" si="20"/>
        <v>5</v>
      </c>
      <c r="F159" s="94">
        <f t="shared" si="21"/>
        <v>5</v>
      </c>
      <c r="G159" s="92">
        <f t="shared" si="22"/>
        <v>1</v>
      </c>
      <c r="H159" s="277">
        <f>IFERROR(IF($B159="N/A","N/A",IF(MOD(COLUMNS(H$151:$H$151)-1,$E159)=0,$F159*$D159*$G159,)),)</f>
        <v>2099.9999999999995</v>
      </c>
      <c r="I159" s="277">
        <f>IFERROR(IF($B159="N/A","N/A",IF(MOD(COLUMNS($H$151:I$151)-1,$E159)=0,$F159*$D159*$G159,)),)</f>
        <v>0</v>
      </c>
      <c r="J159" s="277">
        <f>IFERROR(IF($B159="N/A","N/A",IF(MOD(COLUMNS($H$151:J$151)-1,$E159)=0,$F159*$D159*$G159,)),)</f>
        <v>0</v>
      </c>
      <c r="K159" s="277">
        <f>IFERROR(IF($B159="N/A","N/A",IF(MOD(COLUMNS($H$151:K$151)-1,$E159)=0,$F159*$D159*$G159,)),)</f>
        <v>0</v>
      </c>
      <c r="L159" s="277">
        <f>IFERROR(IF($B159="N/A","N/A",IF(MOD(COLUMNS($H$151:L$151)-1,$E159)=0,$F159*$D159*$G159,)),)</f>
        <v>0</v>
      </c>
      <c r="M159" s="277">
        <f>IFERROR(IF($B159="N/A","N/A",IF(MOD(COLUMNS($H$151:M$151)-1,$E159)=0,$F159*$D159*$G159,)),)</f>
        <v>2099.9999999999995</v>
      </c>
      <c r="N159" s="277">
        <f>IFERROR(IF($B159="N/A","N/A",IF(MOD(COLUMNS($H$151:N$151)-1,$E159)=0,$F159*$D159*$G159,)),)</f>
        <v>0</v>
      </c>
      <c r="O159" s="277">
        <f>IFERROR(IF($B159="N/A","N/A",IF(MOD(COLUMNS($H$151:O$151)-1,$E159)=0,$F159*$D159*$G159,)),)</f>
        <v>0</v>
      </c>
      <c r="P159" s="277">
        <f>IFERROR(IF($B159="N/A","N/A",IF(MOD(COLUMNS($H$151:P$151)-1,$E159)=0,$F159*$D159*$G159,)),)</f>
        <v>0</v>
      </c>
      <c r="Q159" s="277">
        <f>IFERROR(IF($B159="N/A","N/A",IF(MOD(COLUMNS($H$151:Q$151)-1,$E159)=0,$F159*$D159*$G159,)),)</f>
        <v>0</v>
      </c>
      <c r="R159" s="277">
        <f>IFERROR(IF($B159="N/A","N/A",IF(MOD(COLUMNS($H$151:R$151)-1,$E159)=0,$F159*$D159*$G159,)),)</f>
        <v>2099.9999999999995</v>
      </c>
      <c r="S159" s="277">
        <f>IFERROR(IF($B159="N/A","N/A",IF(MOD(COLUMNS($H$151:S$151)-1,$E159)=0,$F159*$D159*$G159,)),)</f>
        <v>0</v>
      </c>
      <c r="T159" s="277">
        <f>IFERROR(IF($B159="N/A","N/A",IF(MOD(COLUMNS($H$151:T$151)-1,$E159)=0,$F159*$D159*$G159,)),)</f>
        <v>0</v>
      </c>
      <c r="U159" s="277">
        <f>IFERROR(IF($B159="N/A","N/A",IF(MOD(COLUMNS($H$151:U$151)-1,$E159)=0,$F159*$D159*$G159,)),)</f>
        <v>0</v>
      </c>
      <c r="V159" s="277">
        <f>IFERROR(IF($B159="N/A","N/A",IF(MOD(COLUMNS($H$151:V$151)-1,$E159)=0,$F159*$D159*$G159,)),)</f>
        <v>0</v>
      </c>
      <c r="W159" s="277">
        <f>IFERROR(IF($B159="N/A","N/A",IF(MOD(COLUMNS($H$151:W$151)-1,$E159)=0,$F159*$D159*$G159,)),)</f>
        <v>2099.9999999999995</v>
      </c>
    </row>
    <row r="160" spans="2:23">
      <c r="B160" s="76" t="str">
        <f t="array" ref="B160">IF(COUNTIFS(INDEX(Equipment_Allocation_New,0,MATCH($C$107,Unit_codes,0)),"&gt;0")&lt;ROWS('2.2-Equipment input'!$X$8:$X16),"N/A",INDEX('2.2-Equipment input'!B:B,SMALL(IF(INDEX(Equipment_Allocation_New,0,MATCH($C$107,Unit_codes,0))&gt;0,ROW(equipment_ID)),ROW('2.2-Equipment input'!B9))))</f>
        <v>eq0012</v>
      </c>
      <c r="C160" s="76" t="str">
        <f>IF($B160="N/A","N/A",INDEX(Equipment_name[],MATCH(B160,equipment_ID,0)))</f>
        <v>Harvesting large scoop</v>
      </c>
      <c r="D160" s="277">
        <f t="shared" si="19"/>
        <v>1.4</v>
      </c>
      <c r="E160" s="94">
        <f t="shared" si="20"/>
        <v>3</v>
      </c>
      <c r="F160" s="94">
        <f t="shared" si="21"/>
        <v>5</v>
      </c>
      <c r="G160" s="92">
        <f t="shared" si="22"/>
        <v>1</v>
      </c>
      <c r="H160" s="277">
        <f>IFERROR(IF($B160="N/A","N/A",IF(MOD(COLUMNS(H$151:$H$151)-1,$E160)=0,$F160*$D160*$G160,)),)</f>
        <v>7</v>
      </c>
      <c r="I160" s="277">
        <f>IFERROR(IF($B160="N/A","N/A",IF(MOD(COLUMNS($H$151:I$151)-1,$E160)=0,$F160*$D160*$G160,)),)</f>
        <v>0</v>
      </c>
      <c r="J160" s="277">
        <f>IFERROR(IF($B160="N/A","N/A",IF(MOD(COLUMNS($H$151:J$151)-1,$E160)=0,$F160*$D160*$G160,)),)</f>
        <v>0</v>
      </c>
      <c r="K160" s="277">
        <f>IFERROR(IF($B160="N/A","N/A",IF(MOD(COLUMNS($H$151:K$151)-1,$E160)=0,$F160*$D160*$G160,)),)</f>
        <v>7</v>
      </c>
      <c r="L160" s="277">
        <f>IFERROR(IF($B160="N/A","N/A",IF(MOD(COLUMNS($H$151:L$151)-1,$E160)=0,$F160*$D160*$G160,)),)</f>
        <v>0</v>
      </c>
      <c r="M160" s="277">
        <f>IFERROR(IF($B160="N/A","N/A",IF(MOD(COLUMNS($H$151:M$151)-1,$E160)=0,$F160*$D160*$G160,)),)</f>
        <v>0</v>
      </c>
      <c r="N160" s="277">
        <f>IFERROR(IF($B160="N/A","N/A",IF(MOD(COLUMNS($H$151:N$151)-1,$E160)=0,$F160*$D160*$G160,)),)</f>
        <v>7</v>
      </c>
      <c r="O160" s="277">
        <f>IFERROR(IF($B160="N/A","N/A",IF(MOD(COLUMNS($H$151:O$151)-1,$E160)=0,$F160*$D160*$G160,)),)</f>
        <v>0</v>
      </c>
      <c r="P160" s="277">
        <f>IFERROR(IF($B160="N/A","N/A",IF(MOD(COLUMNS($H$151:P$151)-1,$E160)=0,$F160*$D160*$G160,)),)</f>
        <v>0</v>
      </c>
      <c r="Q160" s="277">
        <f>IFERROR(IF($B160="N/A","N/A",IF(MOD(COLUMNS($H$151:Q$151)-1,$E160)=0,$F160*$D160*$G160,)),)</f>
        <v>7</v>
      </c>
      <c r="R160" s="277">
        <f>IFERROR(IF($B160="N/A","N/A",IF(MOD(COLUMNS($H$151:R$151)-1,$E160)=0,$F160*$D160*$G160,)),)</f>
        <v>0</v>
      </c>
      <c r="S160" s="277">
        <f>IFERROR(IF($B160="N/A","N/A",IF(MOD(COLUMNS($H$151:S$151)-1,$E160)=0,$F160*$D160*$G160,)),)</f>
        <v>0</v>
      </c>
      <c r="T160" s="277">
        <f>IFERROR(IF($B160="N/A","N/A",IF(MOD(COLUMNS($H$151:T$151)-1,$E160)=0,$F160*$D160*$G160,)),)</f>
        <v>7</v>
      </c>
      <c r="U160" s="277">
        <f>IFERROR(IF($B160="N/A","N/A",IF(MOD(COLUMNS($H$151:U$151)-1,$E160)=0,$F160*$D160*$G160,)),)</f>
        <v>0</v>
      </c>
      <c r="V160" s="277">
        <f>IFERROR(IF($B160="N/A","N/A",IF(MOD(COLUMNS($H$151:V$151)-1,$E160)=0,$F160*$D160*$G160,)),)</f>
        <v>0</v>
      </c>
      <c r="W160" s="277">
        <f>IFERROR(IF($B160="N/A","N/A",IF(MOD(COLUMNS($H$151:W$151)-1,$E160)=0,$F160*$D160*$G160,)),)</f>
        <v>7</v>
      </c>
    </row>
    <row r="161" spans="2:23">
      <c r="B161" s="76" t="str">
        <f t="array" ref="B161">IF(COUNTIFS(INDEX(Equipment_Allocation_New,0,MATCH($C$107,Unit_codes,0)),"&gt;0")&lt;ROWS('2.2-Equipment input'!$X$8:$X17),"N/A",INDEX('2.2-Equipment input'!B:B,SMALL(IF(INDEX(Equipment_Allocation_New,0,MATCH($C$107,Unit_codes,0))&gt;0,ROW(equipment_ID)),ROW('2.2-Equipment input'!B10))))</f>
        <v>eq0030</v>
      </c>
      <c r="C161" s="76" t="str">
        <f>IF($B161="N/A","N/A",INDEX(Equipment_name[],MATCH(B161,equipment_ID,0)))</f>
        <v>Measuring balance ("heavy" duty)</v>
      </c>
      <c r="D161" s="277">
        <f t="shared" si="19"/>
        <v>174.99999999999997</v>
      </c>
      <c r="E161" s="94">
        <f t="shared" si="20"/>
        <v>5</v>
      </c>
      <c r="F161" s="94">
        <f t="shared" si="21"/>
        <v>3</v>
      </c>
      <c r="G161" s="94">
        <f t="shared" si="22"/>
        <v>0.2</v>
      </c>
      <c r="H161" s="277">
        <f>IFERROR(IF($B161="N/A","N/A",IF(MOD(COLUMNS(H$151:$H$151)-1,$E161)=0,$F161*$D161*$G161,)),)</f>
        <v>104.99999999999999</v>
      </c>
      <c r="I161" s="277">
        <f>IFERROR(IF($B161="N/A","N/A",IF(MOD(COLUMNS($H$151:I$151)-1,$E161)=0,$F161*$D161*$G161,)),)</f>
        <v>0</v>
      </c>
      <c r="J161" s="277">
        <f>IFERROR(IF($B161="N/A","N/A",IF(MOD(COLUMNS($H$151:J$151)-1,$E161)=0,$F161*$D161*$G161,)),)</f>
        <v>0</v>
      </c>
      <c r="K161" s="277">
        <f>IFERROR(IF($B161="N/A","N/A",IF(MOD(COLUMNS($H$151:K$151)-1,$E161)=0,$F161*$D161*$G161,)),)</f>
        <v>0</v>
      </c>
      <c r="L161" s="277">
        <f>IFERROR(IF($B161="N/A","N/A",IF(MOD(COLUMNS($H$151:L$151)-1,$E161)=0,$F161*$D161*$G161,)),)</f>
        <v>0</v>
      </c>
      <c r="M161" s="277">
        <f>IFERROR(IF($B161="N/A","N/A",IF(MOD(COLUMNS($H$151:M$151)-1,$E161)=0,$F161*$D161*$G161,)),)</f>
        <v>104.99999999999999</v>
      </c>
      <c r="N161" s="277">
        <f>IFERROR(IF($B161="N/A","N/A",IF(MOD(COLUMNS($H$151:N$151)-1,$E161)=0,$F161*$D161*$G161,)),)</f>
        <v>0</v>
      </c>
      <c r="O161" s="277">
        <f>IFERROR(IF($B161="N/A","N/A",IF(MOD(COLUMNS($H$151:O$151)-1,$E161)=0,$F161*$D161*$G161,)),)</f>
        <v>0</v>
      </c>
      <c r="P161" s="277">
        <f>IFERROR(IF($B161="N/A","N/A",IF(MOD(COLUMNS($H$151:P$151)-1,$E161)=0,$F161*$D161*$G161,)),)</f>
        <v>0</v>
      </c>
      <c r="Q161" s="277">
        <f>IFERROR(IF($B161="N/A","N/A",IF(MOD(COLUMNS($H$151:Q$151)-1,$E161)=0,$F161*$D161*$G161,)),)</f>
        <v>0</v>
      </c>
      <c r="R161" s="277">
        <f>IFERROR(IF($B161="N/A","N/A",IF(MOD(COLUMNS($H$151:R$151)-1,$E161)=0,$F161*$D161*$G161,)),)</f>
        <v>104.99999999999999</v>
      </c>
      <c r="S161" s="277">
        <f>IFERROR(IF($B161="N/A","N/A",IF(MOD(COLUMNS($H$151:S$151)-1,$E161)=0,$F161*$D161*$G161,)),)</f>
        <v>0</v>
      </c>
      <c r="T161" s="277">
        <f>IFERROR(IF($B161="N/A","N/A",IF(MOD(COLUMNS($H$151:T$151)-1,$E161)=0,$F161*$D161*$G161,)),)</f>
        <v>0</v>
      </c>
      <c r="U161" s="277">
        <f>IFERROR(IF($B161="N/A","N/A",IF(MOD(COLUMNS($H$151:U$151)-1,$E161)=0,$F161*$D161*$G161,)),)</f>
        <v>0</v>
      </c>
      <c r="V161" s="277">
        <f>IFERROR(IF($B161="N/A","N/A",IF(MOD(COLUMNS($H$151:V$151)-1,$E161)=0,$F161*$D161*$G161,)),)</f>
        <v>0</v>
      </c>
      <c r="W161" s="277">
        <f>IFERROR(IF($B161="N/A","N/A",IF(MOD(COLUMNS($H$151:W$151)-1,$E161)=0,$F161*$D161*$G161,)),)</f>
        <v>104.99999999999999</v>
      </c>
    </row>
    <row r="162" spans="2:23">
      <c r="B162" s="76" t="str">
        <f t="array" ref="B162">IF(COUNTIFS(INDEX(Equipment_Allocation_New,0,MATCH($C$107,Unit_codes,0)),"&gt;0")&lt;ROWS('2.2-Equipment input'!$X$8:$X18),"N/A",INDEX('2.2-Equipment input'!B:B,SMALL(IF(INDEX(Equipment_Allocation_New,0,MATCH($C$107,Unit_codes,0))&gt;0,ROW(equipment_ID)),ROW('2.2-Equipment input'!B11))))</f>
        <v>eq0032</v>
      </c>
      <c r="C162" s="76" t="str">
        <f>IF($B162="N/A","N/A",INDEX(Equipment_name[],MATCH(B162,equipment_ID,0)))</f>
        <v>Measuring balance (nursery)</v>
      </c>
      <c r="D162" s="277">
        <f t="shared" si="19"/>
        <v>349.99999999999994</v>
      </c>
      <c r="E162" s="94">
        <f t="shared" si="20"/>
        <v>5</v>
      </c>
      <c r="F162" s="94">
        <f t="shared" si="21"/>
        <v>3</v>
      </c>
      <c r="G162" s="94">
        <f t="shared" si="22"/>
        <v>0.2</v>
      </c>
      <c r="H162" s="277">
        <f>IFERROR(IF($B162="N/A","N/A",IF(MOD(COLUMNS(H$151:$H$151)-1,$E162)=0,$F162*$D162*$G162,)),)</f>
        <v>209.99999999999997</v>
      </c>
      <c r="I162" s="277">
        <f>IFERROR(IF($B162="N/A","N/A",IF(MOD(COLUMNS($H$151:I$151)-1,$E162)=0,$F162*$D162*$G162,)),)</f>
        <v>0</v>
      </c>
      <c r="J162" s="277">
        <f>IFERROR(IF($B162="N/A","N/A",IF(MOD(COLUMNS($H$151:J$151)-1,$E162)=0,$F162*$D162*$G162,)),)</f>
        <v>0</v>
      </c>
      <c r="K162" s="277">
        <f>IFERROR(IF($B162="N/A","N/A",IF(MOD(COLUMNS($H$151:K$151)-1,$E162)=0,$F162*$D162*$G162,)),)</f>
        <v>0</v>
      </c>
      <c r="L162" s="277">
        <f>IFERROR(IF($B162="N/A","N/A",IF(MOD(COLUMNS($H$151:L$151)-1,$E162)=0,$F162*$D162*$G162,)),)</f>
        <v>0</v>
      </c>
      <c r="M162" s="277">
        <f>IFERROR(IF($B162="N/A","N/A",IF(MOD(COLUMNS($H$151:M$151)-1,$E162)=0,$F162*$D162*$G162,)),)</f>
        <v>209.99999999999997</v>
      </c>
      <c r="N162" s="277">
        <f>IFERROR(IF($B162="N/A","N/A",IF(MOD(COLUMNS($H$151:N$151)-1,$E162)=0,$F162*$D162*$G162,)),)</f>
        <v>0</v>
      </c>
      <c r="O162" s="277">
        <f>IFERROR(IF($B162="N/A","N/A",IF(MOD(COLUMNS($H$151:O$151)-1,$E162)=0,$F162*$D162*$G162,)),)</f>
        <v>0</v>
      </c>
      <c r="P162" s="277">
        <f>IFERROR(IF($B162="N/A","N/A",IF(MOD(COLUMNS($H$151:P$151)-1,$E162)=0,$F162*$D162*$G162,)),)</f>
        <v>0</v>
      </c>
      <c r="Q162" s="277">
        <f>IFERROR(IF($B162="N/A","N/A",IF(MOD(COLUMNS($H$151:Q$151)-1,$E162)=0,$F162*$D162*$G162,)),)</f>
        <v>0</v>
      </c>
      <c r="R162" s="277">
        <f>IFERROR(IF($B162="N/A","N/A",IF(MOD(COLUMNS($H$151:R$151)-1,$E162)=0,$F162*$D162*$G162,)),)</f>
        <v>209.99999999999997</v>
      </c>
      <c r="S162" s="277">
        <f>IFERROR(IF($B162="N/A","N/A",IF(MOD(COLUMNS($H$151:S$151)-1,$E162)=0,$F162*$D162*$G162,)),)</f>
        <v>0</v>
      </c>
      <c r="T162" s="277">
        <f>IFERROR(IF($B162="N/A","N/A",IF(MOD(COLUMNS($H$151:T$151)-1,$E162)=0,$F162*$D162*$G162,)),)</f>
        <v>0</v>
      </c>
      <c r="U162" s="277">
        <f>IFERROR(IF($B162="N/A","N/A",IF(MOD(COLUMNS($H$151:U$151)-1,$E162)=0,$F162*$D162*$G162,)),)</f>
        <v>0</v>
      </c>
      <c r="V162" s="277">
        <f>IFERROR(IF($B162="N/A","N/A",IF(MOD(COLUMNS($H$151:V$151)-1,$E162)=0,$F162*$D162*$G162,)),)</f>
        <v>0</v>
      </c>
      <c r="W162" s="277">
        <f>IFERROR(IF($B162="N/A","N/A",IF(MOD(COLUMNS($H$151:W$151)-1,$E162)=0,$F162*$D162*$G162,)),)</f>
        <v>209.99999999999997</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19"/>
        <v>N/A</v>
      </c>
      <c r="E163" s="94" t="str">
        <f t="shared" si="20"/>
        <v>N/A</v>
      </c>
      <c r="F163" s="94" t="str">
        <f t="shared" si="21"/>
        <v>N/A</v>
      </c>
      <c r="G163" s="94" t="str">
        <f t="shared" si="22"/>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19"/>
        <v>N/A</v>
      </c>
      <c r="E164" s="94" t="str">
        <f t="shared" si="20"/>
        <v>N/A</v>
      </c>
      <c r="F164" s="94" t="str">
        <f t="shared" si="21"/>
        <v>N/A</v>
      </c>
      <c r="G164" s="94" t="str">
        <f t="shared" si="22"/>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19"/>
        <v>N/A</v>
      </c>
      <c r="E165" s="94" t="str">
        <f t="shared" si="20"/>
        <v>N/A</v>
      </c>
      <c r="F165" s="94" t="str">
        <f t="shared" si="21"/>
        <v>N/A</v>
      </c>
      <c r="G165" s="94" t="str">
        <f t="shared" si="22"/>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19"/>
        <v>N/A</v>
      </c>
      <c r="E166" s="94" t="str">
        <f t="shared" si="20"/>
        <v>N/A</v>
      </c>
      <c r="F166" s="94" t="str">
        <f t="shared" si="21"/>
        <v>N/A</v>
      </c>
      <c r="G166" s="94" t="str">
        <f t="shared" si="22"/>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19"/>
        <v>N/A</v>
      </c>
      <c r="E167" s="94" t="str">
        <f t="shared" si="20"/>
        <v>N/A</v>
      </c>
      <c r="F167" s="94" t="str">
        <f t="shared" si="21"/>
        <v>N/A</v>
      </c>
      <c r="G167" s="94" t="str">
        <f t="shared" si="22"/>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19"/>
        <v>N/A</v>
      </c>
      <c r="E168" s="94" t="str">
        <f t="shared" si="20"/>
        <v>N/A</v>
      </c>
      <c r="F168" s="94" t="str">
        <f t="shared" si="21"/>
        <v>N/A</v>
      </c>
      <c r="G168" s="94" t="str">
        <f t="shared" si="22"/>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19"/>
        <v>N/A</v>
      </c>
      <c r="E169" s="94" t="str">
        <f t="shared" si="20"/>
        <v>N/A</v>
      </c>
      <c r="F169" s="94" t="str">
        <f t="shared" si="21"/>
        <v>N/A</v>
      </c>
      <c r="G169" s="94" t="str">
        <f t="shared" si="22"/>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19"/>
        <v>N/A</v>
      </c>
      <c r="E170" s="94" t="str">
        <f t="shared" si="20"/>
        <v>N/A</v>
      </c>
      <c r="F170" s="94" t="str">
        <f t="shared" si="21"/>
        <v>N/A</v>
      </c>
      <c r="G170" s="94" t="str">
        <f t="shared" si="22"/>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19"/>
        <v>N/A</v>
      </c>
      <c r="E171" s="94" t="str">
        <f t="shared" si="20"/>
        <v>N/A</v>
      </c>
      <c r="F171" s="94" t="str">
        <f t="shared" si="21"/>
        <v>N/A</v>
      </c>
      <c r="G171" s="94" t="str">
        <f t="shared" si="22"/>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94" t="str">
        <f t="shared" si="21"/>
        <v>N/A</v>
      </c>
      <c r="G172" s="94"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94" t="str">
        <f t="shared" si="21"/>
        <v>N/A</v>
      </c>
      <c r="G173" s="94"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94" t="str">
        <f t="shared" si="21"/>
        <v>N/A</v>
      </c>
      <c r="G174" s="94"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94" t="str">
        <f t="shared" si="21"/>
        <v>N/A</v>
      </c>
      <c r="G175" s="94"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94" t="str">
        <f t="shared" si="21"/>
        <v>N/A</v>
      </c>
      <c r="G176" s="94"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94" t="str">
        <f t="shared" si="21"/>
        <v>N/A</v>
      </c>
      <c r="G177" s="94"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94" t="str">
        <f t="shared" si="21"/>
        <v>N/A</v>
      </c>
      <c r="G178" s="94"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94" t="str">
        <f t="shared" si="21"/>
        <v>N/A</v>
      </c>
      <c r="G179" s="94"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94" t="str">
        <f t="shared" si="21"/>
        <v>N/A</v>
      </c>
      <c r="G180" s="94"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94" t="str">
        <f t="shared" si="21"/>
        <v>N/A</v>
      </c>
      <c r="G181" s="94"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94" t="str">
        <f t="shared" si="21"/>
        <v>N/A</v>
      </c>
      <c r="G182" s="94"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94" t="str">
        <f t="shared" si="21"/>
        <v>N/A</v>
      </c>
      <c r="G183" s="94"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94" t="str">
        <f t="shared" si="21"/>
        <v>N/A</v>
      </c>
      <c r="G184" s="94"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94" t="str">
        <f t="shared" si="21"/>
        <v>N/A</v>
      </c>
      <c r="G185" s="94"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94" t="str">
        <f t="shared" si="21"/>
        <v>N/A</v>
      </c>
      <c r="G186" s="94"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94" t="str">
        <f t="shared" si="21"/>
        <v>N/A</v>
      </c>
      <c r="G187" s="94"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94" t="str">
        <f t="shared" si="21"/>
        <v>N/A</v>
      </c>
      <c r="G188" s="94"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94" t="str">
        <f t="shared" si="21"/>
        <v>N/A</v>
      </c>
      <c r="G189" s="94"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cUubABCMzZIUrj+TSDtvxeguDIpLNSYYkQ/bGkySnzL0Ugnm2KHvWA+DTbSZ70606ygZI0bdYnZVkOMcIegM2Q==" saltValue="Ugut5/UPUbNQdW5a1n6nIQ==" spinCount="100000" sheet="1" objects="1" scenarios="1"/>
  <mergeCells count="6">
    <mergeCell ref="B33:D33"/>
    <mergeCell ref="C48:D48"/>
    <mergeCell ref="C49:D49"/>
    <mergeCell ref="C79:D79"/>
    <mergeCell ref="C80:D80"/>
    <mergeCell ref="B43:D43"/>
  </mergeCells>
  <conditionalFormatting sqref="B110:C147">
    <cfRule type="containsText" dxfId="557" priority="98" operator="containsText" text="N/A">
      <formula>NOT(ISERROR(SEARCH("N/A",B110)))</formula>
    </cfRule>
  </conditionalFormatting>
  <conditionalFormatting sqref="E110:E147">
    <cfRule type="containsText" dxfId="556" priority="97" operator="containsText" text="N/A">
      <formula>NOT(ISERROR(SEARCH("N/A",E110)))</formula>
    </cfRule>
  </conditionalFormatting>
  <conditionalFormatting sqref="B52:B74 E52:E74">
    <cfRule type="containsText" dxfId="555" priority="96" operator="containsText" text="N/A">
      <formula>NOT(ISERROR(SEARCH("N/A",B52)))</formula>
    </cfRule>
  </conditionalFormatting>
  <conditionalFormatting sqref="C52:C74">
    <cfRule type="containsText" dxfId="554" priority="95" operator="containsText" text="N/A">
      <formula>NOT(ISERROR(SEARCH("N/A",C52)))</formula>
    </cfRule>
  </conditionalFormatting>
  <conditionalFormatting sqref="O110:O147">
    <cfRule type="containsText" dxfId="553" priority="70" operator="containsText" text="N/A">
      <formula>NOT(ISERROR(SEARCH("N/A",O110)))</formula>
    </cfRule>
  </conditionalFormatting>
  <conditionalFormatting sqref="F52:F74">
    <cfRule type="containsText" dxfId="552" priority="93" operator="containsText" text="N/A">
      <formula>NOT(ISERROR(SEARCH("N/A",F52)))</formula>
    </cfRule>
  </conditionalFormatting>
  <conditionalFormatting sqref="B83:B103 E83:E103">
    <cfRule type="containsText" dxfId="551" priority="92" operator="containsText" text="N/A">
      <formula>NOT(ISERROR(SEARCH("N/A",B83)))</formula>
    </cfRule>
  </conditionalFormatting>
  <conditionalFormatting sqref="C83:C103">
    <cfRule type="containsText" dxfId="550" priority="91" operator="containsText" text="N/A">
      <formula>NOT(ISERROR(SEARCH("N/A",C83)))</formula>
    </cfRule>
  </conditionalFormatting>
  <conditionalFormatting sqref="F83:F103">
    <cfRule type="containsText" dxfId="549" priority="89" operator="containsText" text="N/A">
      <formula>NOT(ISERROR(SEARCH("N/A",F83)))</formula>
    </cfRule>
  </conditionalFormatting>
  <conditionalFormatting sqref="B20:D31">
    <cfRule type="containsText" dxfId="548" priority="88" operator="containsText" text="N/A">
      <formula>NOT(ISERROR(SEARCH("N/A",B20)))</formula>
    </cfRule>
  </conditionalFormatting>
  <conditionalFormatting sqref="F110:F147">
    <cfRule type="containsText" dxfId="547" priority="84" operator="containsText" text="N/A">
      <formula>NOT(ISERROR(SEARCH("N/A",F110)))</formula>
    </cfRule>
  </conditionalFormatting>
  <conditionalFormatting sqref="G110:G147">
    <cfRule type="containsText" dxfId="546" priority="87" operator="containsText" text="N/A">
      <formula>NOT(ISERROR(SEARCH("N/A",G110)))</formula>
    </cfRule>
  </conditionalFormatting>
  <conditionalFormatting sqref="I110:I147">
    <cfRule type="containsText" dxfId="545" priority="86" operator="containsText" text="N/A">
      <formula>NOT(ISERROR(SEARCH("N/A",I110)))</formula>
    </cfRule>
  </conditionalFormatting>
  <conditionalFormatting sqref="K110:K147">
    <cfRule type="containsText" dxfId="544" priority="85" operator="containsText" text="N/A">
      <formula>NOT(ISERROR(SEARCH("N/A",K110)))</formula>
    </cfRule>
  </conditionalFormatting>
  <conditionalFormatting sqref="B152:B189">
    <cfRule type="containsText" dxfId="543" priority="83" operator="containsText" text="N/A">
      <formula>NOT(ISERROR(SEARCH("N/A",B152)))</formula>
    </cfRule>
  </conditionalFormatting>
  <conditionalFormatting sqref="C152:C189">
    <cfRule type="containsText" dxfId="542" priority="82" operator="containsText" text="N/A">
      <formula>NOT(ISERROR(SEARCH("N/A",C152)))</formula>
    </cfRule>
  </conditionalFormatting>
  <conditionalFormatting sqref="F152:F189">
    <cfRule type="containsText" dxfId="541" priority="81" operator="containsText" text="N/A">
      <formula>NOT(ISERROR(SEARCH("N/A",F152)))</formula>
    </cfRule>
  </conditionalFormatting>
  <conditionalFormatting sqref="E152:E189">
    <cfRule type="containsText" dxfId="540" priority="79" operator="containsText" text="N/A">
      <formula>NOT(ISERROR(SEARCH("N/A",E152)))</formula>
    </cfRule>
  </conditionalFormatting>
  <conditionalFormatting sqref="H153:W189 I152:W152">
    <cfRule type="containsText" dxfId="539" priority="76" operator="containsText" text="N/A">
      <formula>NOT(ISERROR(SEARCH("N/A",H152)))</formula>
    </cfRule>
  </conditionalFormatting>
  <conditionalFormatting sqref="G152:G189">
    <cfRule type="containsText" dxfId="538" priority="73" operator="containsText" text="N/A">
      <formula>NOT(ISERROR(SEARCH("N/A",G152)))</formula>
    </cfRule>
  </conditionalFormatting>
  <conditionalFormatting sqref="E20:E31">
    <cfRule type="containsText" dxfId="537" priority="71" operator="containsText" text="N/A">
      <formula>NOT(ISERROR(SEARCH("N/A",E20)))</formula>
    </cfRule>
  </conditionalFormatting>
  <conditionalFormatting sqref="H149:W149">
    <cfRule type="expression" dxfId="536" priority="13">
      <formula>IF(INDIRECT("General_Currency_Selection")="CHF",TRUE)</formula>
    </cfRule>
    <cfRule type="expression" dxfId="535" priority="14">
      <formula>IF(INDIRECT("General_Currency_Selection")="EUR",TRUE)</formula>
    </cfRule>
    <cfRule type="expression" dxfId="534" priority="15">
      <formula>IF(INDIRECT("General_Currency_Selection")="USD",TRUE)</formula>
    </cfRule>
  </conditionalFormatting>
  <conditionalFormatting sqref="F39:F41">
    <cfRule type="expression" dxfId="533" priority="64">
      <formula>IF(INDIRECT("General_Currency_Selection")="CHF",TRUE)</formula>
    </cfRule>
    <cfRule type="expression" dxfId="532" priority="65">
      <formula>IF(INDIRECT("General_Currency_Selection")="EUR",TRUE)</formula>
    </cfRule>
    <cfRule type="expression" dxfId="531" priority="66">
      <formula>IF(INDIRECT("General_Currency_Selection")="USD",TRUE)</formula>
    </cfRule>
  </conditionalFormatting>
  <conditionalFormatting sqref="E39:E41">
    <cfRule type="expression" dxfId="530" priority="61">
      <formula>IF(INDIRECT("General_Currency_Selection")="CHF",TRUE)</formula>
    </cfRule>
    <cfRule type="expression" dxfId="529" priority="62">
      <formula>IF(INDIRECT("General_Currency_Selection")="EUR",TRUE)</formula>
    </cfRule>
    <cfRule type="expression" dxfId="528" priority="63">
      <formula>IF(INDIRECT("General_Currency_Selection")="USD",TRUE)</formula>
    </cfRule>
  </conditionalFormatting>
  <conditionalFormatting sqref="E43:F43">
    <cfRule type="expression" dxfId="527" priority="58">
      <formula>IF(INDIRECT("General_Currency_Selection")="CHF",TRUE)</formula>
    </cfRule>
    <cfRule type="expression" dxfId="526" priority="59">
      <formula>IF(INDIRECT("General_Currency_Selection")="EUR",TRUE)</formula>
    </cfRule>
    <cfRule type="expression" dxfId="525" priority="60">
      <formula>IF(INDIRECT("General_Currency_Selection")="USD",TRUE)</formula>
    </cfRule>
  </conditionalFormatting>
  <conditionalFormatting sqref="G35">
    <cfRule type="expression" dxfId="524" priority="55">
      <formula>IF(INDIRECT("General_Currency_Selection")="CHF",TRUE)</formula>
    </cfRule>
    <cfRule type="expression" dxfId="523" priority="56">
      <formula>IF(INDIRECT("General_Currency_Selection")="EUR",TRUE)</formula>
    </cfRule>
    <cfRule type="expression" dxfId="522" priority="57">
      <formula>IF(INDIRECT("General_Currency_Selection")="USD",TRUE)</formula>
    </cfRule>
  </conditionalFormatting>
  <conditionalFormatting sqref="G15">
    <cfRule type="expression" dxfId="521" priority="52">
      <formula>IF(INDIRECT("General_Currency_Selection")="CHF",TRUE)</formula>
    </cfRule>
    <cfRule type="expression" dxfId="520" priority="53">
      <formula>IF(INDIRECT("General_Currency_Selection")="EUR",TRUE)</formula>
    </cfRule>
    <cfRule type="expression" dxfId="519" priority="54">
      <formula>IF(INDIRECT("General_Currency_Selection")="USD",TRUE)</formula>
    </cfRule>
  </conditionalFormatting>
  <conditionalFormatting sqref="G45">
    <cfRule type="expression" dxfId="518" priority="49">
      <formula>IF(INDIRECT("General_Currency_Selection")="CHF",TRUE)</formula>
    </cfRule>
    <cfRule type="expression" dxfId="517" priority="50">
      <formula>IF(INDIRECT("General_Currency_Selection")="EUR",TRUE)</formula>
    </cfRule>
    <cfRule type="expression" dxfId="516" priority="51">
      <formula>IF(INDIRECT("General_Currency_Selection")="USD",TRUE)</formula>
    </cfRule>
  </conditionalFormatting>
  <conditionalFormatting sqref="F20:F31">
    <cfRule type="expression" dxfId="515" priority="46">
      <formula>IF(INDIRECT("General_Currency_Selection")="CHF",TRUE)</formula>
    </cfRule>
    <cfRule type="expression" dxfId="514" priority="47">
      <formula>IF(INDIRECT("General_Currency_Selection")="EUR",TRUE)</formula>
    </cfRule>
    <cfRule type="expression" dxfId="513" priority="48">
      <formula>IF(INDIRECT("General_Currency_Selection")="USD",TRUE)</formula>
    </cfRule>
  </conditionalFormatting>
  <conditionalFormatting sqref="E33">
    <cfRule type="expression" dxfId="512" priority="43">
      <formula>IF(INDIRECT("General_Currency_Selection")="CHF",TRUE)</formula>
    </cfRule>
    <cfRule type="expression" dxfId="511" priority="44">
      <formula>IF(INDIRECT("General_Currency_Selection")="EUR",TRUE)</formula>
    </cfRule>
    <cfRule type="expression" dxfId="510" priority="45">
      <formula>IF(INDIRECT("General_Currency_Selection")="USD",TRUE)</formula>
    </cfRule>
  </conditionalFormatting>
  <conditionalFormatting sqref="H152:W189">
    <cfRule type="expression" dxfId="509" priority="10">
      <formula>IF(INDIRECT("General_Currency_Selection")="CHF",TRUE)</formula>
    </cfRule>
    <cfRule type="expression" dxfId="508" priority="11">
      <formula>IF(INDIRECT("General_Currency_Selection")="EUR",TRUE)</formula>
    </cfRule>
    <cfRule type="expression" dxfId="507" priority="12">
      <formula>IF(INDIRECT("General_Currency_Selection")="USD",TRUE)</formula>
    </cfRule>
  </conditionalFormatting>
  <conditionalFormatting sqref="D52:D74">
    <cfRule type="expression" dxfId="506" priority="40">
      <formula>IF(INDIRECT("General_Currency_Selection")="CHF",TRUE)</formula>
    </cfRule>
    <cfRule type="expression" dxfId="505" priority="41">
      <formula>IF(INDIRECT("General_Currency_Selection")="EUR",TRUE)</formula>
    </cfRule>
    <cfRule type="expression" dxfId="504" priority="42">
      <formula>IF(INDIRECT("General_Currency_Selection")="USD",TRUE)</formula>
    </cfRule>
  </conditionalFormatting>
  <conditionalFormatting sqref="G52:G74">
    <cfRule type="expression" dxfId="503" priority="37">
      <formula>IF(INDIRECT("General_Currency_Selection")="CHF",TRUE)</formula>
    </cfRule>
    <cfRule type="expression" dxfId="502" priority="38">
      <formula>IF(INDIRECT("General_Currency_Selection")="EUR",TRUE)</formula>
    </cfRule>
    <cfRule type="expression" dxfId="501" priority="39">
      <formula>IF(INDIRECT("General_Currency_Selection")="USD",TRUE)</formula>
    </cfRule>
  </conditionalFormatting>
  <conditionalFormatting sqref="G76">
    <cfRule type="expression" dxfId="500" priority="34">
      <formula>IF(INDIRECT("General_Currency_Selection")="CHF",TRUE)</formula>
    </cfRule>
    <cfRule type="expression" dxfId="499" priority="35">
      <formula>IF(INDIRECT("General_Currency_Selection")="EUR",TRUE)</formula>
    </cfRule>
    <cfRule type="expression" dxfId="498" priority="36">
      <formula>IF(INDIRECT("General_Currency_Selection")="USD",TRUE)</formula>
    </cfRule>
  </conditionalFormatting>
  <conditionalFormatting sqref="D83:D103">
    <cfRule type="expression" dxfId="497" priority="31">
      <formula>IF(INDIRECT("General_Currency_Selection")="CHF",TRUE)</formula>
    </cfRule>
    <cfRule type="expression" dxfId="496" priority="32">
      <formula>IF(INDIRECT("General_Currency_Selection")="EUR",TRUE)</formula>
    </cfRule>
    <cfRule type="expression" dxfId="495" priority="33">
      <formula>IF(INDIRECT("General_Currency_Selection")="USD",TRUE)</formula>
    </cfRule>
  </conditionalFormatting>
  <conditionalFormatting sqref="G83:G103">
    <cfRule type="expression" dxfId="494" priority="28">
      <formula>IF(INDIRECT("General_Currency_Selection")="CHF",TRUE)</formula>
    </cfRule>
    <cfRule type="expression" dxfId="493" priority="29">
      <formula>IF(INDIRECT("General_Currency_Selection")="EUR",TRUE)</formula>
    </cfRule>
    <cfRule type="expression" dxfId="492" priority="30">
      <formula>IF(INDIRECT("General_Currency_Selection")="USD",TRUE)</formula>
    </cfRule>
  </conditionalFormatting>
  <conditionalFormatting sqref="G105">
    <cfRule type="expression" dxfId="491" priority="25">
      <formula>IF(INDIRECT("General_Currency_Selection")="CHF",TRUE)</formula>
    </cfRule>
    <cfRule type="expression" dxfId="490" priority="26">
      <formula>IF(INDIRECT("General_Currency_Selection")="EUR",TRUE)</formula>
    </cfRule>
    <cfRule type="expression" dxfId="489" priority="27">
      <formula>IF(INDIRECT("General_Currency_Selection")="USD",TRUE)</formula>
    </cfRule>
  </conditionalFormatting>
  <conditionalFormatting sqref="D110:D147">
    <cfRule type="expression" dxfId="488" priority="22">
      <formula>IF(INDIRECT("General_Currency_Selection")="CHF",TRUE)</formula>
    </cfRule>
    <cfRule type="expression" dxfId="487" priority="23">
      <formula>IF(INDIRECT("General_Currency_Selection")="EUR",TRUE)</formula>
    </cfRule>
    <cfRule type="expression" dxfId="486" priority="24">
      <formula>IF(INDIRECT("General_Currency_Selection")="USD",TRUE)</formula>
    </cfRule>
  </conditionalFormatting>
  <conditionalFormatting sqref="N110:N147">
    <cfRule type="expression" dxfId="485" priority="19">
      <formula>IF(INDIRECT("General_Currency_Selection")="CHF",TRUE)</formula>
    </cfRule>
    <cfRule type="expression" dxfId="484" priority="20">
      <formula>IF(INDIRECT("General_Currency_Selection")="EUR",TRUE)</formula>
    </cfRule>
    <cfRule type="expression" dxfId="483" priority="21">
      <formula>IF(INDIRECT("General_Currency_Selection")="USD",TRUE)</formula>
    </cfRule>
  </conditionalFormatting>
  <conditionalFormatting sqref="D152:D189">
    <cfRule type="expression" dxfId="482" priority="16">
      <formula>IF(INDIRECT("General_Currency_Selection")="CHF",TRUE)</formula>
    </cfRule>
    <cfRule type="expression" dxfId="481" priority="17">
      <formula>IF(INDIRECT("General_Currency_Selection")="EUR",TRUE)</formula>
    </cfRule>
    <cfRule type="expression" dxfId="480" priority="18">
      <formula>IF(INDIRECT("General_Currency_Selection")="USD",TRUE)</formula>
    </cfRule>
  </conditionalFormatting>
  <conditionalFormatting sqref="H110:H147">
    <cfRule type="expression" dxfId="479" priority="7">
      <formula>IF(INDIRECT("General_Currency_Selection")="CHF",TRUE)</formula>
    </cfRule>
    <cfRule type="expression" dxfId="478" priority="8">
      <formula>IF(INDIRECT("General_Currency_Selection")="EUR",TRUE)</formula>
    </cfRule>
    <cfRule type="expression" dxfId="477" priority="9">
      <formula>IF(INDIRECT("General_Currency_Selection")="USD",TRUE)</formula>
    </cfRule>
  </conditionalFormatting>
  <conditionalFormatting sqref="J110:J147">
    <cfRule type="expression" dxfId="476" priority="4">
      <formula>IF(INDIRECT("General_Currency_Selection")="CHF",TRUE)</formula>
    </cfRule>
    <cfRule type="expression" dxfId="475" priority="5">
      <formula>IF(INDIRECT("General_Currency_Selection")="EUR",TRUE)</formula>
    </cfRule>
    <cfRule type="expression" dxfId="474" priority="6">
      <formula>IF(INDIRECT("General_Currency_Selection")="USD",TRUE)</formula>
    </cfRule>
  </conditionalFormatting>
  <conditionalFormatting sqref="L110:L147">
    <cfRule type="expression" dxfId="473" priority="1">
      <formula>IF(INDIRECT("General_Currency_Selection")="CHF",TRUE)</formula>
    </cfRule>
    <cfRule type="expression" dxfId="472" priority="2">
      <formula>IF(INDIRECT("General_Currency_Selection")="EUR",TRUE)</formula>
    </cfRule>
    <cfRule type="expression" dxfId="471"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79998168889431442"/>
  </sheetPr>
  <dimension ref="B1:AD189"/>
  <sheetViews>
    <sheetView zoomScale="70" zoomScaleNormal="70" workbookViewId="0">
      <selection activeCell="I46" sqref="I46"/>
    </sheetView>
  </sheetViews>
  <sheetFormatPr defaultColWidth="11.140625" defaultRowHeight="15"/>
  <cols>
    <col min="1" max="1" width="0.85546875" style="12" customWidth="1"/>
    <col min="2" max="2" width="14.42578125" style="12" customWidth="1"/>
    <col min="3" max="3" width="21.85546875" style="12" customWidth="1"/>
    <col min="4" max="4" width="18.42578125" style="12" customWidth="1"/>
    <col min="5" max="5" width="17.85546875" style="12" customWidth="1"/>
    <col min="6" max="6" width="26.5703125" style="12" customWidth="1"/>
    <col min="7" max="7" width="21.7109375" style="12" customWidth="1"/>
    <col min="8" max="23" width="16.5703125" style="12" customWidth="1"/>
    <col min="24" max="16384" width="11.140625" style="12"/>
  </cols>
  <sheetData>
    <row r="1" spans="2:16" ht="21">
      <c r="B1" s="1" t="s">
        <v>179</v>
      </c>
      <c r="C1" s="6"/>
      <c r="D1" s="6"/>
      <c r="E1" s="6"/>
    </row>
    <row r="2" spans="2:16" ht="44.1" customHeight="1" thickBot="1">
      <c r="B2" s="911" t="s">
        <v>147</v>
      </c>
      <c r="C2" s="912"/>
      <c r="D2" s="912"/>
      <c r="E2" s="912"/>
      <c r="F2" s="913"/>
    </row>
    <row r="3" spans="2:16" ht="18.75">
      <c r="B3" s="64" t="s">
        <v>0</v>
      </c>
      <c r="C3" s="61"/>
      <c r="D3" s="61"/>
      <c r="E3" s="61"/>
      <c r="F3" s="61"/>
      <c r="G3" s="61"/>
      <c r="H3" s="61"/>
      <c r="I3" s="61"/>
      <c r="J3" s="61"/>
      <c r="K3" s="61"/>
      <c r="L3" s="61"/>
      <c r="M3" s="61"/>
      <c r="N3" s="61"/>
      <c r="O3" s="61"/>
      <c r="P3" s="61"/>
    </row>
    <row r="4" spans="2:16" ht="15.75">
      <c r="B4" s="67"/>
    </row>
    <row r="5" spans="2:16" ht="15.75">
      <c r="B5" s="67"/>
    </row>
    <row r="6" spans="2:16" ht="15.75">
      <c r="B6" s="67"/>
    </row>
    <row r="12" spans="2:16" ht="15.75">
      <c r="B12" s="68" t="s">
        <v>70</v>
      </c>
      <c r="C12" s="66" t="s">
        <v>71</v>
      </c>
      <c r="E12" s="67" t="s">
        <v>74</v>
      </c>
    </row>
    <row r="13" spans="2:16">
      <c r="B13" s="103" t="s">
        <v>178</v>
      </c>
      <c r="C13" s="104">
        <f>General_EggProduction_Total</f>
        <v>0.11536719250000002</v>
      </c>
      <c r="E13" s="63" t="s">
        <v>148</v>
      </c>
      <c r="F13" s="63"/>
      <c r="G13" s="63"/>
      <c r="H13" s="63"/>
      <c r="I13" s="63"/>
      <c r="J13" s="63"/>
      <c r="K13" s="63"/>
      <c r="L13" s="63"/>
      <c r="M13" s="63"/>
      <c r="N13" s="63"/>
      <c r="O13" s="63"/>
    </row>
    <row r="14" spans="2:16" ht="15.75" thickBot="1"/>
    <row r="15" spans="2:16" ht="30.75">
      <c r="B15" s="2" t="s">
        <v>73</v>
      </c>
      <c r="C15" s="110"/>
      <c r="D15" s="61"/>
      <c r="E15" s="61"/>
      <c r="F15" s="108" t="s">
        <v>128</v>
      </c>
      <c r="G15" s="288">
        <f>E33*C13*1000</f>
        <v>717.84928189275013</v>
      </c>
      <c r="H15" s="61"/>
      <c r="I15" s="61"/>
      <c r="J15" s="75"/>
      <c r="K15" s="61"/>
      <c r="L15" s="61"/>
      <c r="M15" s="61"/>
      <c r="N15" s="61"/>
      <c r="O15" s="61"/>
      <c r="P15" s="61"/>
    </row>
    <row r="16" spans="2:16" ht="15.75">
      <c r="B16" s="67" t="s">
        <v>441</v>
      </c>
    </row>
    <row r="17" spans="2:12">
      <c r="B17" s="105" t="s">
        <v>78</v>
      </c>
      <c r="C17" s="86" t="s">
        <v>532</v>
      </c>
    </row>
    <row r="18" spans="2:12">
      <c r="H18" s="24"/>
      <c r="I18" s="24"/>
      <c r="J18" s="24"/>
      <c r="K18" s="24"/>
      <c r="L18" s="24"/>
    </row>
    <row r="19" spans="2:12" ht="15.75">
      <c r="B19" s="147" t="s">
        <v>416</v>
      </c>
      <c r="C19" s="147" t="s">
        <v>417</v>
      </c>
      <c r="D19" s="97" t="s">
        <v>182</v>
      </c>
      <c r="E19" s="97" t="s">
        <v>109</v>
      </c>
      <c r="F19" s="97" t="s">
        <v>649</v>
      </c>
      <c r="H19" s="31"/>
      <c r="I19" s="31"/>
      <c r="J19" s="31"/>
      <c r="K19" s="247"/>
      <c r="L19" s="24"/>
    </row>
    <row r="20" spans="2:12">
      <c r="B20" s="77" t="str">
        <f t="array" ref="B20">IF(COUNTIFS(INDEX(Material_Input,0,MATCH($C$17,Unit_codes,0)),"&gt;0")&lt;ROWS('2.1-Material input'!$J$4:J4),"N/A",INDEX('2.1-Material input'!B:B,SMALL(IF(INDEX(Material_Input,0,MATCH($C$17,Unit_codes,0))&gt;0,ROW(Material_Code)),ROW('2.1-Material input'!B1))))</f>
        <v>ma0002</v>
      </c>
      <c r="C20" s="77" t="str">
        <f t="shared" ref="C20:C31" si="0">IF($B20="N/A","N/A",INDEX(Material_Name,MATCH(B20,Material_Code,0)))</f>
        <v>Cocopeat</v>
      </c>
      <c r="D20" s="78">
        <f>IF($B20="N/A","N/A",INDEX(Material_Input,MATCH($B20,Material_Code,0),MATCH($C$17,Unit_codes,0)))</f>
        <v>3.15</v>
      </c>
      <c r="E20" s="93">
        <f>IF($B20="N/A","N/A",INDEX(Material_Unit_Price,MATCH($B20,Material_Code,0)))</f>
        <v>0.35</v>
      </c>
      <c r="F20" s="277">
        <f>IFERROR(E20*D20,"")</f>
        <v>1.1024999999999998</v>
      </c>
      <c r="H20" s="247"/>
      <c r="I20" s="248"/>
      <c r="J20" s="96"/>
      <c r="K20" s="80"/>
      <c r="L20" s="24"/>
    </row>
    <row r="21" spans="2:12">
      <c r="B21" s="77" t="str">
        <f t="array" ref="B21">IF(COUNTIFS(INDEX(Material_Input,0,MATCH($C$17,Unit_codes,0)),"&gt;0")&lt;ROWS('2.1-Material input'!$J$4:J5),"N/A",INDEX('2.1-Material input'!B:B,SMALL(IF(INDEX(Material_Input,0,MATCH($C$17,Unit_codes,0))&gt;0,ROW(Material_Code)),ROW('2.1-Material input'!B2))))</f>
        <v>ma0003</v>
      </c>
      <c r="C21" s="77" t="str">
        <f t="shared" si="0"/>
        <v>Chicken feed</v>
      </c>
      <c r="D21" s="78">
        <f t="shared" ref="D21:D31" si="1">IF($B21="N/A","N/A",INDEX(Material_Input,MATCH($B21,Material_Code,0),MATCH($C$17,Unit_codes,0)))</f>
        <v>10.6</v>
      </c>
      <c r="E21" s="93">
        <f t="shared" ref="E21:E31" si="2">IF($B21="N/A","N/A",INDEX(Material_Unit_Price,MATCH($B21,Material_Code,0)))</f>
        <v>0.48299999999999998</v>
      </c>
      <c r="F21" s="277">
        <f t="shared" ref="F21:F31" si="3">IFERROR(E21*D21,"")</f>
        <v>5.1197999999999997</v>
      </c>
      <c r="H21" s="247"/>
      <c r="I21" s="79"/>
      <c r="J21" s="96"/>
      <c r="K21" s="80"/>
      <c r="L21" s="24"/>
    </row>
    <row r="22" spans="2:12">
      <c r="B22" s="77" t="str">
        <f t="array" ref="B22">IF(COUNTIFS(INDEX(Material_Input,0,MATCH($C$17,Unit_codes,0)),"&gt;0")&lt;ROWS('2.1-Material input'!$J$4:J6),"N/A",INDEX('2.1-Material input'!B:B,SMALL(IF(INDEX(Material_Input,0,MATCH($C$17,Unit_codes,0))&gt;0,ROW(Material_Code)),ROW('2.1-Material input'!B3))))</f>
        <v>ma0004</v>
      </c>
      <c r="C22" s="77" t="str">
        <f t="shared" si="0"/>
        <v>Fruit water</v>
      </c>
      <c r="D22" s="78">
        <f t="shared" si="1"/>
        <v>58.58</v>
      </c>
      <c r="E22" s="93">
        <f t="shared" si="2"/>
        <v>0</v>
      </c>
      <c r="F22" s="277">
        <f t="shared" si="3"/>
        <v>0</v>
      </c>
      <c r="H22" s="247"/>
      <c r="I22" s="79"/>
      <c r="J22" s="96"/>
      <c r="K22" s="80"/>
      <c r="L22" s="24"/>
    </row>
    <row r="23" spans="2:12">
      <c r="B23" s="77" t="str">
        <f t="array" ref="B23">IF(COUNTIFS(INDEX(Material_Input,0,MATCH($C$17,Unit_codes,0)),"&gt;0")&lt;ROWS('2.1-Material input'!$J$4:J7),"N/A",INDEX('2.1-Material input'!B:B,SMALL(IF(INDEX(Material_Input,0,MATCH($C$17,Unit_codes,0))&gt;0,ROW(Material_Code)),ROW('2.1-Material input'!B4))))</f>
        <v>ma0006</v>
      </c>
      <c r="C23" s="77" t="str">
        <f t="shared" si="0"/>
        <v>Compost</v>
      </c>
      <c r="D23" s="78">
        <f t="shared" si="1"/>
        <v>670.11898258121096</v>
      </c>
      <c r="E23" s="93">
        <f t="shared" si="2"/>
        <v>0</v>
      </c>
      <c r="F23" s="277">
        <f t="shared" si="3"/>
        <v>0</v>
      </c>
      <c r="H23" s="247"/>
      <c r="I23" s="79"/>
      <c r="J23" s="96"/>
      <c r="K23" s="80"/>
      <c r="L23" s="24"/>
    </row>
    <row r="24" spans="2:12">
      <c r="B24" s="77" t="str">
        <f t="array" ref="B24">IF(COUNTIFS(INDEX(Material_Input,0,MATCH($C$17,Unit_codes,0)),"&gt;0")&lt;ROWS('2.1-Material input'!$J$4:J8),"N/A",INDEX('2.1-Material input'!B:B,SMALL(IF(INDEX(Material_Input,0,MATCH($C$17,Unit_codes,0))&gt;0,ROW(Material_Code)),ROW('2.1-Material input'!B5))))</f>
        <v>N/A</v>
      </c>
      <c r="C24" s="77" t="str">
        <f t="shared" si="0"/>
        <v>N/A</v>
      </c>
      <c r="D24" s="78" t="str">
        <f t="shared" si="1"/>
        <v>N/A</v>
      </c>
      <c r="E24" s="93" t="str">
        <f t="shared" si="2"/>
        <v>N/A</v>
      </c>
      <c r="F24" s="277" t="str">
        <f t="shared" si="3"/>
        <v/>
      </c>
      <c r="H24" s="247"/>
      <c r="I24" s="79"/>
      <c r="J24" s="96"/>
      <c r="K24" s="80"/>
      <c r="L24" s="24"/>
    </row>
    <row r="25" spans="2:12">
      <c r="B25" s="77" t="str">
        <f t="array" ref="B25">IF(COUNTIFS(INDEX(Material_Input,0,MATCH($C$17,Unit_codes,0)),"&gt;0")&lt;ROWS('2.1-Material input'!$J$4:J9),"N/A",INDEX('2.1-Material input'!B:B,SMALL(IF(INDEX(Material_Input,0,MATCH($C$17,Unit_codes,0))&gt;0,ROW(Material_Code)),ROW('2.1-Material input'!B6))))</f>
        <v>N/A</v>
      </c>
      <c r="C25" s="77" t="str">
        <f t="shared" si="0"/>
        <v>N/A</v>
      </c>
      <c r="D25" s="78" t="str">
        <f t="shared" si="1"/>
        <v>N/A</v>
      </c>
      <c r="E25" s="93" t="str">
        <f t="shared" si="2"/>
        <v>N/A</v>
      </c>
      <c r="F25" s="277" t="str">
        <f t="shared" si="3"/>
        <v/>
      </c>
      <c r="H25" s="31"/>
      <c r="I25" s="79"/>
      <c r="J25" s="96"/>
      <c r="K25" s="80"/>
      <c r="L25" s="24"/>
    </row>
    <row r="26" spans="2:12">
      <c r="B26" s="77" t="str">
        <f t="array" ref="B26">IF(COUNTIFS(INDEX(Material_Input,0,MATCH($C$17,Unit_codes,0)),"&gt;0")&lt;ROWS('2.1-Material input'!$J$4:J10),"N/A",INDEX('2.1-Material input'!B:B,SMALL(IF(INDEX(Material_Input,0,MATCH($C$17,Unit_codes,0))&gt;0,ROW(Material_Code)),ROW('2.1-Material input'!B7))))</f>
        <v>N/A</v>
      </c>
      <c r="C26" s="77" t="str">
        <f t="shared" si="0"/>
        <v>N/A</v>
      </c>
      <c r="D26" s="78" t="str">
        <f t="shared" si="1"/>
        <v>N/A</v>
      </c>
      <c r="E26" s="93" t="str">
        <f t="shared" si="2"/>
        <v>N/A</v>
      </c>
      <c r="F26" s="277" t="str">
        <f t="shared" si="3"/>
        <v/>
      </c>
      <c r="H26" s="31"/>
      <c r="I26" s="79"/>
      <c r="J26" s="96"/>
      <c r="K26" s="80"/>
      <c r="L26" s="24"/>
    </row>
    <row r="27" spans="2:12">
      <c r="B27" s="77" t="str">
        <f t="array" ref="B27">IF(COUNTIFS(INDEX(Material_Input,0,MATCH($C$17,Unit_codes,0)),"&gt;0")&lt;ROWS('2.1-Material input'!$J$4:J11),"N/A",INDEX('2.1-Material input'!B:B,SMALL(IF(INDEX(Material_Input,0,MATCH($C$17,Unit_codes,0))&gt;0,ROW(Material_Code)),ROW('2.1-Material input'!B8))))</f>
        <v>N/A</v>
      </c>
      <c r="C27" s="77" t="str">
        <f t="shared" si="0"/>
        <v>N/A</v>
      </c>
      <c r="D27" s="78" t="str">
        <f t="shared" si="1"/>
        <v>N/A</v>
      </c>
      <c r="E27" s="93" t="str">
        <f t="shared" si="2"/>
        <v>N/A</v>
      </c>
      <c r="F27" s="277" t="str">
        <f t="shared" si="3"/>
        <v/>
      </c>
      <c r="H27" s="31"/>
      <c r="I27" s="79"/>
      <c r="J27" s="96"/>
      <c r="K27" s="80"/>
      <c r="L27" s="24"/>
    </row>
    <row r="28" spans="2:12">
      <c r="B28" s="77" t="str">
        <f t="array" ref="B28">IF(COUNTIFS(INDEX(Material_Input,0,MATCH($C$17,Unit_codes,0)),"&gt;0")&lt;ROWS('2.1-Material input'!$J$4:J12),"N/A",INDEX('2.1-Material input'!B:B,SMALL(IF(INDEX(Material_Input,0,MATCH($C$17,Unit_codes,0))&gt;0,ROW(Material_Code)),ROW('2.1-Material input'!B9))))</f>
        <v>N/A</v>
      </c>
      <c r="C28" s="77" t="str">
        <f t="shared" si="0"/>
        <v>N/A</v>
      </c>
      <c r="D28" s="78" t="str">
        <f t="shared" si="1"/>
        <v>N/A</v>
      </c>
      <c r="E28" s="93" t="str">
        <f t="shared" si="2"/>
        <v>N/A</v>
      </c>
      <c r="F28" s="277" t="str">
        <f t="shared" si="3"/>
        <v/>
      </c>
      <c r="H28" s="31"/>
      <c r="I28" s="79"/>
      <c r="J28" s="96"/>
      <c r="K28" s="80"/>
      <c r="L28" s="24"/>
    </row>
    <row r="29" spans="2:12">
      <c r="B29" s="77" t="str">
        <f t="array" ref="B29">IF(COUNTIFS(INDEX(Material_Input,0,MATCH($C$17,Unit_codes,0)),"&gt;0")&lt;ROWS('2.1-Material input'!$J$4:J13),"N/A",INDEX('2.1-Material input'!B:B,SMALL(IF(INDEX(Material_Input,0,MATCH($C$17,Unit_codes,0))&gt;0,ROW(Material_Code)),ROW('2.1-Material input'!B10))))</f>
        <v>N/A</v>
      </c>
      <c r="C29" s="77" t="str">
        <f t="shared" si="0"/>
        <v>N/A</v>
      </c>
      <c r="D29" s="78" t="str">
        <f t="shared" si="1"/>
        <v>N/A</v>
      </c>
      <c r="E29" s="93" t="str">
        <f t="shared" si="2"/>
        <v>N/A</v>
      </c>
      <c r="F29" s="277" t="str">
        <f t="shared" si="3"/>
        <v/>
      </c>
      <c r="H29" s="79"/>
      <c r="I29" s="96"/>
      <c r="J29" s="80"/>
      <c r="K29" s="24"/>
      <c r="L29" s="24"/>
    </row>
    <row r="30" spans="2:12">
      <c r="B30" s="77" t="str">
        <f t="array" ref="B30">IF(COUNTIFS(INDEX(Material_Input,0,MATCH($C$17,Unit_codes,0)),"&gt;0")&lt;ROWS('2.1-Material input'!$J$4:J14),"N/A",INDEX('2.1-Material input'!B:B,SMALL(IF(INDEX(Material_Input,0,MATCH($C$17,Unit_codes,0))&gt;0,ROW(Material_Code)),ROW('2.1-Material input'!B11))))</f>
        <v>N/A</v>
      </c>
      <c r="C30" s="77" t="str">
        <f t="shared" si="0"/>
        <v>N/A</v>
      </c>
      <c r="D30" s="78" t="str">
        <f t="shared" si="1"/>
        <v>N/A</v>
      </c>
      <c r="E30" s="93" t="str">
        <f t="shared" si="2"/>
        <v>N/A</v>
      </c>
      <c r="F30" s="277" t="str">
        <f t="shared" si="3"/>
        <v/>
      </c>
      <c r="H30" s="79"/>
      <c r="I30" s="96"/>
      <c r="J30" s="80"/>
      <c r="K30" s="121"/>
      <c r="L30" s="24"/>
    </row>
    <row r="31" spans="2:12">
      <c r="B31" s="77" t="str">
        <f t="array" ref="B31">IF(COUNTIFS(INDEX(Material_Input,0,MATCH($C$17,Unit_codes,0)),"&gt;0")&lt;ROWS('2.1-Material input'!$J$4:J15),"N/A",INDEX('2.1-Material input'!B:B,SMALL(IF(INDEX(Material_Input,0,MATCH($C$17,Unit_codes,0))&gt;0,ROW(Material_Code)),ROW('2.1-Material input'!B12))))</f>
        <v>N/A</v>
      </c>
      <c r="C31" s="77" t="str">
        <f t="shared" si="0"/>
        <v>N/A</v>
      </c>
      <c r="D31" s="78" t="str">
        <f t="shared" si="1"/>
        <v>N/A</v>
      </c>
      <c r="E31" s="93" t="str">
        <f t="shared" si="2"/>
        <v>N/A</v>
      </c>
      <c r="F31" s="277" t="str">
        <f t="shared" si="3"/>
        <v/>
      </c>
      <c r="H31" s="79"/>
      <c r="I31" s="96"/>
      <c r="J31" s="80"/>
      <c r="K31" s="121"/>
      <c r="L31" s="24"/>
    </row>
    <row r="32" spans="2:12">
      <c r="B32" s="81"/>
      <c r="C32" s="81"/>
      <c r="D32" s="81"/>
      <c r="E32" s="82"/>
      <c r="H32" s="24"/>
      <c r="I32" s="24"/>
      <c r="J32" s="24"/>
      <c r="K32" s="24"/>
      <c r="L32" s="24"/>
    </row>
    <row r="33" spans="2:16">
      <c r="B33" s="909" t="s">
        <v>181</v>
      </c>
      <c r="C33" s="909"/>
      <c r="D33" s="909"/>
      <c r="E33" s="289">
        <f>SUM(F20:F31)</f>
        <v>6.2222999999999997</v>
      </c>
      <c r="F33" s="83"/>
      <c r="I33" s="24"/>
    </row>
    <row r="34" spans="2:16" ht="15.75" thickBot="1"/>
    <row r="35" spans="2:16" ht="18.75">
      <c r="B35" s="2" t="s">
        <v>144</v>
      </c>
      <c r="C35" s="110"/>
      <c r="D35" s="61"/>
      <c r="E35" s="61"/>
      <c r="F35" s="108" t="s">
        <v>187</v>
      </c>
      <c r="G35" s="288">
        <f>F43</f>
        <v>1361.973663313802</v>
      </c>
      <c r="H35" s="61"/>
      <c r="I35" s="61"/>
      <c r="J35" s="61"/>
      <c r="K35" s="61"/>
      <c r="L35" s="61"/>
      <c r="M35" s="61"/>
      <c r="N35" s="61"/>
      <c r="O35" s="61"/>
      <c r="P35" s="61"/>
    </row>
    <row r="36" spans="2:16" ht="15.75">
      <c r="B36" s="67" t="s">
        <v>541</v>
      </c>
      <c r="C36" s="24"/>
      <c r="D36" s="24"/>
      <c r="E36" s="24"/>
    </row>
    <row r="37" spans="2:16">
      <c r="B37" s="32"/>
      <c r="C37" s="138"/>
      <c r="D37" s="24"/>
      <c r="E37" s="24"/>
      <c r="G37" s="12">
        <v>11892228.032</v>
      </c>
      <c r="H37" s="12" t="s">
        <v>531</v>
      </c>
    </row>
    <row r="38" spans="2:16" ht="15.75">
      <c r="C38" s="97" t="s">
        <v>527</v>
      </c>
      <c r="D38" s="97" t="s">
        <v>78</v>
      </c>
      <c r="E38" s="97" t="s">
        <v>648</v>
      </c>
      <c r="F38" s="97" t="s">
        <v>647</v>
      </c>
      <c r="G38" s="24"/>
      <c r="H38" s="24"/>
      <c r="I38" s="24"/>
    </row>
    <row r="39" spans="2:16">
      <c r="B39" s="105" t="str">
        <f>INDEX(Equipment_Utility_Spec_List,2)</f>
        <v>Water</v>
      </c>
      <c r="C39" s="141">
        <f>SUMPRODUCT($F$110:$F$147,$G$110:$G$147,$M$110:$M$147)</f>
        <v>0.27238095238095239</v>
      </c>
      <c r="D39" s="140" t="s">
        <v>528</v>
      </c>
      <c r="E39" s="277">
        <f>SUMIF($B$110:$B$147,("&lt;&gt;N/A"),$H$110:$H$147)</f>
        <v>0.1144</v>
      </c>
      <c r="F39" s="277">
        <f>E39*Staff_Days_Operation</f>
        <v>41.756</v>
      </c>
      <c r="G39" s="121">
        <f>E43*'2.3-Staff input'!F39</f>
        <v>0</v>
      </c>
      <c r="H39" s="96"/>
      <c r="I39" s="24"/>
    </row>
    <row r="40" spans="2:16">
      <c r="B40" s="105" t="str">
        <f>INDEX(Equipment_Utility_Spec_List,3)</f>
        <v>Electricity</v>
      </c>
      <c r="C40" s="141">
        <f>SUMPRODUCT($F$110:$F$147,$I$110:$I$147,$M$110:$M$147)</f>
        <v>14.606774863591269</v>
      </c>
      <c r="D40" s="140" t="s">
        <v>530</v>
      </c>
      <c r="E40" s="277">
        <f>SUMIF($B$110:$B$147,("&lt;&gt;N/A"),$J$110:$J$147)</f>
        <v>3.6170346940104166</v>
      </c>
      <c r="F40" s="277">
        <f>E40*Staff_Days_Operation</f>
        <v>1320.2176633138019</v>
      </c>
      <c r="G40" s="142"/>
      <c r="H40" s="96"/>
      <c r="I40" s="24"/>
    </row>
    <row r="41" spans="2:16">
      <c r="B41" s="105" t="str">
        <f>INDEX(Equipment_Utility_Spec_List,4)</f>
        <v>Fuel</v>
      </c>
      <c r="C41" s="141">
        <f>SUMPRODUCT($F$110:$F$147,$K$110:$K$147,$M$110:$M$147)</f>
        <v>0</v>
      </c>
      <c r="D41" s="140" t="s">
        <v>529</v>
      </c>
      <c r="E41" s="277">
        <f>SUMIF($B$110:$B$147,("&lt;&gt;N/A"),$L$110:$L$147)</f>
        <v>0</v>
      </c>
      <c r="F41" s="277">
        <f>E41*Staff_Days_Operation</f>
        <v>0</v>
      </c>
      <c r="G41" s="24"/>
      <c r="H41" s="121"/>
      <c r="I41" s="24"/>
    </row>
    <row r="42" spans="2:16">
      <c r="B42" s="8"/>
      <c r="C42" s="122"/>
      <c r="D42" s="24"/>
      <c r="E42" s="139"/>
      <c r="G42" s="24"/>
      <c r="H42" s="121"/>
      <c r="I42" s="24"/>
    </row>
    <row r="43" spans="2:16">
      <c r="B43" s="908" t="s">
        <v>452</v>
      </c>
      <c r="C43" s="908"/>
      <c r="D43" s="908"/>
      <c r="E43" s="277">
        <f>SUM(E39:E41)</f>
        <v>3.7314346940104164</v>
      </c>
      <c r="F43" s="277">
        <f>SUM(F39:F41)</f>
        <v>1361.973663313802</v>
      </c>
    </row>
    <row r="44" spans="2:16" ht="15.75" thickBot="1">
      <c r="F44" s="62"/>
      <c r="G44" s="62"/>
    </row>
    <row r="45" spans="2:16" ht="27.95" customHeight="1">
      <c r="B45" s="111" t="s">
        <v>3</v>
      </c>
      <c r="C45" s="112"/>
      <c r="D45" s="85"/>
      <c r="E45" s="85"/>
      <c r="F45" s="148" t="s">
        <v>129</v>
      </c>
      <c r="G45" s="288">
        <f>SUM(G52:G74)</f>
        <v>20789.999999999996</v>
      </c>
      <c r="H45" s="85"/>
      <c r="I45" s="85"/>
      <c r="J45" s="85"/>
      <c r="K45" s="85"/>
      <c r="L45" s="85"/>
      <c r="M45" s="85"/>
      <c r="N45" s="85"/>
      <c r="O45" s="85"/>
      <c r="P45" s="85"/>
    </row>
    <row r="46" spans="2:16" ht="15.75">
      <c r="B46" s="67" t="s">
        <v>80</v>
      </c>
    </row>
    <row r="47" spans="2:16" ht="15.75">
      <c r="B47" s="67" t="s">
        <v>81</v>
      </c>
    </row>
    <row r="48" spans="2:16">
      <c r="B48" s="105" t="s">
        <v>77</v>
      </c>
      <c r="C48" s="910" t="s">
        <v>68</v>
      </c>
      <c r="D48" s="910"/>
      <c r="J48" s="88"/>
    </row>
    <row r="49" spans="2:9">
      <c r="B49" s="105" t="s">
        <v>78</v>
      </c>
      <c r="C49" s="907" t="s">
        <v>532</v>
      </c>
      <c r="D49" s="907"/>
      <c r="I49" s="89"/>
    </row>
    <row r="51" spans="2:9" ht="15.75">
      <c r="B51" s="97" t="s">
        <v>211</v>
      </c>
      <c r="C51" s="97" t="s">
        <v>5</v>
      </c>
      <c r="D51" s="97" t="s">
        <v>79</v>
      </c>
      <c r="E51" s="98" t="s">
        <v>233</v>
      </c>
      <c r="F51" s="97" t="s">
        <v>121</v>
      </c>
      <c r="G51" s="97" t="s">
        <v>122</v>
      </c>
    </row>
    <row r="52" spans="2:9" ht="14.45" customHeight="1">
      <c r="B52" s="77" t="str">
        <f t="array" ref="B52">IF(COUNTIFS(Position_Category,$C$48,INDEX(Staff_Position_Allocation,0,MATCH($C$49,Unit_codes,0)),"&gt;0")&lt;ROWS('2.3-Staff input'!$I$5:$I5),"N/A",INDEX('2.3-Staff input'!B:B,SMALL(IF((Position_Category=$C$48)+(INDEX(Staff_Position_Allocation,0,MATCH($C$49,Unit_codes,0))&gt;0)=2,ROW(Staff_Position_ID)),ROW('2.3-Staff input'!M1))))</f>
        <v>pos002</v>
      </c>
      <c r="C52" s="77" t="str">
        <f>IF($B52="N/A","N/A",INDEX(Staff_position[],MATCH(B52,Staff_Position_ID,0)))</f>
        <v>Nursery staff</v>
      </c>
      <c r="D52" s="277">
        <f>IF($B52="N/A","N/A",INDEX(Staff_net_salary[],MATCH(B52,Staff_Position_ID,0)))</f>
        <v>2099.9999999999995</v>
      </c>
      <c r="E52" s="91">
        <f t="shared" ref="E52:E74" si="4">IF($B52="N/A","N/A",INDEX(Staff_number_of_employees,MATCH(B52,Staff_Position_ID,0)))</f>
        <v>11</v>
      </c>
      <c r="F52" s="92">
        <f t="shared" ref="F52:F74" si="5">IFERROR(INDEX(Staff_Position_Allocation,MATCH(B52,Staff_Position_ID),MATCH($C$49,Unit_codes,0)),"")</f>
        <v>0.9</v>
      </c>
      <c r="G52" s="277">
        <f>IFERROR(D52*E52*F52,"")</f>
        <v>20789.999999999996</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input'!M2))))</f>
        <v>N/A</v>
      </c>
      <c r="C53" s="77" t="str">
        <f>IF($B53="N/A","N/A",INDEX(Staff_position[],MATCH(B53,Staff_Position_ID,0)))</f>
        <v>N/A</v>
      </c>
      <c r="D53" s="277" t="str">
        <f>IF($B53="N/A","N/A",INDEX(Staff_net_salary[],MATCH(B53,Staff_Position_ID,0)))</f>
        <v>N/A</v>
      </c>
      <c r="E53" s="91" t="str">
        <f t="shared" si="4"/>
        <v>N/A</v>
      </c>
      <c r="F53" s="92" t="str">
        <f t="shared" si="5"/>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si="5"/>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si="5"/>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input'!M3))))</f>
        <v>N/A</v>
      </c>
      <c r="C56" s="77" t="str">
        <f>IF($B56="N/A","N/A",INDEX(Staff_position[],MATCH(B56,Staff_Position_ID,0)))</f>
        <v>N/A</v>
      </c>
      <c r="D56" s="277" t="str">
        <f>IF($B56="N/A","N/A",INDEX(Staff_net_salary[],MATCH(B56,Staff_Position_ID,0)))</f>
        <v>N/A</v>
      </c>
      <c r="E56" s="91" t="str">
        <f t="shared" si="4"/>
        <v>N/A</v>
      </c>
      <c r="F56" s="92" t="str">
        <f t="shared" si="5"/>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input'!M4))))</f>
        <v>N/A</v>
      </c>
      <c r="C57" s="77" t="str">
        <f>IF($B57="N/A","N/A",INDEX(Staff_position[],MATCH(B57,Staff_Position_ID,0)))</f>
        <v>N/A</v>
      </c>
      <c r="D57" s="277" t="str">
        <f>IF($B57="N/A","N/A",INDEX(Staff_net_salary[],MATCH(B57,Staff_Position_ID,0)))</f>
        <v>N/A</v>
      </c>
      <c r="E57" s="91" t="str">
        <f t="shared" si="4"/>
        <v>N/A</v>
      </c>
      <c r="F57" s="92" t="str">
        <f t="shared" si="5"/>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input'!M5))))</f>
        <v>N/A</v>
      </c>
      <c r="C58" s="77" t="str">
        <f>IF($B58="N/A","N/A",INDEX(Staff_position[],MATCH(B58,Staff_Position_ID,0)))</f>
        <v>N/A</v>
      </c>
      <c r="D58" s="277" t="str">
        <f>IF($B58="N/A","N/A",INDEX(Staff_net_salary[],MATCH(B58,Staff_Position_ID,0)))</f>
        <v>N/A</v>
      </c>
      <c r="E58" s="91" t="str">
        <f t="shared" si="4"/>
        <v>N/A</v>
      </c>
      <c r="F58" s="92" t="str">
        <f t="shared" si="5"/>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input'!M6))))</f>
        <v>N/A</v>
      </c>
      <c r="C59" s="77" t="str">
        <f>IF($B59="N/A","N/A",INDEX(Staff_position[],MATCH(B59,Staff_Position_ID,0)))</f>
        <v>N/A</v>
      </c>
      <c r="D59" s="277" t="str">
        <f>IF($B59="N/A","N/A",INDEX(Staff_net_salary[],MATCH(B59,Staff_Position_ID,0)))</f>
        <v>N/A</v>
      </c>
      <c r="E59" s="91" t="str">
        <f t="shared" si="4"/>
        <v>N/A</v>
      </c>
      <c r="F59" s="92" t="str">
        <f t="shared" si="5"/>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input'!M7))))</f>
        <v>N/A</v>
      </c>
      <c r="C60" s="77" t="str">
        <f>IF($B60="N/A","N/A",INDEX(Staff_position[],MATCH(B60,Staff_Position_ID,0)))</f>
        <v>N/A</v>
      </c>
      <c r="D60" s="277" t="str">
        <f>IF($B60="N/A","N/A",INDEX(Staff_net_salary[],MATCH(B60,Staff_Position_ID,0)))</f>
        <v>N/A</v>
      </c>
      <c r="E60" s="91" t="str">
        <f t="shared" si="4"/>
        <v>N/A</v>
      </c>
      <c r="F60" s="92" t="str">
        <f t="shared" si="5"/>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input'!M8))))</f>
        <v>N/A</v>
      </c>
      <c r="C61" s="77" t="str">
        <f>IF($B61="N/A","N/A",INDEX(Staff_position[],MATCH(B61,Staff_Position_ID,0)))</f>
        <v>N/A</v>
      </c>
      <c r="D61" s="277" t="str">
        <f>IF($B61="N/A","N/A",INDEX(Staff_net_salary[],MATCH(B61,Staff_Position_ID,0)))</f>
        <v>N/A</v>
      </c>
      <c r="E61" s="91" t="str">
        <f t="shared" si="4"/>
        <v>N/A</v>
      </c>
      <c r="F61" s="92" t="str">
        <f t="shared" si="5"/>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input'!M9))))</f>
        <v>N/A</v>
      </c>
      <c r="C62" s="77" t="str">
        <f>IF($B62="N/A","N/A",INDEX(Staff_position[],MATCH(B62,Staff_Position_ID,0)))</f>
        <v>N/A</v>
      </c>
      <c r="D62" s="277" t="str">
        <f>IF($B62="N/A","N/A",INDEX(Staff_net_salary[],MATCH(B62,Staff_Position_ID,0)))</f>
        <v>N/A</v>
      </c>
      <c r="E62" s="91" t="str">
        <f t="shared" si="4"/>
        <v>N/A</v>
      </c>
      <c r="F62" s="92" t="str">
        <f t="shared" si="5"/>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input'!M10))))</f>
        <v>N/A</v>
      </c>
      <c r="C63" s="77" t="str">
        <f>IF($B63="N/A","N/A",INDEX(Staff_position[],MATCH(B63,Staff_Position_ID,0)))</f>
        <v>N/A</v>
      </c>
      <c r="D63" s="277" t="str">
        <f>IF($B63="N/A","N/A",INDEX(Staff_net_salary[],MATCH(B63,Staff_Position_ID,0)))</f>
        <v>N/A</v>
      </c>
      <c r="E63" s="91" t="str">
        <f t="shared" si="4"/>
        <v>N/A</v>
      </c>
      <c r="F63" s="92" t="str">
        <f t="shared" si="5"/>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input'!M11))))</f>
        <v>N/A</v>
      </c>
      <c r="C64" s="77" t="str">
        <f>IF($B64="N/A","N/A",INDEX(Staff_position[],MATCH(B64,Staff_Position_ID,0)))</f>
        <v>N/A</v>
      </c>
      <c r="D64" s="277" t="str">
        <f>IF($B64="N/A","N/A",INDEX(Staff_net_salary[],MATCH(B64,Staff_Position_ID,0)))</f>
        <v>N/A</v>
      </c>
      <c r="E64" s="91" t="str">
        <f t="shared" si="4"/>
        <v>N/A</v>
      </c>
      <c r="F64" s="92" t="str">
        <f t="shared" si="5"/>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input'!M12))))</f>
        <v>N/A</v>
      </c>
      <c r="C65" s="77" t="str">
        <f>IF($B65="N/A","N/A",INDEX(Staff_position[],MATCH(B65,Staff_Position_ID,0)))</f>
        <v>N/A</v>
      </c>
      <c r="D65" s="277" t="str">
        <f>IF($B65="N/A","N/A",INDEX(Staff_net_salary[],MATCH(B65,Staff_Position_ID,0)))</f>
        <v>N/A</v>
      </c>
      <c r="E65" s="91" t="str">
        <f t="shared" si="4"/>
        <v>N/A</v>
      </c>
      <c r="F65" s="92" t="str">
        <f t="shared" si="5"/>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input'!M13))))</f>
        <v>N/A</v>
      </c>
      <c r="C66" s="77" t="str">
        <f>IF($B66="N/A","N/A",INDEX(Staff_position[],MATCH(B66,Staff_Position_ID,0)))</f>
        <v>N/A</v>
      </c>
      <c r="D66" s="277" t="str">
        <f>IF($B66="N/A","N/A",INDEX(Staff_net_salary[],MATCH(B66,Staff_Position_ID,0)))</f>
        <v>N/A</v>
      </c>
      <c r="E66" s="91" t="str">
        <f t="shared" si="4"/>
        <v>N/A</v>
      </c>
      <c r="F66" s="92" t="str">
        <f t="shared" si="5"/>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input'!M14))))</f>
        <v>N/A</v>
      </c>
      <c r="C67" s="77" t="str">
        <f>IF($B67="N/A","N/A",INDEX(Staff_position[],MATCH(B67,Staff_Position_ID,0)))</f>
        <v>N/A</v>
      </c>
      <c r="D67" s="277" t="str">
        <f>IF($B67="N/A","N/A",INDEX(Staff_net_salary[],MATCH(B67,Staff_Position_ID,0)))</f>
        <v>N/A</v>
      </c>
      <c r="E67" s="91" t="str">
        <f t="shared" si="4"/>
        <v>N/A</v>
      </c>
      <c r="F67" s="92" t="str">
        <f t="shared" si="5"/>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input'!M15))))</f>
        <v>N/A</v>
      </c>
      <c r="C68" s="77" t="str">
        <f>IF($B68="N/A","N/A",INDEX(Staff_position[],MATCH(B68,Staff_Position_ID,0)))</f>
        <v>N/A</v>
      </c>
      <c r="D68" s="277" t="str">
        <f>IF($B68="N/A","N/A",INDEX(Staff_net_salary[],MATCH(B68,Staff_Position_ID,0)))</f>
        <v>N/A</v>
      </c>
      <c r="E68" s="91" t="str">
        <f t="shared" si="4"/>
        <v>N/A</v>
      </c>
      <c r="F68" s="92" t="str">
        <f t="shared" si="5"/>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input'!M16))))</f>
        <v>N/A</v>
      </c>
      <c r="C69" s="77" t="str">
        <f>IF($B69="N/A","N/A",INDEX(Staff_position[],MATCH(B69,Staff_Position_ID,0)))</f>
        <v>N/A</v>
      </c>
      <c r="D69" s="277" t="str">
        <f>IF($B69="N/A","N/A",INDEX(Staff_net_salary[],MATCH(B69,Staff_Position_ID,0)))</f>
        <v>N/A</v>
      </c>
      <c r="E69" s="91" t="str">
        <f t="shared" si="4"/>
        <v>N/A</v>
      </c>
      <c r="F69" s="92" t="str">
        <f t="shared" si="5"/>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input'!M17))))</f>
        <v>N/A</v>
      </c>
      <c r="C70" s="77" t="str">
        <f>IF($B70="N/A","N/A",INDEX(Staff_position[],MATCH(B70,Staff_Position_ID,0)))</f>
        <v>N/A</v>
      </c>
      <c r="D70" s="277" t="str">
        <f>IF($B70="N/A","N/A",INDEX(Staff_net_salary[],MATCH(B70,Staff_Position_ID,0)))</f>
        <v>N/A</v>
      </c>
      <c r="E70" s="91" t="str">
        <f t="shared" si="4"/>
        <v>N/A</v>
      </c>
      <c r="F70" s="92" t="str">
        <f t="shared" si="5"/>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input'!M18))))</f>
        <v>N/A</v>
      </c>
      <c r="C71" s="77" t="str">
        <f>IF($B71="N/A","N/A",INDEX(Staff_position[],MATCH(B71,Staff_Position_ID,0)))</f>
        <v>N/A</v>
      </c>
      <c r="D71" s="277" t="str">
        <f>IF($B71="N/A","N/A",INDEX(Staff_net_salary[],MATCH(B71,Staff_Position_ID,0)))</f>
        <v>N/A</v>
      </c>
      <c r="E71" s="91" t="str">
        <f t="shared" si="4"/>
        <v>N/A</v>
      </c>
      <c r="F71" s="92" t="str">
        <f t="shared" si="5"/>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input'!M19))))</f>
        <v>N/A</v>
      </c>
      <c r="C72" s="77" t="str">
        <f>IF($B72="N/A","N/A",INDEX(Staff_position[],MATCH(B72,Staff_Position_ID,0)))</f>
        <v>N/A</v>
      </c>
      <c r="D72" s="277" t="str">
        <f>IF($B72="N/A","N/A",INDEX(Staff_net_salary[],MATCH(B72,Staff_Position_ID,0)))</f>
        <v>N/A</v>
      </c>
      <c r="E72" s="91" t="str">
        <f t="shared" si="4"/>
        <v>N/A</v>
      </c>
      <c r="F72" s="92" t="str">
        <f t="shared" si="5"/>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input'!M20))))</f>
        <v>N/A</v>
      </c>
      <c r="C73" s="77" t="str">
        <f>IF($B73="N/A","N/A",INDEX(Staff_position[],MATCH(B73,Staff_Position_ID,0)))</f>
        <v>N/A</v>
      </c>
      <c r="D73" s="277" t="str">
        <f>IF($B73="N/A","N/A",INDEX(Staff_net_salary[],MATCH(B73,Staff_Position_ID,0)))</f>
        <v>N/A</v>
      </c>
      <c r="E73" s="91" t="str">
        <f t="shared" si="4"/>
        <v>N/A</v>
      </c>
      <c r="F73" s="92" t="str">
        <f t="shared" si="5"/>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input'!M21))))</f>
        <v>N/A</v>
      </c>
      <c r="C74" s="77" t="str">
        <f>IF($B74="N/A","N/A",INDEX(Staff_position[],MATCH(B74,Staff_Position_ID,0)))</f>
        <v>N/A</v>
      </c>
      <c r="D74" s="277" t="str">
        <f>IF($B74="N/A","N/A",INDEX(Staff_net_salary[],MATCH(B74,Staff_Position_ID,0)))</f>
        <v>N/A</v>
      </c>
      <c r="E74" s="91" t="str">
        <f t="shared" si="4"/>
        <v>N/A</v>
      </c>
      <c r="F74" s="92" t="str">
        <f t="shared" si="5"/>
        <v/>
      </c>
      <c r="G74" s="277" t="str">
        <f t="shared" si="6"/>
        <v/>
      </c>
    </row>
    <row r="75" spans="2:16" ht="15.75" thickBot="1">
      <c r="F75" s="150"/>
      <c r="G75" s="150"/>
    </row>
    <row r="76" spans="2:16" ht="30.75">
      <c r="B76" s="111" t="s">
        <v>83</v>
      </c>
      <c r="C76" s="112"/>
      <c r="D76" s="85"/>
      <c r="E76" s="85"/>
      <c r="F76" s="153" t="s">
        <v>123</v>
      </c>
      <c r="G76" s="288">
        <f>SUM(G83:G103)</f>
        <v>2688</v>
      </c>
      <c r="H76" s="85"/>
      <c r="I76" s="85"/>
      <c r="J76" s="85"/>
      <c r="K76" s="85"/>
      <c r="L76" s="85"/>
      <c r="M76" s="85"/>
      <c r="N76" s="85"/>
      <c r="O76" s="85"/>
      <c r="P76" s="85"/>
    </row>
    <row r="77" spans="2:16" ht="15.75">
      <c r="B77" s="67" t="s">
        <v>80</v>
      </c>
    </row>
    <row r="78" spans="2:16" ht="15.75">
      <c r="B78" s="67" t="s">
        <v>81</v>
      </c>
    </row>
    <row r="79" spans="2:16">
      <c r="B79" s="105" t="s">
        <v>77</v>
      </c>
      <c r="C79" s="910" t="s">
        <v>69</v>
      </c>
      <c r="D79" s="910"/>
    </row>
    <row r="80" spans="2:16">
      <c r="B80" s="105" t="s">
        <v>78</v>
      </c>
      <c r="C80" s="910" t="s">
        <v>532</v>
      </c>
      <c r="D80" s="910"/>
    </row>
    <row r="82" spans="2:7" ht="15.75">
      <c r="B82" s="97" t="s">
        <v>211</v>
      </c>
      <c r="C82" s="97" t="s">
        <v>5</v>
      </c>
      <c r="D82" s="97" t="s">
        <v>79</v>
      </c>
      <c r="E82" s="98" t="s">
        <v>233</v>
      </c>
      <c r="F82" s="97" t="s">
        <v>121</v>
      </c>
      <c r="G82" s="97"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pos004</v>
      </c>
      <c r="C83" s="77" t="str">
        <f>IF($B83="N/A","N/A",INDEX(Staff_position[],MATCH(B83,Staff_Position_ID,0)))</f>
        <v>Nursery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IFERROR(INDEX(Staff_Position_Allocation,MATCH(B83,Staff_Position_ID),MATCH($C$49,Unit_codes,0)),"")</f>
        <v>0.5</v>
      </c>
      <c r="G83" s="277">
        <f>IFERROR(D83*E83*F83,"")</f>
        <v>1680</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0.1</v>
      </c>
      <c r="G84" s="277">
        <f t="shared" ref="G84:G103" si="9">IFERROR(D84*E84*F84,"")</f>
        <v>1007.9999999999999</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21">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21">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21">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21">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21">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21">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21">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21" ht="15.75" thickBot="1">
      <c r="E104" s="150"/>
      <c r="F104" s="150"/>
      <c r="G104" s="150"/>
    </row>
    <row r="105" spans="2:21" ht="45">
      <c r="B105" s="2" t="s">
        <v>2</v>
      </c>
      <c r="C105" s="110"/>
      <c r="D105" s="61"/>
      <c r="F105" s="149" t="s">
        <v>153</v>
      </c>
      <c r="G105" s="288">
        <f>SUMIF(B110:B147,("&lt;&gt;N/A"),N110:N147)</f>
        <v>3461.6633333333334</v>
      </c>
      <c r="H105" s="61"/>
      <c r="I105" s="61"/>
      <c r="J105" s="61"/>
      <c r="K105" s="61"/>
      <c r="L105" s="61"/>
      <c r="M105" s="61"/>
      <c r="N105" s="61"/>
      <c r="O105" s="61"/>
      <c r="P105" s="61"/>
    </row>
    <row r="106" spans="2:21" ht="15.75">
      <c r="B106" s="67" t="s">
        <v>82</v>
      </c>
      <c r="I106" s="145"/>
      <c r="J106" s="146"/>
      <c r="N106" s="88"/>
    </row>
    <row r="107" spans="2:21">
      <c r="B107" s="105" t="s">
        <v>78</v>
      </c>
      <c r="C107" s="86" t="s">
        <v>532</v>
      </c>
    </row>
    <row r="109" spans="2:21" ht="47.25">
      <c r="B109" s="97" t="s">
        <v>84</v>
      </c>
      <c r="C109" s="97" t="s">
        <v>53</v>
      </c>
      <c r="D109" s="99" t="s">
        <v>152</v>
      </c>
      <c r="E109" s="97" t="s">
        <v>50</v>
      </c>
      <c r="F109" s="99" t="s">
        <v>514</v>
      </c>
      <c r="G109" s="99" t="s">
        <v>451</v>
      </c>
      <c r="H109" s="99" t="s">
        <v>515</v>
      </c>
      <c r="I109" s="99" t="s">
        <v>519</v>
      </c>
      <c r="J109" s="99" t="s">
        <v>516</v>
      </c>
      <c r="K109" s="99" t="s">
        <v>518</v>
      </c>
      <c r="L109" s="99" t="s">
        <v>517</v>
      </c>
      <c r="M109" s="99" t="s">
        <v>544</v>
      </c>
      <c r="N109" s="99" t="s">
        <v>154</v>
      </c>
      <c r="O109" s="99" t="s">
        <v>714</v>
      </c>
      <c r="S109" s="12" t="s">
        <v>440</v>
      </c>
    </row>
    <row r="110" spans="2:21">
      <c r="B110" s="76" t="str">
        <f t="array" ref="B110">IF(COUNTIFS(INDEX(Equipment_Allocation_New,0,MATCH($C$107,Unit_codes,0)),"&gt;0")&lt;ROWS('2.2-Equipment input'!$X$8:X8),"N/A",INDEX('2.2-Equipment input'!B:B,SMALL(IF(INDEX(Equipment_Allocation_New,0,MATCH($C$107,Unit_codes,0))&gt;0,ROW(equipment_ID)),ROW('2.2-Equipment input'!B1))))</f>
        <v>eq0008</v>
      </c>
      <c r="C110" s="76" t="str">
        <f>IF($B110="N/A","N/A",INDEX(Equipment_name[],MATCH(B110,equipment_ID,0)))</f>
        <v>High pressure cleaner</v>
      </c>
      <c r="D110" s="277">
        <f t="shared" ref="D110:D147" si="10">IF($B110="N/A","N/A",INDEX(Equipment_Depreciation,MATCH(B110,equipment_ID,0)))</f>
        <v>210</v>
      </c>
      <c r="E110" s="94">
        <f t="shared" ref="E110:E147" si="11">IF($B110="N/A","N/A",INDEX(Equipment_Quantity_New,MATCH(B110,equipment_ID,0)))</f>
        <v>2</v>
      </c>
      <c r="F110" s="137">
        <f>IF($B110="N/A","",IF(INDEX(Equipment_Utility_Decision,MATCH($B110,equipment_ID,0))='4.2-Settings Internal'!$B$32,INDEX(Equipment_Utility_Run,MATCH($B110,equipment_ID,0)),""))</f>
        <v>7.9365079365079367</v>
      </c>
      <c r="G110" s="137">
        <f>IF($B110="N/A","",IF(INDEX(Equipment_Utility_Decision,MATCH($B110,equipment_ID,0))='4.2-Settings Internal'!$B$32,INDEX(Equipment_Utility_Water,MATCH($B110,equipment_ID,0)),""))</f>
        <v>0.42899999999999999</v>
      </c>
      <c r="H110" s="277">
        <f t="shared" ref="H110:H147" si="12">IFERROR($E110*$F110*G110*$M110*General_Water_Price,"")</f>
        <v>0.1144</v>
      </c>
      <c r="I110" s="137">
        <f>IF($B110="N/A","",IF(INDEX(Equipment_Utility_Decision,MATCH($B110,equipment_ID,0))='4.2-Settings Internal'!$B$32,INDEX(Equipment_Utility_Electricity,MATCH($B110,equipment_ID,0)),""))</f>
        <v>2</v>
      </c>
      <c r="J110" s="277">
        <f t="shared" ref="J110:J147" si="13">IFERROR($E110*$F110*I110*$M110*General_Electricity_Price,"")</f>
        <v>0.26666666666666666</v>
      </c>
      <c r="K110" s="137">
        <f>IF($B110="N/A","",IF(INDEX(Equipment_Utility_Decision,MATCH($B110,equipment_ID,0))=INDEX(Yes_No_Choice[],1),INDEX(Equipment_Utility_Fuel,MATCH($B110,equipment_ID,0)),""))</f>
        <v>0</v>
      </c>
      <c r="L110" s="277" t="str">
        <f t="shared" ref="L110:L147" si="14">IFERROR($E110*$F110*$K110*$M110*INDEX(General_Utilities,MATCH(INDEX(Equipment_Utility_Fuel_Selection,MATCH($B110,equipment_ID,0)),General_Utilities_Type,0),4),"")</f>
        <v/>
      </c>
      <c r="M110" s="95">
        <f t="shared" ref="M110:M147" si="15">IFERROR(INDEX(Equipment_Allocation_New,MATCH(B110,equipment_ID,0),MATCH($C$107,Unit_codes,0)),"")</f>
        <v>0.08</v>
      </c>
      <c r="N110" s="277">
        <f>IFERROR($D110*E110*M110,"")</f>
        <v>33.6</v>
      </c>
      <c r="O110" s="137">
        <f t="shared" ref="O110:O147" si="16">IF($B110="N/A","",IF(INDEX(Equipment_Space_Selection,MATCH(B110,equipment_ID,0))="Yes",INDEX(Equipment_Space_Footprint,MATCH(B110,equipment_ID,0))*INDEX(Equipment_Quantity_New,MATCH(B110,equipment_ID,0))*M110,""))</f>
        <v>0.04</v>
      </c>
      <c r="S110" s="12" t="s">
        <v>421</v>
      </c>
      <c r="T110" s="12" t="s">
        <v>439</v>
      </c>
      <c r="U110" s="12" t="s">
        <v>438</v>
      </c>
    </row>
    <row r="111" spans="2:21">
      <c r="B111" s="76" t="str">
        <f t="array" ref="B111">IF(COUNTIFS(INDEX(Equipment_Allocation_New,0,MATCH($C$107,Unit_codes,0)),"&gt;0")&lt;ROWS('2.2-Equipment input'!$X$8:X9),"N/A",INDEX('2.2-Equipment input'!B:B,SMALL(IF(INDEX(Equipment_Allocation_New,0,MATCH($C$107,Unit_codes,0))&gt;0,ROW(equipment_ID)),ROW('2.2-Equipment input'!B2))))</f>
        <v>eq0013</v>
      </c>
      <c r="C111" s="76" t="str">
        <f>IF($B111="N/A","N/A",INDEX(Equipment_name[],MATCH(B111,equipment_ID,0)))</f>
        <v xml:space="preserve">Pupation crates </v>
      </c>
      <c r="D111" s="277">
        <f t="shared" si="10"/>
        <v>0.97999999999999987</v>
      </c>
      <c r="E111" s="94">
        <f t="shared" si="11"/>
        <v>282</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95">
        <f t="shared" si="15"/>
        <v>1</v>
      </c>
      <c r="N111" s="277">
        <f t="shared" ref="N111:N147" si="17">IFERROR($D111*E111*M111,"")</f>
        <v>276.35999999999996</v>
      </c>
      <c r="O111" s="137" t="str">
        <f t="shared" si="16"/>
        <v/>
      </c>
      <c r="U111" s="12" t="s">
        <v>437</v>
      </c>
    </row>
    <row r="112" spans="2:21">
      <c r="B112" s="76" t="str">
        <f t="array" ref="B112">IF(COUNTIFS(INDEX(Equipment_Allocation_New,0,MATCH($C$107,Unit_codes,0)),"&gt;0")&lt;ROWS('2.2-Equipment input'!$X$8:X10),"N/A",INDEX('2.2-Equipment input'!B:B,SMALL(IF(INDEX(Equipment_Allocation_New,0,MATCH($C$107,Unit_codes,0))&gt;0,ROW(equipment_ID)),ROW('2.2-Equipment input'!B3))))</f>
        <v>eq0014</v>
      </c>
      <c r="C112" s="76" t="str">
        <f>IF($B112="N/A","N/A",INDEX(Equipment_name[],MATCH(B112,equipment_ID,0)))</f>
        <v>Pupation cage (Dark cage)</v>
      </c>
      <c r="D112" s="277">
        <f t="shared" si="10"/>
        <v>70</v>
      </c>
      <c r="E112" s="94">
        <f t="shared" si="11"/>
        <v>18</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12"/>
        <v/>
      </c>
      <c r="I112" s="137" t="str">
        <f>IF($B112="N/A","",IF(INDEX(Equipment_Utility_Decision,MATCH($B112,equipment_ID,0))='4.2-Settings Internal'!$B$32,INDEX(Equipment_Utility_Electricity,MATCH($B112,equipment_ID,0)),""))</f>
        <v/>
      </c>
      <c r="J112" s="277" t="str">
        <f t="shared" si="13"/>
        <v/>
      </c>
      <c r="K112" s="137" t="str">
        <f>IF($B112="N/A","",IF(INDEX(Equipment_Utility_Decision,MATCH($B112,equipment_ID,0))=INDEX(Yes_No_Choice[],1),INDEX(Equipment_Utility_Fuel,MATCH($B112,equipment_ID,0)),""))</f>
        <v/>
      </c>
      <c r="L112" s="277" t="str">
        <f t="shared" si="14"/>
        <v/>
      </c>
      <c r="M112" s="95">
        <f t="shared" si="15"/>
        <v>1</v>
      </c>
      <c r="N112" s="277">
        <f t="shared" si="17"/>
        <v>1260</v>
      </c>
      <c r="O112" s="137" t="str">
        <f t="shared" si="16"/>
        <v/>
      </c>
      <c r="U112" s="12" t="s">
        <v>436</v>
      </c>
    </row>
    <row r="113" spans="2:30">
      <c r="B113" s="76" t="str">
        <f t="array" ref="B113">IF(COUNTIFS(INDEX(Equipment_Allocation_New,0,MATCH($C$107,Unit_codes,0)),"&gt;0")&lt;ROWS('2.2-Equipment input'!$X$8:X11),"N/A",INDEX('2.2-Equipment input'!B:B,SMALL(IF(INDEX(Equipment_Allocation_New,0,MATCH($C$107,Unit_codes,0))&gt;0,ROW(equipment_ID)),ROW('2.2-Equipment input'!B4))))</f>
        <v>eq0015</v>
      </c>
      <c r="C113" s="76" t="str">
        <f>IF($B113="N/A","N/A",INDEX(Equipment_name[],MATCH(B113,equipment_ID,0)))</f>
        <v>Pupation cage frame</v>
      </c>
      <c r="D113" s="277">
        <f t="shared" si="10"/>
        <v>28</v>
      </c>
      <c r="E113" s="94">
        <f t="shared" si="11"/>
        <v>18</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12"/>
        <v/>
      </c>
      <c r="I113" s="137" t="str">
        <f>IF($B113="N/A","",IF(INDEX(Equipment_Utility_Decision,MATCH($B113,equipment_ID,0))='4.2-Settings Internal'!$B$32,INDEX(Equipment_Utility_Electricity,MATCH($B113,equipment_ID,0)),""))</f>
        <v/>
      </c>
      <c r="J113" s="277" t="str">
        <f t="shared" si="13"/>
        <v/>
      </c>
      <c r="K113" s="137" t="str">
        <f>IF($B113="N/A","",IF(INDEX(Equipment_Utility_Decision,MATCH($B113,equipment_ID,0))=INDEX(Yes_No_Choice[],1),INDEX(Equipment_Utility_Fuel,MATCH($B113,equipment_ID,0)),""))</f>
        <v/>
      </c>
      <c r="L113" s="277" t="str">
        <f t="shared" si="14"/>
        <v/>
      </c>
      <c r="M113" s="95">
        <f t="shared" si="15"/>
        <v>1</v>
      </c>
      <c r="N113" s="277">
        <f t="shared" si="17"/>
        <v>504</v>
      </c>
      <c r="O113" s="137">
        <f t="shared" si="16"/>
        <v>19.574999999999999</v>
      </c>
      <c r="T113" s="12" t="s">
        <v>435</v>
      </c>
      <c r="U113" s="12" t="s">
        <v>434</v>
      </c>
      <c r="V113" s="12" t="s">
        <v>433</v>
      </c>
    </row>
    <row r="114" spans="2:30">
      <c r="B114" s="76" t="str">
        <f t="array" ref="B114">IF(COUNTIFS(INDEX(Equipment_Allocation_New,0,MATCH($C$107,Unit_codes,0)),"&gt;0")&lt;ROWS('2.2-Equipment input'!$X$8:X12),"N/A",INDEX('2.2-Equipment input'!B:B,SMALL(IF(INDEX(Equipment_Allocation_New,0,MATCH($C$107,Unit_codes,0))&gt;0,ROW(equipment_ID)),ROW('2.2-Equipment input'!B5))))</f>
        <v>eq0016</v>
      </c>
      <c r="C114" s="76" t="str">
        <f>IF($B114="N/A","N/A",INDEX(Equipment_name[],MATCH(B114,equipment_ID,0)))</f>
        <v>Oviposition cage (Love cage)</v>
      </c>
      <c r="D114" s="277">
        <f t="shared" si="10"/>
        <v>24.499999999999996</v>
      </c>
      <c r="E114" s="94">
        <f t="shared" si="11"/>
        <v>20</v>
      </c>
      <c r="F114" s="137" t="str">
        <f>IF($B114="N/A","",IF(INDEX(Equipment_Utility_Decision,MATCH($B114,equipment_ID,0))='4.2-Settings Internal'!$B$32,INDEX(Equipment_Utility_Run,MATCH($B114,equipment_ID,0)),""))</f>
        <v/>
      </c>
      <c r="G114" s="137" t="str">
        <f>IF($B114="N/A","",IF(INDEX(Equipment_Utility_Decision,MATCH($B114,equipment_ID,0))='4.2-Settings Internal'!$B$32,INDEX(Equipment_Utility_Water,MATCH($B114,equipment_ID,0)),""))</f>
        <v/>
      </c>
      <c r="H114" s="277" t="str">
        <f t="shared" si="12"/>
        <v/>
      </c>
      <c r="I114" s="137" t="str">
        <f>IF($B114="N/A","",IF(INDEX(Equipment_Utility_Decision,MATCH($B114,equipment_ID,0))='4.2-Settings Internal'!$B$32,INDEX(Equipment_Utility_Electricity,MATCH($B114,equipment_ID,0)),""))</f>
        <v/>
      </c>
      <c r="J114" s="277" t="str">
        <f t="shared" si="13"/>
        <v/>
      </c>
      <c r="K114" s="137" t="str">
        <f>IF($B114="N/A","",IF(INDEX(Equipment_Utility_Decision,MATCH($B114,equipment_ID,0))=INDEX(Yes_No_Choice[],1),INDEX(Equipment_Utility_Fuel,MATCH($B114,equipment_ID,0)),""))</f>
        <v/>
      </c>
      <c r="L114" s="277" t="str">
        <f t="shared" si="14"/>
        <v/>
      </c>
      <c r="M114" s="95">
        <f t="shared" si="15"/>
        <v>1</v>
      </c>
      <c r="N114" s="277">
        <f t="shared" si="17"/>
        <v>489.99999999999994</v>
      </c>
      <c r="O114" s="137">
        <f t="shared" si="16"/>
        <v>9.7999999999999989</v>
      </c>
      <c r="T114" s="12" t="s">
        <v>432</v>
      </c>
      <c r="U114" s="12" t="s">
        <v>431</v>
      </c>
    </row>
    <row r="115" spans="2:30">
      <c r="B115" s="76" t="str">
        <f t="array" ref="B115">IF(COUNTIFS(INDEX(Equipment_Allocation_New,0,MATCH($C$107,Unit_codes,0)),"&gt;0")&lt;ROWS('2.2-Equipment input'!$X$8:X13),"N/A",INDEX('2.2-Equipment input'!B:B,SMALL(IF(INDEX(Equipment_Allocation_New,0,MATCH($C$107,Unit_codes,0))&gt;0,ROW(equipment_ID)),ROW('2.2-Equipment input'!B6))))</f>
        <v>eq0017</v>
      </c>
      <c r="C115" s="76" t="str">
        <f>IF($B115="N/A","N/A",INDEX(Equipment_name[],MATCH(B115,equipment_ID,0)))</f>
        <v>Attractant container</v>
      </c>
      <c r="D115" s="277">
        <f t="shared" si="10"/>
        <v>4.6666666666666662E-2</v>
      </c>
      <c r="E115" s="94">
        <f t="shared" si="11"/>
        <v>20</v>
      </c>
      <c r="F115" s="137" t="str">
        <f>IF($B115="N/A","",IF(INDEX(Equipment_Utility_Decision,MATCH($B115,equipment_ID,0))='4.2-Settings Internal'!$B$32,INDEX(Equipment_Utility_Run,MATCH($B115,equipment_ID,0)),""))</f>
        <v/>
      </c>
      <c r="G115" s="137" t="str">
        <f>IF($B115="N/A","",IF(INDEX(Equipment_Utility_Decision,MATCH($B115,equipment_ID,0))='4.2-Settings Internal'!$B$32,INDEX(Equipment_Utility_Water,MATCH($B115,equipment_ID,0)),""))</f>
        <v/>
      </c>
      <c r="H115" s="277" t="str">
        <f t="shared" si="12"/>
        <v/>
      </c>
      <c r="I115" s="137" t="str">
        <f>IF($B115="N/A","",IF(INDEX(Equipment_Utility_Decision,MATCH($B115,equipment_ID,0))='4.2-Settings Internal'!$B$32,INDEX(Equipment_Utility_Electricity,MATCH($B115,equipment_ID,0)),""))</f>
        <v/>
      </c>
      <c r="J115" s="277" t="str">
        <f t="shared" si="13"/>
        <v/>
      </c>
      <c r="K115" s="137" t="str">
        <f>IF($B115="N/A","",IF(INDEX(Equipment_Utility_Decision,MATCH($B115,equipment_ID,0))=INDEX(Yes_No_Choice[],1),INDEX(Equipment_Utility_Fuel,MATCH($B115,equipment_ID,0)),""))</f>
        <v/>
      </c>
      <c r="L115" s="277" t="str">
        <f t="shared" si="14"/>
        <v/>
      </c>
      <c r="M115" s="95">
        <f t="shared" si="15"/>
        <v>1</v>
      </c>
      <c r="N115" s="277">
        <f t="shared" si="17"/>
        <v>0.93333333333333324</v>
      </c>
      <c r="O115" s="137" t="str">
        <f t="shared" si="16"/>
        <v/>
      </c>
      <c r="U115" s="12" t="s">
        <v>430</v>
      </c>
    </row>
    <row r="116" spans="2:30">
      <c r="B116" s="76" t="str">
        <f t="array" ref="B116">IF(COUNTIFS(INDEX(Equipment_Allocation_New,0,MATCH($C$107,Unit_codes,0)),"&gt;0")&lt;ROWS('2.2-Equipment input'!$X$8:X14),"N/A",INDEX('2.2-Equipment input'!B:B,SMALL(IF(INDEX(Equipment_Allocation_New,0,MATCH($C$107,Unit_codes,0))&gt;0,ROW(equipment_ID)),ROW('2.2-Equipment input'!B7))))</f>
        <v>eq0018</v>
      </c>
      <c r="C116" s="76" t="str">
        <f>IF($B116="N/A","N/A",INDEX(Equipment_name[],MATCH(B116,equipment_ID,0)))</f>
        <v>Shade box</v>
      </c>
      <c r="D116" s="277">
        <f t="shared" si="10"/>
        <v>0.58333333333333326</v>
      </c>
      <c r="E116" s="94">
        <f t="shared" si="11"/>
        <v>20</v>
      </c>
      <c r="F116" s="137" t="str">
        <f>IF($B116="N/A","",IF(INDEX(Equipment_Utility_Decision,MATCH($B116,equipment_ID,0))='4.2-Settings Internal'!$B$32,INDEX(Equipment_Utility_Run,MATCH($B116,equipment_ID,0)),""))</f>
        <v/>
      </c>
      <c r="G116" s="137" t="str">
        <f>IF($B116="N/A","",IF(INDEX(Equipment_Utility_Decision,MATCH($B116,equipment_ID,0))='4.2-Settings Internal'!$B$32,INDEX(Equipment_Utility_Water,MATCH($B116,equipment_ID,0)),""))</f>
        <v/>
      </c>
      <c r="H116" s="277" t="str">
        <f t="shared" si="12"/>
        <v/>
      </c>
      <c r="I116" s="137" t="str">
        <f>IF($B116="N/A","",IF(INDEX(Equipment_Utility_Decision,MATCH($B116,equipment_ID,0))='4.2-Settings Internal'!$B$32,INDEX(Equipment_Utility_Electricity,MATCH($B116,equipment_ID,0)),""))</f>
        <v/>
      </c>
      <c r="J116" s="277" t="str">
        <f t="shared" si="13"/>
        <v/>
      </c>
      <c r="K116" s="137" t="str">
        <f>IF($B116="N/A","",IF(INDEX(Equipment_Utility_Decision,MATCH($B116,equipment_ID,0))=INDEX(Yes_No_Choice[],1),INDEX(Equipment_Utility_Fuel,MATCH($B116,equipment_ID,0)),""))</f>
        <v/>
      </c>
      <c r="L116" s="277" t="str">
        <f t="shared" si="14"/>
        <v/>
      </c>
      <c r="M116" s="95">
        <f t="shared" si="15"/>
        <v>1</v>
      </c>
      <c r="N116" s="277">
        <f t="shared" si="17"/>
        <v>11.666666666666664</v>
      </c>
      <c r="O116" s="137" t="str">
        <f t="shared" si="16"/>
        <v/>
      </c>
      <c r="U116" s="12" t="s">
        <v>429</v>
      </c>
      <c r="V116" s="12" t="s">
        <v>428</v>
      </c>
    </row>
    <row r="117" spans="2:30">
      <c r="B117" s="76" t="str">
        <f t="array" ref="B117">IF(COUNTIFS(INDEX(Equipment_Allocation_New,0,MATCH($C$107,Unit_codes,0)),"&gt;0")&lt;ROWS('2.2-Equipment input'!$X$8:X15),"N/A",INDEX('2.2-Equipment input'!B:B,SMALL(IF(INDEX(Equipment_Allocation_New,0,MATCH($C$107,Unit_codes,0))&gt;0,ROW(equipment_ID)),ROW('2.2-Equipment input'!B8))))</f>
        <v>eq0019</v>
      </c>
      <c r="C117" s="76" t="str">
        <f>IF($B117="N/A","N/A",INDEX(Equipment_name[],MATCH(B117,equipment_ID,0)))</f>
        <v>Mobile fly harvester with attracting light</v>
      </c>
      <c r="D117" s="277">
        <f t="shared" si="10"/>
        <v>12.599999999999998</v>
      </c>
      <c r="E117" s="94">
        <f t="shared" si="11"/>
        <v>2</v>
      </c>
      <c r="F117" s="137">
        <f>IF($B117="N/A","",IF(INDEX(Equipment_Utility_Decision,MATCH($B117,equipment_ID,0))='4.2-Settings Internal'!$B$32,INDEX(Equipment_Utility_Run,MATCH($B117,equipment_ID,0)),""))</f>
        <v>2</v>
      </c>
      <c r="G117" s="137">
        <f>IF($B117="N/A","",IF(INDEX(Equipment_Utility_Decision,MATCH($B117,equipment_ID,0))='4.2-Settings Internal'!$B$32,INDEX(Equipment_Utility_Water,MATCH($B117,equipment_ID,0)),""))</f>
        <v>0</v>
      </c>
      <c r="H117" s="277">
        <f t="shared" si="12"/>
        <v>0</v>
      </c>
      <c r="I117" s="137">
        <f>IF($B117="N/A","",IF(INDEX(Equipment_Utility_Decision,MATCH($B117,equipment_ID,0))='4.2-Settings Internal'!$B$32,INDEX(Equipment_Utility_Electricity,MATCH($B117,equipment_ID,0)),""))</f>
        <v>0.5</v>
      </c>
      <c r="J117" s="277">
        <f t="shared" si="13"/>
        <v>0.21</v>
      </c>
      <c r="K117" s="137">
        <f>IF($B117="N/A","",IF(INDEX(Equipment_Utility_Decision,MATCH($B117,equipment_ID,0))=INDEX(Yes_No_Choice[],1),INDEX(Equipment_Utility_Fuel,MATCH($B117,equipment_ID,0)),""))</f>
        <v>0</v>
      </c>
      <c r="L117" s="277" t="str">
        <f t="shared" si="14"/>
        <v/>
      </c>
      <c r="M117" s="95">
        <f t="shared" si="15"/>
        <v>1</v>
      </c>
      <c r="N117" s="277">
        <f t="shared" si="17"/>
        <v>25.199999999999996</v>
      </c>
      <c r="O117" s="137">
        <f t="shared" si="16"/>
        <v>1.125</v>
      </c>
      <c r="V117" s="12" t="s">
        <v>422</v>
      </c>
      <c r="W117" s="12" t="s">
        <v>427</v>
      </c>
    </row>
    <row r="118" spans="2:30">
      <c r="B118" s="76" t="str">
        <f t="array" ref="B118">IF(COUNTIFS(INDEX(Equipment_Allocation_New,0,MATCH($C$107,Unit_codes,0)),"&gt;0")&lt;ROWS('2.2-Equipment input'!$X$8:X16),"N/A",INDEX('2.2-Equipment input'!B:B,SMALL(IF(INDEX(Equipment_Allocation_New,0,MATCH($C$107,Unit_codes,0))&gt;0,ROW(equipment_ID)),ROW('2.2-Equipment input'!B9))))</f>
        <v>eq0020</v>
      </c>
      <c r="C118" s="76" t="str">
        <f>IF($B118="N/A","N/A",INDEX(Equipment_name[],MATCH(B118,equipment_ID,0)))</f>
        <v>Oviposition cage frame</v>
      </c>
      <c r="D118" s="277">
        <f t="shared" si="10"/>
        <v>28</v>
      </c>
      <c r="E118" s="94">
        <f t="shared" si="11"/>
        <v>7</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12"/>
        <v/>
      </c>
      <c r="I118" s="137" t="str">
        <f>IF($B118="N/A","",IF(INDEX(Equipment_Utility_Decision,MATCH($B118,equipment_ID,0))='4.2-Settings Internal'!$B$32,INDEX(Equipment_Utility_Electricity,MATCH($B118,equipment_ID,0)),""))</f>
        <v/>
      </c>
      <c r="J118" s="277" t="str">
        <f t="shared" si="13"/>
        <v/>
      </c>
      <c r="K118" s="137" t="str">
        <f>IF($B118="N/A","",IF(INDEX(Equipment_Utility_Decision,MATCH($B118,equipment_ID,0))=INDEX(Yes_No_Choice[],1),INDEX(Equipment_Utility_Fuel,MATCH($B118,equipment_ID,0)),""))</f>
        <v/>
      </c>
      <c r="L118" s="277" t="str">
        <f t="shared" si="14"/>
        <v/>
      </c>
      <c r="M118" s="95">
        <f t="shared" si="15"/>
        <v>1</v>
      </c>
      <c r="N118" s="277">
        <f t="shared" si="17"/>
        <v>196</v>
      </c>
      <c r="O118" s="137" t="str">
        <f t="shared" si="16"/>
        <v/>
      </c>
      <c r="V118" s="12" t="s">
        <v>426</v>
      </c>
      <c r="W118" s="12" t="s">
        <v>425</v>
      </c>
    </row>
    <row r="119" spans="2:30">
      <c r="B119" s="76" t="str">
        <f t="array" ref="B119">IF(COUNTIFS(INDEX(Equipment_Allocation_New,0,MATCH($C$107,Unit_codes,0)),"&gt;0")&lt;ROWS('2.2-Equipment input'!$X$8:X17),"N/A",INDEX('2.2-Equipment input'!B:B,SMALL(IF(INDEX(Equipment_Allocation_New,0,MATCH($C$107,Unit_codes,0))&gt;0,ROW(equipment_ID)),ROW('2.2-Equipment input'!B10))))</f>
        <v>eq0023</v>
      </c>
      <c r="C119" s="76" t="str">
        <f>IF($B119="N/A","N/A",INDEX(Equipment_name[],MATCH(B119,equipment_ID,0)))</f>
        <v>Oviball holder</v>
      </c>
      <c r="D119" s="277">
        <f t="shared" si="10"/>
        <v>0.13999999999999999</v>
      </c>
      <c r="E119" s="94">
        <f t="shared" si="11"/>
        <v>1</v>
      </c>
      <c r="F119" s="137" t="str">
        <f>IF($B119="N/A","",IF(INDEX(Equipment_Utility_Decision,MATCH($B119,equipment_ID,0))='4.2-Settings Internal'!$B$32,INDEX(Equipment_Utility_Run,MATCH($B119,equipment_ID,0)),""))</f>
        <v/>
      </c>
      <c r="G119" s="137" t="str">
        <f>IF($B119="N/A","",IF(INDEX(Equipment_Utility_Decision,MATCH($B119,equipment_ID,0))='4.2-Settings Internal'!$B$32,INDEX(Equipment_Utility_Water,MATCH($B119,equipment_ID,0)),""))</f>
        <v/>
      </c>
      <c r="H119" s="277" t="str">
        <f t="shared" si="12"/>
        <v/>
      </c>
      <c r="I119" s="137" t="str">
        <f>IF($B119="N/A","",IF(INDEX(Equipment_Utility_Decision,MATCH($B119,equipment_ID,0))='4.2-Settings Internal'!$B$32,INDEX(Equipment_Utility_Electricity,MATCH($B119,equipment_ID,0)),""))</f>
        <v/>
      </c>
      <c r="J119" s="277" t="str">
        <f t="shared" si="13"/>
        <v/>
      </c>
      <c r="K119" s="137" t="str">
        <f>IF($B119="N/A","",IF(INDEX(Equipment_Utility_Decision,MATCH($B119,equipment_ID,0))=INDEX(Yes_No_Choice[],1),INDEX(Equipment_Utility_Fuel,MATCH($B119,equipment_ID,0)),""))</f>
        <v/>
      </c>
      <c r="L119" s="277" t="str">
        <f t="shared" si="14"/>
        <v/>
      </c>
      <c r="M119" s="95">
        <f t="shared" si="15"/>
        <v>0.5</v>
      </c>
      <c r="N119" s="277">
        <f t="shared" si="17"/>
        <v>6.9999999999999993E-2</v>
      </c>
      <c r="O119" s="137" t="str">
        <f t="shared" si="16"/>
        <v/>
      </c>
      <c r="W119" s="12" t="s">
        <v>424</v>
      </c>
      <c r="X119" s="12" t="s">
        <v>423</v>
      </c>
    </row>
    <row r="120" spans="2:30">
      <c r="B120" s="76" t="str">
        <f t="array" ref="B120">IF(COUNTIFS(INDEX(Equipment_Allocation_New,0,MATCH($C$107,Unit_codes,0)),"&gt;0")&lt;ROWS('2.2-Equipment input'!$X$8:X18),"N/A",INDEX('2.2-Equipment input'!B:B,SMALL(IF(INDEX(Equipment_Allocation_New,0,MATCH($C$107,Unit_codes,0))&gt;0,ROW(equipment_ID)),ROW('2.2-Equipment input'!B11))))</f>
        <v>eq0024</v>
      </c>
      <c r="C120" s="76" t="str">
        <f>IF($B120="N/A","N/A",INDEX(Equipment_name[],MATCH(B120,equipment_ID,0)))</f>
        <v>Egg media</v>
      </c>
      <c r="D120" s="277">
        <f t="shared" si="10"/>
        <v>0.13999999999999999</v>
      </c>
      <c r="E120" s="94">
        <f t="shared" si="11"/>
        <v>200</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12"/>
        <v/>
      </c>
      <c r="I120" s="137" t="str">
        <f>IF($B120="N/A","",IF(INDEX(Equipment_Utility_Decision,MATCH($B120,equipment_ID,0))='4.2-Settings Internal'!$B$32,INDEX(Equipment_Utility_Electricity,MATCH($B120,equipment_ID,0)),""))</f>
        <v/>
      </c>
      <c r="J120" s="277" t="str">
        <f t="shared" si="13"/>
        <v/>
      </c>
      <c r="K120" s="137" t="str">
        <f>IF($B120="N/A","",IF(INDEX(Equipment_Utility_Decision,MATCH($B120,equipment_ID,0))=INDEX(Yes_No_Choice[],1),INDEX(Equipment_Utility_Fuel,MATCH($B120,equipment_ID,0)),""))</f>
        <v/>
      </c>
      <c r="L120" s="277" t="str">
        <f t="shared" si="14"/>
        <v/>
      </c>
      <c r="M120" s="95">
        <f t="shared" si="15"/>
        <v>0.5</v>
      </c>
      <c r="N120" s="277">
        <f t="shared" si="17"/>
        <v>13.999999999999998</v>
      </c>
      <c r="O120" s="137" t="str">
        <f t="shared" si="16"/>
        <v/>
      </c>
      <c r="X120" s="12" t="s">
        <v>422</v>
      </c>
      <c r="Y120" s="12" t="s">
        <v>421</v>
      </c>
      <c r="Z120" s="12" t="s">
        <v>420</v>
      </c>
    </row>
    <row r="121" spans="2:30">
      <c r="B121" s="76" t="str">
        <f t="array" ref="B121">IF(COUNTIFS(INDEX(Equipment_Allocation_New,0,MATCH($C$107,Unit_codes,0)),"&gt;0")&lt;ROWS('2.2-Equipment input'!$X$8:X19),"N/A",INDEX('2.2-Equipment input'!B:B,SMALL(IF(INDEX(Equipment_Allocation_New,0,MATCH($C$107,Unit_codes,0))&gt;0,ROW(equipment_ID)),ROW('2.2-Equipment input'!B12))))</f>
        <v>eq0025</v>
      </c>
      <c r="C121" s="76" t="str">
        <f>IF($B121="N/A","N/A",INDEX(Equipment_name[],MATCH(B121,equipment_ID,0)))</f>
        <v>Working table</v>
      </c>
      <c r="D121" s="277">
        <f t="shared" si="10"/>
        <v>34.999999999999993</v>
      </c>
      <c r="E121" s="94">
        <f t="shared" si="11"/>
        <v>1</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95">
        <f t="shared" si="15"/>
        <v>0.5</v>
      </c>
      <c r="N121" s="277">
        <f t="shared" si="17"/>
        <v>17.499999999999996</v>
      </c>
      <c r="O121" s="137">
        <f t="shared" si="16"/>
        <v>0.48</v>
      </c>
      <c r="Y121" s="12" t="s">
        <v>419</v>
      </c>
      <c r="Z121" s="12" t="s">
        <v>418</v>
      </c>
      <c r="AD121" s="12">
        <f t="array" ref="AD121">ROW(equipment_ID)</f>
        <v>7</v>
      </c>
    </row>
    <row r="122" spans="2:30">
      <c r="B122" s="76" t="str">
        <f t="array" ref="B122">IF(COUNTIFS(INDEX(Equipment_Allocation_New,0,MATCH($C$107,Unit_codes,0)),"&gt;0")&lt;ROWS('2.2-Equipment input'!$X$8:X20),"N/A",INDEX('2.2-Equipment input'!B:B,SMALL(IF(INDEX(Equipment_Allocation_New,0,MATCH($C$107,Unit_codes,0))&gt;0,ROW(equipment_ID)),ROW('2.2-Equipment input'!B13))))</f>
        <v>eq0026</v>
      </c>
      <c r="C122" s="76" t="str">
        <f>IF($B122="N/A","N/A",INDEX(Equipment_name[],MATCH(B122,equipment_ID,0)))</f>
        <v>Nursery Larvero</v>
      </c>
      <c r="D122" s="277">
        <f t="shared" si="10"/>
        <v>0.7</v>
      </c>
      <c r="E122" s="94">
        <f t="shared" si="11"/>
        <v>68</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95">
        <f t="shared" si="15"/>
        <v>1</v>
      </c>
      <c r="N122" s="277">
        <f t="shared" si="17"/>
        <v>47.599999999999994</v>
      </c>
      <c r="O122" s="137" t="str">
        <f t="shared" si="16"/>
        <v/>
      </c>
      <c r="AD122" s="12">
        <v>2</v>
      </c>
    </row>
    <row r="123" spans="2:30">
      <c r="B123" s="76" t="str">
        <f t="array" ref="B123">IF(COUNTIFS(INDEX(Equipment_Allocation_New,0,MATCH($C$107,Unit_codes,0)),"&gt;0")&lt;ROWS('2.2-Equipment input'!$X$8:X21),"N/A",INDEX('2.2-Equipment input'!B:B,SMALL(IF(INDEX(Equipment_Allocation_New,0,MATCH($C$107,Unit_codes,0))&gt;0,ROW(equipment_ID)),ROW('2.2-Equipment input'!B14))))</f>
        <v>eq0028</v>
      </c>
      <c r="C123" s="76" t="str">
        <f>IF($B123="N/A","N/A",INDEX(Equipment_name[],MATCH(B123,equipment_ID,0)))</f>
        <v>Outer box</v>
      </c>
      <c r="D123" s="277">
        <f t="shared" si="10"/>
        <v>1.0499999999999998</v>
      </c>
      <c r="E123" s="94">
        <f t="shared" si="11"/>
        <v>68</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95">
        <f t="shared" si="15"/>
        <v>1</v>
      </c>
      <c r="N123" s="277">
        <f t="shared" si="17"/>
        <v>71.399999999999991</v>
      </c>
      <c r="O123" s="137" t="str">
        <f t="shared" si="16"/>
        <v/>
      </c>
      <c r="W123" s="12" t="e">
        <v>#NAME?</v>
      </c>
    </row>
    <row r="124" spans="2:30">
      <c r="B124" s="76" t="str">
        <f t="array" ref="B124">IF(COUNTIFS(INDEX(Equipment_Allocation_New,0,MATCH($C$107,Unit_codes,0)),"&gt;0")&lt;ROWS('2.2-Equipment input'!$X$8:X22),"N/A",INDEX('2.2-Equipment input'!B:B,SMALL(IF(INDEX(Equipment_Allocation_New,0,MATCH($C$107,Unit_codes,0))&gt;0,ROW(equipment_ID)),ROW('2.2-Equipment input'!B15))))</f>
        <v>eq0029</v>
      </c>
      <c r="C124" s="76" t="str">
        <f>IF($B124="N/A","N/A",INDEX(Equipment_name[],MATCH(B124,equipment_ID,0)))</f>
        <v>Mobile Larvero frame</v>
      </c>
      <c r="D124" s="277">
        <f t="shared" si="10"/>
        <v>20.999999999999996</v>
      </c>
      <c r="E124" s="94">
        <f t="shared" si="11"/>
        <v>12</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95">
        <f t="shared" si="15"/>
        <v>1</v>
      </c>
      <c r="N124" s="277">
        <f t="shared" si="17"/>
        <v>251.99999999999994</v>
      </c>
      <c r="O124" s="137" t="str">
        <f t="shared" si="16"/>
        <v/>
      </c>
      <c r="U124" s="12" t="e">
        <v>#NAME?</v>
      </c>
    </row>
    <row r="125" spans="2:30">
      <c r="B125" s="76" t="str">
        <f t="array" ref="B125">IF(COUNTIFS(INDEX(Equipment_Allocation_New,0,MATCH($C$107,Unit_codes,0)),"&gt;0")&lt;ROWS('2.2-Equipment input'!$X$8:X23),"N/A",INDEX('2.2-Equipment input'!B:B,SMALL(IF(INDEX(Equipment_Allocation_New,0,MATCH($C$107,Unit_codes,0))&gt;0,ROW(equipment_ID)),ROW('2.2-Equipment input'!B16))))</f>
        <v>eq0032</v>
      </c>
      <c r="C125" s="76" t="str">
        <f>IF($B125="N/A","N/A",INDEX(Equipment_name[],MATCH(B125,equipment_ID,0)))</f>
        <v>Measuring balance (nursery)</v>
      </c>
      <c r="D125" s="277">
        <f t="shared" si="10"/>
        <v>69.999999999999986</v>
      </c>
      <c r="E125" s="94">
        <f t="shared" si="11"/>
        <v>3</v>
      </c>
      <c r="F125" s="137">
        <f>IF($B125="N/A","",IF(INDEX(Equipment_Utility_Decision,MATCH($B125,equipment_ID,0))='4.2-Settings Internal'!$B$32,INDEX(Equipment_Utility_Run,MATCH($B125,equipment_ID,0)),""))</f>
        <v>0</v>
      </c>
      <c r="G125" s="137">
        <f>IF($B125="N/A","",IF(INDEX(Equipment_Utility_Decision,MATCH($B125,equipment_ID,0))='4.2-Settings Internal'!$B$32,INDEX(Equipment_Utility_Water,MATCH($B125,equipment_ID,0)),""))</f>
        <v>0</v>
      </c>
      <c r="H125" s="277">
        <f t="shared" si="12"/>
        <v>0</v>
      </c>
      <c r="I125" s="137">
        <f>IF($B125="N/A","",IF(INDEX(Equipment_Utility_Decision,MATCH($B125,equipment_ID,0))='4.2-Settings Internal'!$B$32,INDEX(Equipment_Utility_Electricity,MATCH($B125,equipment_ID,0)),""))</f>
        <v>0</v>
      </c>
      <c r="J125" s="277">
        <f t="shared" si="13"/>
        <v>0</v>
      </c>
      <c r="K125" s="137">
        <f>IF($B125="N/A","",IF(INDEX(Equipment_Utility_Decision,MATCH($B125,equipment_ID,0))=INDEX(Yes_No_Choice[],1),INDEX(Equipment_Utility_Fuel,MATCH($B125,equipment_ID,0)),""))</f>
        <v>0</v>
      </c>
      <c r="L125" s="277" t="str">
        <f t="shared" si="14"/>
        <v/>
      </c>
      <c r="M125" s="95">
        <f t="shared" si="15"/>
        <v>0.1</v>
      </c>
      <c r="N125" s="277">
        <f t="shared" si="17"/>
        <v>20.999999999999996</v>
      </c>
      <c r="O125" s="137" t="str">
        <f t="shared" si="16"/>
        <v/>
      </c>
    </row>
    <row r="126" spans="2:30">
      <c r="B126" s="76" t="str">
        <f t="array" ref="B126">IF(COUNTIFS(INDEX(Equipment_Allocation_New,0,MATCH($C$107,Unit_codes,0)),"&gt;0")&lt;ROWS('2.2-Equipment input'!$X$8:X24),"N/A",INDEX('2.2-Equipment input'!B:B,SMALL(IF(INDEX(Equipment_Allocation_New,0,MATCH($C$107,Unit_codes,0))&gt;0,ROW(equipment_ID)),ROW('2.2-Equipment input'!B17))))</f>
        <v>eq0033</v>
      </c>
      <c r="C126" s="76" t="str">
        <f>IF($B126="N/A","N/A",INDEX(Equipment_name[],MATCH(B126,equipment_ID,0)))</f>
        <v>Precision balance (lab)</v>
      </c>
      <c r="D126" s="277">
        <f t="shared" si="10"/>
        <v>41.999999999999993</v>
      </c>
      <c r="E126" s="94">
        <f t="shared" si="11"/>
        <v>3</v>
      </c>
      <c r="F126" s="137">
        <f>IF($B126="N/A","",IF(INDEX(Equipment_Utility_Decision,MATCH($B126,equipment_ID,0))='4.2-Settings Internal'!$B$32,INDEX(Equipment_Utility_Run,MATCH($B126,equipment_ID,0)),""))</f>
        <v>0</v>
      </c>
      <c r="G126" s="137">
        <f>IF($B126="N/A","",IF(INDEX(Equipment_Utility_Decision,MATCH($B126,equipment_ID,0))='4.2-Settings Internal'!$B$32,INDEX(Equipment_Utility_Water,MATCH($B126,equipment_ID,0)),""))</f>
        <v>0</v>
      </c>
      <c r="H126" s="277">
        <f t="shared" si="12"/>
        <v>0</v>
      </c>
      <c r="I126" s="137">
        <f>IF($B126="N/A","",IF(INDEX(Equipment_Utility_Decision,MATCH($B126,equipment_ID,0))='4.2-Settings Internal'!$B$32,INDEX(Equipment_Utility_Electricity,MATCH($B126,equipment_ID,0)),""))</f>
        <v>0</v>
      </c>
      <c r="J126" s="277">
        <f t="shared" si="13"/>
        <v>0</v>
      </c>
      <c r="K126" s="137">
        <f>IF($B126="N/A","",IF(INDEX(Equipment_Utility_Decision,MATCH($B126,equipment_ID,0))=INDEX(Yes_No_Choice[],1),INDEX(Equipment_Utility_Fuel,MATCH($B126,equipment_ID,0)),""))</f>
        <v>0</v>
      </c>
      <c r="L126" s="277" t="str">
        <f t="shared" si="14"/>
        <v/>
      </c>
      <c r="M126" s="95">
        <f t="shared" si="15"/>
        <v>0.5</v>
      </c>
      <c r="N126" s="277">
        <f t="shared" si="17"/>
        <v>62.999999999999986</v>
      </c>
      <c r="O126" s="137" t="str">
        <f t="shared" si="16"/>
        <v/>
      </c>
    </row>
    <row r="127" spans="2:30">
      <c r="B127" s="76" t="str">
        <f t="array" ref="B127">IF(COUNTIFS(INDEX(Equipment_Allocation_New,0,MATCH($C$107,Unit_codes,0)),"&gt;0")&lt;ROWS('2.2-Equipment input'!$X$8:X25),"N/A",INDEX('2.2-Equipment input'!B:B,SMALL(IF(INDEX(Equipment_Allocation_New,0,MATCH($C$107,Unit_codes,0))&gt;0,ROW(equipment_ID)),ROW('2.2-Equipment input'!B18))))</f>
        <v>eq0034</v>
      </c>
      <c r="C127" s="76" t="str">
        <f>IF($B127="N/A","N/A",INDEX(Equipment_name[],MATCH(B127,equipment_ID,0)))</f>
        <v>Washing machine</v>
      </c>
      <c r="D127" s="277">
        <f t="shared" si="10"/>
        <v>60.666666666666657</v>
      </c>
      <c r="E127" s="94">
        <f t="shared" si="11"/>
        <v>2</v>
      </c>
      <c r="F127" s="137">
        <f>IF($B127="N/A","",IF(INDEX(Equipment_Utility_Decision,MATCH($B127,equipment_ID,0))='4.2-Settings Internal'!$B$32,INDEX(Equipment_Utility_Run,MATCH($B127,equipment_ID,0)),""))</f>
        <v>5</v>
      </c>
      <c r="G127" s="137">
        <f>IF($B127="N/A","",IF(INDEX(Equipment_Utility_Decision,MATCH($B127,equipment_ID,0))='4.2-Settings Internal'!$B$32,INDEX(Equipment_Utility_Water,MATCH($B127,equipment_ID,0)),""))</f>
        <v>0</v>
      </c>
      <c r="H127" s="277">
        <f t="shared" si="12"/>
        <v>0</v>
      </c>
      <c r="I127" s="137">
        <f>IF($B127="N/A","",IF(INDEX(Equipment_Utility_Decision,MATCH($B127,equipment_ID,0))='4.2-Settings Internal'!$B$32,INDEX(Equipment_Utility_Electricity,MATCH($B127,equipment_ID,0)),""))</f>
        <v>1.7</v>
      </c>
      <c r="J127" s="277">
        <f t="shared" si="13"/>
        <v>1.7849999999999999</v>
      </c>
      <c r="K127" s="137">
        <f>IF($B127="N/A","",IF(INDEX(Equipment_Utility_Decision,MATCH($B127,equipment_ID,0))=INDEX(Yes_No_Choice[],1),INDEX(Equipment_Utility_Fuel,MATCH($B127,equipment_ID,0)),""))</f>
        <v>0</v>
      </c>
      <c r="L127" s="277" t="str">
        <f t="shared" si="14"/>
        <v/>
      </c>
      <c r="M127" s="95">
        <f t="shared" si="15"/>
        <v>1</v>
      </c>
      <c r="N127" s="277">
        <f t="shared" si="17"/>
        <v>121.33333333333331</v>
      </c>
      <c r="O127" s="137" t="str">
        <f t="shared" si="16"/>
        <v/>
      </c>
    </row>
    <row r="128" spans="2:30">
      <c r="B128" s="76" t="str">
        <f t="array" ref="B128">IF(COUNTIFS(INDEX(Equipment_Allocation_New,0,MATCH($C$107,Unit_codes,0)),"&gt;0")&lt;ROWS('2.2-Equipment input'!$X$8:X26),"N/A",INDEX('2.2-Equipment input'!B:B,SMALL(IF(INDEX(Equipment_Allocation_New,0,MATCH($C$107,Unit_codes,0))&gt;0,ROW(equipment_ID)),ROW('2.2-Equipment input'!B19))))</f>
        <v>eq0035</v>
      </c>
      <c r="C128" s="76" t="str">
        <f>IF($B128="N/A","N/A",INDEX(Equipment_name[],MATCH(B128,equipment_ID,0)))</f>
        <v>Mixer (compost)</v>
      </c>
      <c r="D128" s="277">
        <f t="shared" si="10"/>
        <v>112</v>
      </c>
      <c r="E128" s="94">
        <f t="shared" si="11"/>
        <v>1</v>
      </c>
      <c r="F128" s="137">
        <f>IF($B128="N/A","",IF(INDEX(Equipment_Utility_Decision,MATCH($B128,equipment_ID,0))='4.2-Settings Internal'!$B$32,INDEX(Equipment_Utility_Run,MATCH($B128,equipment_ID,0)),""))</f>
        <v>1.220703125</v>
      </c>
      <c r="G128" s="137">
        <f>IF($B128="N/A","",IF(INDEX(Equipment_Utility_Decision,MATCH($B128,equipment_ID,0))='4.2-Settings Internal'!$B$32,INDEX(Equipment_Utility_Water,MATCH($B128,equipment_ID,0)),""))</f>
        <v>0</v>
      </c>
      <c r="H128" s="277">
        <f t="shared" si="12"/>
        <v>0</v>
      </c>
      <c r="I128" s="137">
        <f>IF($B128="N/A","",IF(INDEX(Equipment_Utility_Decision,MATCH($B128,equipment_ID,0))='4.2-Settings Internal'!$B$32,INDEX(Equipment_Utility_Electricity,MATCH($B128,equipment_ID,0)),""))</f>
        <v>5.5</v>
      </c>
      <c r="J128" s="277">
        <f t="shared" si="13"/>
        <v>0.35247802734375</v>
      </c>
      <c r="K128" s="137">
        <f>IF($B128="N/A","",IF(INDEX(Equipment_Utility_Decision,MATCH($B128,equipment_ID,0))=INDEX(Yes_No_Choice[],1),INDEX(Equipment_Utility_Fuel,MATCH($B128,equipment_ID,0)),""))</f>
        <v>0</v>
      </c>
      <c r="L128" s="277" t="str">
        <f t="shared" si="14"/>
        <v/>
      </c>
      <c r="M128" s="95">
        <f t="shared" si="15"/>
        <v>0.5</v>
      </c>
      <c r="N128" s="277">
        <f t="shared" si="17"/>
        <v>56</v>
      </c>
      <c r="O128" s="137">
        <f t="shared" si="16"/>
        <v>2</v>
      </c>
    </row>
    <row r="129" spans="2:15">
      <c r="B129" s="76" t="str">
        <f t="array" ref="B129">IF(COUNTIFS(INDEX(Equipment_Allocation_New,0,MATCH($C$107,Unit_codes,0)),"&gt;0")&lt;ROWS('2.2-Equipment input'!$X$8:X27),"N/A",INDEX('2.2-Equipment input'!B:B,SMALL(IF(INDEX(Equipment_Allocation_New,0,MATCH($C$107,Unit_codes,0))&gt;0,ROW(equipment_ID)),ROW('2.2-Equipment input'!B20))))</f>
        <v>eq0036</v>
      </c>
      <c r="C129" s="76" t="str">
        <f>IF($B129="N/A","N/A",INDEX(Equipment_name[],MATCH(B129,equipment_ID,0)))</f>
        <v>Blower</v>
      </c>
      <c r="D129" s="277">
        <f t="shared" si="10"/>
        <v>0</v>
      </c>
      <c r="E129" s="94">
        <f t="shared" si="11"/>
        <v>19.898611111111109</v>
      </c>
      <c r="F129" s="137">
        <f>IF($B129="N/A","",IF(INDEX(Equipment_Utility_Decision,MATCH($B129,equipment_ID,0))='4.2-Settings Internal'!$B$32,INDEX(Equipment_Utility_Run,MATCH($B129,equipment_ID,0)),""))</f>
        <v>4</v>
      </c>
      <c r="G129" s="137">
        <f>IF($B129="N/A","",IF(INDEX(Equipment_Utility_Decision,MATCH($B129,equipment_ID,0))='4.2-Settings Internal'!$B$32,INDEX(Equipment_Utility_Water,MATCH($B129,equipment_ID,0)),""))</f>
        <v>0</v>
      </c>
      <c r="H129" s="277">
        <f t="shared" si="12"/>
        <v>0</v>
      </c>
      <c r="I129" s="137">
        <f>IF($B129="N/A","",IF(INDEX(Equipment_Utility_Decision,MATCH($B129,equipment_ID,0))='4.2-Settings Internal'!$B$32,INDEX(Equipment_Utility_Electricity,MATCH($B129,equipment_ID,0)),""))</f>
        <v>0.24</v>
      </c>
      <c r="J129" s="277">
        <f t="shared" si="13"/>
        <v>1.0028899999999998</v>
      </c>
      <c r="K129" s="137">
        <f>IF($B129="N/A","",IF(INDEX(Equipment_Utility_Decision,MATCH($B129,equipment_ID,0))=INDEX(Yes_No_Choice[],1),INDEX(Equipment_Utility_Fuel,MATCH($B129,equipment_ID,0)),""))</f>
        <v>0</v>
      </c>
      <c r="L129" s="277" t="str">
        <f t="shared" si="14"/>
        <v/>
      </c>
      <c r="M129" s="95">
        <f t="shared" si="15"/>
        <v>0.5</v>
      </c>
      <c r="N129" s="277">
        <f t="shared" si="17"/>
        <v>0</v>
      </c>
      <c r="O129" s="137" t="str">
        <f t="shared" si="16"/>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95" t="str">
        <f t="shared" si="15"/>
        <v/>
      </c>
      <c r="N130" s="277" t="str">
        <f t="shared" si="17"/>
        <v/>
      </c>
      <c r="O130" s="137" t="str">
        <f t="shared" si="16"/>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95" t="str">
        <f t="shared" si="15"/>
        <v/>
      </c>
      <c r="N131" s="277" t="str">
        <f t="shared" si="17"/>
        <v/>
      </c>
      <c r="O131" s="137" t="str">
        <f t="shared" si="16"/>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95" t="str">
        <f t="shared" si="15"/>
        <v/>
      </c>
      <c r="N132" s="277" t="str">
        <f t="shared" si="17"/>
        <v/>
      </c>
      <c r="O132" s="137" t="str">
        <f t="shared" si="16"/>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95" t="str">
        <f t="shared" si="15"/>
        <v/>
      </c>
      <c r="N133" s="277" t="str">
        <f t="shared" si="17"/>
        <v/>
      </c>
      <c r="O133" s="137" t="str">
        <f t="shared" si="16"/>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95" t="str">
        <f t="shared" si="15"/>
        <v/>
      </c>
      <c r="N134" s="277" t="str">
        <f t="shared" si="17"/>
        <v/>
      </c>
      <c r="O134" s="137" t="str">
        <f t="shared" si="16"/>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95" t="str">
        <f t="shared" si="15"/>
        <v/>
      </c>
      <c r="N135" s="277" t="str">
        <f t="shared" si="17"/>
        <v/>
      </c>
      <c r="O135" s="137" t="str">
        <f t="shared" si="16"/>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95" t="str">
        <f t="shared" si="15"/>
        <v/>
      </c>
      <c r="N136" s="277" t="str">
        <f t="shared" si="17"/>
        <v/>
      </c>
      <c r="O136" s="137" t="str">
        <f t="shared" si="16"/>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95" t="str">
        <f t="shared" si="15"/>
        <v/>
      </c>
      <c r="N137" s="277" t="str">
        <f t="shared" si="17"/>
        <v/>
      </c>
      <c r="O137" s="137" t="str">
        <f t="shared" si="16"/>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95" t="str">
        <f t="shared" si="15"/>
        <v/>
      </c>
      <c r="N138" s="277" t="str">
        <f t="shared" si="17"/>
        <v/>
      </c>
      <c r="O138" s="137" t="str">
        <f t="shared" si="16"/>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95" t="str">
        <f t="shared" si="15"/>
        <v/>
      </c>
      <c r="N139" s="277" t="str">
        <f t="shared" si="17"/>
        <v/>
      </c>
      <c r="O139" s="137" t="str">
        <f t="shared" si="16"/>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95" t="str">
        <f t="shared" si="15"/>
        <v/>
      </c>
      <c r="N140" s="277" t="str">
        <f t="shared" si="17"/>
        <v/>
      </c>
      <c r="O140" s="137" t="str">
        <f t="shared" si="16"/>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95" t="str">
        <f t="shared" si="15"/>
        <v/>
      </c>
      <c r="N141" s="277" t="str">
        <f t="shared" si="17"/>
        <v/>
      </c>
      <c r="O141" s="137" t="str">
        <f t="shared" si="16"/>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95" t="str">
        <f t="shared" si="15"/>
        <v/>
      </c>
      <c r="N142" s="277" t="str">
        <f t="shared" si="17"/>
        <v/>
      </c>
      <c r="O142" s="137" t="str">
        <f t="shared" si="16"/>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95" t="str">
        <f t="shared" si="15"/>
        <v/>
      </c>
      <c r="N143" s="277" t="str">
        <f t="shared" si="17"/>
        <v/>
      </c>
      <c r="O143" s="137" t="str">
        <f t="shared" si="16"/>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95" t="str">
        <f t="shared" si="15"/>
        <v/>
      </c>
      <c r="N144" s="277" t="str">
        <f t="shared" si="17"/>
        <v/>
      </c>
      <c r="O144" s="137" t="str">
        <f t="shared" si="16"/>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95" t="str">
        <f t="shared" si="15"/>
        <v/>
      </c>
      <c r="N145" s="277" t="str">
        <f t="shared" si="17"/>
        <v/>
      </c>
      <c r="O145" s="137" t="str">
        <f t="shared" si="16"/>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95" t="str">
        <f t="shared" si="15"/>
        <v/>
      </c>
      <c r="N146" s="277" t="str">
        <f t="shared" si="17"/>
        <v/>
      </c>
      <c r="O146" s="137" t="str">
        <f t="shared" si="16"/>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95" t="str">
        <f t="shared" si="15"/>
        <v/>
      </c>
      <c r="N147" s="277" t="str">
        <f t="shared" si="17"/>
        <v/>
      </c>
      <c r="O147" s="137" t="str">
        <f t="shared" si="16"/>
        <v/>
      </c>
    </row>
    <row r="148" spans="2:23" ht="33" customHeight="1">
      <c r="H148" s="38"/>
      <c r="K148" s="38"/>
      <c r="L148" s="38"/>
    </row>
    <row r="149" spans="2:23" ht="33" customHeight="1">
      <c r="G149" s="188" t="s">
        <v>620</v>
      </c>
      <c r="H149" s="288">
        <f>SUM(H152:H189)</f>
        <v>9973.25</v>
      </c>
      <c r="I149" s="288">
        <f t="shared" ref="I149:W149" si="18">SUM(I152:I189)</f>
        <v>1750</v>
      </c>
      <c r="J149" s="288">
        <f t="shared" si="18"/>
        <v>1750</v>
      </c>
      <c r="K149" s="288">
        <f t="shared" si="18"/>
        <v>2252.6</v>
      </c>
      <c r="L149" s="288">
        <f t="shared" si="18"/>
        <v>1750</v>
      </c>
      <c r="M149" s="288">
        <f t="shared" si="18"/>
        <v>9470.65</v>
      </c>
      <c r="N149" s="288">
        <f t="shared" si="18"/>
        <v>2252.6</v>
      </c>
      <c r="O149" s="288">
        <f t="shared" si="18"/>
        <v>1750</v>
      </c>
      <c r="P149" s="288">
        <f t="shared" si="18"/>
        <v>1750</v>
      </c>
      <c r="Q149" s="288">
        <f t="shared" si="18"/>
        <v>2252.6</v>
      </c>
      <c r="R149" s="288">
        <f t="shared" si="18"/>
        <v>9470.65</v>
      </c>
      <c r="S149" s="288">
        <f t="shared" si="18"/>
        <v>1750</v>
      </c>
      <c r="T149" s="288">
        <f t="shared" si="18"/>
        <v>2252.6</v>
      </c>
      <c r="U149" s="288">
        <f t="shared" si="18"/>
        <v>1750</v>
      </c>
      <c r="V149" s="288">
        <f t="shared" si="18"/>
        <v>1750</v>
      </c>
      <c r="W149" s="288">
        <f t="shared" si="18"/>
        <v>9973.25</v>
      </c>
    </row>
    <row r="150" spans="2:23">
      <c r="G150" s="88"/>
      <c r="H150" s="38"/>
      <c r="J150" s="88"/>
      <c r="L150" s="88"/>
      <c r="M150" s="88"/>
      <c r="N150" s="88"/>
    </row>
    <row r="151" spans="2:23" ht="31.5">
      <c r="B151" s="97" t="s">
        <v>84</v>
      </c>
      <c r="C151" s="97" t="s">
        <v>53</v>
      </c>
      <c r="D151" s="97" t="s">
        <v>52</v>
      </c>
      <c r="E151" s="184" t="s">
        <v>149</v>
      </c>
      <c r="F151" s="97" t="s">
        <v>50</v>
      </c>
      <c r="G151" s="97" t="s">
        <v>121</v>
      </c>
      <c r="H151" s="97" t="s">
        <v>617</v>
      </c>
      <c r="I151" s="97" t="s">
        <v>595</v>
      </c>
      <c r="J151" s="97" t="s">
        <v>596</v>
      </c>
      <c r="K151" s="97" t="s">
        <v>597</v>
      </c>
      <c r="L151" s="97" t="s">
        <v>598</v>
      </c>
      <c r="M151" s="97" t="s">
        <v>599</v>
      </c>
      <c r="N151" s="97" t="s">
        <v>600</v>
      </c>
      <c r="O151" s="97" t="s">
        <v>601</v>
      </c>
      <c r="P151" s="97" t="s">
        <v>602</v>
      </c>
      <c r="Q151" s="97" t="s">
        <v>603</v>
      </c>
      <c r="R151" s="97" t="s">
        <v>604</v>
      </c>
      <c r="S151" s="97" t="s">
        <v>605</v>
      </c>
      <c r="T151" s="97" t="s">
        <v>606</v>
      </c>
      <c r="U151" s="97" t="s">
        <v>607</v>
      </c>
      <c r="V151" s="97" t="s">
        <v>608</v>
      </c>
      <c r="W151" s="97"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eq0008</v>
      </c>
      <c r="C152" s="76" t="str">
        <f>IF($B152="N/A","N/A",INDEX(Equipment_name[],MATCH(B152,equipment_ID,0)))</f>
        <v>High pressure cleaner</v>
      </c>
      <c r="D152" s="277">
        <f t="shared" ref="D152:D189" si="19">IF($B152="N/A","N/A",INDEX(Equipment_Capital_Cost,MATCH($B152,equipment_ID,0)))</f>
        <v>630</v>
      </c>
      <c r="E152" s="94">
        <f t="shared" ref="E152:E189" si="20">IF($B152="N/A","N/A",INDEX(Equipment_Lifetime,MATCH($B152,equipment_ID,0)))</f>
        <v>3</v>
      </c>
      <c r="F152" s="94">
        <f t="shared" ref="F152:F189" si="21">IF($B152="N/A","N/A",INDEX(Equipment_Quantity_New,MATCH($B152,equipment_ID,0)))</f>
        <v>2</v>
      </c>
      <c r="G152" s="92">
        <f t="shared" ref="G152:G189" si="22">IF($B152="N/A","N/A",INDEX(Equipment_Allocation_New,MATCH($B152,equipment_ID,0),MATCH($C$107,Unit_codes,0)))</f>
        <v>0.08</v>
      </c>
      <c r="H152" s="277">
        <f>IFERROR(IF($B152="N/A","N/A",IF(MOD(COLUMNS(H$151:$H$151)-1,$E152)=0,$F152*$D152*$G152,)),)</f>
        <v>100.8</v>
      </c>
      <c r="I152" s="277">
        <f>IFERROR(IF($B152="N/A","N/A",IF(MOD(COLUMNS($H$151:I$151)-1,$E152)=0,$F152*$D152*$G152,)),)</f>
        <v>0</v>
      </c>
      <c r="J152" s="277">
        <f>IFERROR(IF($B152="N/A","N/A",IF(MOD(COLUMNS($H$151:J$151)-1,$E152)=0,$F152*$D152*$G152,)),)</f>
        <v>0</v>
      </c>
      <c r="K152" s="277">
        <f>IFERROR(IF($B152="N/A","N/A",IF(MOD(COLUMNS($H$151:K$151)-1,$E152)=0,$F152*$D152*$G152,)),)</f>
        <v>100.8</v>
      </c>
      <c r="L152" s="277">
        <f>IFERROR(IF($B152="N/A","N/A",IF(MOD(COLUMNS($H$151:L$151)-1,$E152)=0,$F152*$D152*$G152,)),)</f>
        <v>0</v>
      </c>
      <c r="M152" s="277">
        <f>IFERROR(IF($B152="N/A","N/A",IF(MOD(COLUMNS($H$151:M$151)-1,$E152)=0,$F152*$D152*$G152,)),)</f>
        <v>0</v>
      </c>
      <c r="N152" s="277">
        <f>IFERROR(IF($B152="N/A","N/A",IF(MOD(COLUMNS($H$151:N$151)-1,$E152)=0,$F152*$D152*$G152,)),)</f>
        <v>100.8</v>
      </c>
      <c r="O152" s="277">
        <f>IFERROR(IF($B152="N/A","N/A",IF(MOD(COLUMNS($H$151:O$151)-1,$E152)=0,$F152*$D152*$G152,)),)</f>
        <v>0</v>
      </c>
      <c r="P152" s="277">
        <f>IFERROR(IF($B152="N/A","N/A",IF(MOD(COLUMNS($H$151:P$151)-1,$E152)=0,$F152*$D152*$G152,)),)</f>
        <v>0</v>
      </c>
      <c r="Q152" s="277">
        <f>IFERROR(IF($B152="N/A","N/A",IF(MOD(COLUMNS($H$151:Q$151)-1,$E152)=0,$F152*$D152*$G152,)),)</f>
        <v>100.8</v>
      </c>
      <c r="R152" s="277">
        <f>IFERROR(IF($B152="N/A","N/A",IF(MOD(COLUMNS($H$151:R$151)-1,$E152)=0,$F152*$D152*$G152,)),)</f>
        <v>0</v>
      </c>
      <c r="S152" s="277">
        <f>IFERROR(IF($B152="N/A","N/A",IF(MOD(COLUMNS($H$151:S$151)-1,$E152)=0,$F152*$D152*$G152,)),)</f>
        <v>0</v>
      </c>
      <c r="T152" s="277">
        <f>IFERROR(IF($B152="N/A","N/A",IF(MOD(COLUMNS($H$151:T$151)-1,$E152)=0,$F152*$D152*$G152,)),)</f>
        <v>100.8</v>
      </c>
      <c r="U152" s="277">
        <f>IFERROR(IF($B152="N/A","N/A",IF(MOD(COLUMNS($H$151:U$151)-1,$E152)=0,$F152*$D152*$G152,)),)</f>
        <v>0</v>
      </c>
      <c r="V152" s="277">
        <f>IFERROR(IF($B152="N/A","N/A",IF(MOD(COLUMNS($H$151:V$151)-1,$E152)=0,$F152*$D152*$G152,)),)</f>
        <v>0</v>
      </c>
      <c r="W152" s="277">
        <f>IFERROR(IF($B152="N/A","N/A",IF(MOD(COLUMNS($H$151:W$151)-1,$E152)=0,$F152*$D152*$G152,)),)</f>
        <v>100.8</v>
      </c>
    </row>
    <row r="153" spans="2:23">
      <c r="B153" s="76" t="str">
        <f t="array" ref="B153">IF(COUNTIFS(INDEX(Equipment_Allocation_New,0,MATCH($C$107,Unit_codes,0)),"&gt;0")&lt;ROWS('2.2-Equipment input'!$X$8:$X9),"N/A",INDEX('2.2-Equipment input'!B:B,SMALL(IF(INDEX(Equipment_Allocation_New,0,MATCH($C$107,Unit_codes,0))&gt;0,ROW(equipment_ID)),ROW('2.2-Equipment input'!B2))))</f>
        <v>eq0013</v>
      </c>
      <c r="C153" s="76" t="str">
        <f>IF($B153="N/A","N/A",INDEX(Equipment_name[],MATCH(B153,equipment_ID,0)))</f>
        <v xml:space="preserve">Pupation crates </v>
      </c>
      <c r="D153" s="277">
        <f t="shared" si="19"/>
        <v>4.8999999999999995</v>
      </c>
      <c r="E153" s="94">
        <f t="shared" si="20"/>
        <v>5</v>
      </c>
      <c r="F153" s="94">
        <f t="shared" si="21"/>
        <v>282</v>
      </c>
      <c r="G153" s="92">
        <f t="shared" si="22"/>
        <v>1</v>
      </c>
      <c r="H153" s="277">
        <f>IFERROR(IF($B153="N/A","N/A",IF(MOD(COLUMNS(H$151:$H$151)-1,$E153)=0,$F153*$D153*$G153,)),)</f>
        <v>1381.8</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1381.8</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1381.8</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1381.8</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eq0014</v>
      </c>
      <c r="C154" s="76" t="str">
        <f>IF($B154="N/A","N/A",INDEX(Equipment_name[],MATCH(B154,equipment_ID,0)))</f>
        <v>Pupation cage (Dark cage)</v>
      </c>
      <c r="D154" s="277">
        <f t="shared" si="19"/>
        <v>70</v>
      </c>
      <c r="E154" s="94">
        <f t="shared" si="20"/>
        <v>1</v>
      </c>
      <c r="F154" s="94">
        <f t="shared" si="21"/>
        <v>18</v>
      </c>
      <c r="G154" s="92">
        <f t="shared" si="22"/>
        <v>1</v>
      </c>
      <c r="H154" s="277">
        <f>IFERROR(IF($B154="N/A","N/A",IF(MOD(COLUMNS(H$151:$H$151)-1,$E154)=0,$F154*$D154*$G154,)),)</f>
        <v>1260</v>
      </c>
      <c r="I154" s="277">
        <f>IFERROR(IF($B154="N/A","N/A",IF(MOD(COLUMNS($H$151:I$151)-1,$E154)=0,$F154*$D154*$G154,)),)</f>
        <v>1260</v>
      </c>
      <c r="J154" s="277">
        <f>IFERROR(IF($B154="N/A","N/A",IF(MOD(COLUMNS($H$151:J$151)-1,$E154)=0,$F154*$D154*$G154,)),)</f>
        <v>1260</v>
      </c>
      <c r="K154" s="277">
        <f>IFERROR(IF($B154="N/A","N/A",IF(MOD(COLUMNS($H$151:K$151)-1,$E154)=0,$F154*$D154*$G154,)),)</f>
        <v>1260</v>
      </c>
      <c r="L154" s="277">
        <f>IFERROR(IF($B154="N/A","N/A",IF(MOD(COLUMNS($H$151:L$151)-1,$E154)=0,$F154*$D154*$G154,)),)</f>
        <v>1260</v>
      </c>
      <c r="M154" s="277">
        <f>IFERROR(IF($B154="N/A","N/A",IF(MOD(COLUMNS($H$151:M$151)-1,$E154)=0,$F154*$D154*$G154,)),)</f>
        <v>1260</v>
      </c>
      <c r="N154" s="277">
        <f>IFERROR(IF($B154="N/A","N/A",IF(MOD(COLUMNS($H$151:N$151)-1,$E154)=0,$F154*$D154*$G154,)),)</f>
        <v>1260</v>
      </c>
      <c r="O154" s="277">
        <f>IFERROR(IF($B154="N/A","N/A",IF(MOD(COLUMNS($H$151:O$151)-1,$E154)=0,$F154*$D154*$G154,)),)</f>
        <v>1260</v>
      </c>
      <c r="P154" s="277">
        <f>IFERROR(IF($B154="N/A","N/A",IF(MOD(COLUMNS($H$151:P$151)-1,$E154)=0,$F154*$D154*$G154,)),)</f>
        <v>1260</v>
      </c>
      <c r="Q154" s="277">
        <f>IFERROR(IF($B154="N/A","N/A",IF(MOD(COLUMNS($H$151:Q$151)-1,$E154)=0,$F154*$D154*$G154,)),)</f>
        <v>1260</v>
      </c>
      <c r="R154" s="277">
        <f>IFERROR(IF($B154="N/A","N/A",IF(MOD(COLUMNS($H$151:R$151)-1,$E154)=0,$F154*$D154*$G154,)),)</f>
        <v>1260</v>
      </c>
      <c r="S154" s="277">
        <f>IFERROR(IF($B154="N/A","N/A",IF(MOD(COLUMNS($H$151:S$151)-1,$E154)=0,$F154*$D154*$G154,)),)</f>
        <v>1260</v>
      </c>
      <c r="T154" s="277">
        <f>IFERROR(IF($B154="N/A","N/A",IF(MOD(COLUMNS($H$151:T$151)-1,$E154)=0,$F154*$D154*$G154,)),)</f>
        <v>1260</v>
      </c>
      <c r="U154" s="277">
        <f>IFERROR(IF($B154="N/A","N/A",IF(MOD(COLUMNS($H$151:U$151)-1,$E154)=0,$F154*$D154*$G154,)),)</f>
        <v>1260</v>
      </c>
      <c r="V154" s="277">
        <f>IFERROR(IF($B154="N/A","N/A",IF(MOD(COLUMNS($H$151:V$151)-1,$E154)=0,$F154*$D154*$G154,)),)</f>
        <v>1260</v>
      </c>
      <c r="W154" s="277">
        <f>IFERROR(IF($B154="N/A","N/A",IF(MOD(COLUMNS($H$151:W$151)-1,$E154)=0,$F154*$D154*$G154,)),)</f>
        <v>1260</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eq0015</v>
      </c>
      <c r="C155" s="76" t="str">
        <f>IF($B155="N/A","N/A",INDEX(Equipment_name[],MATCH(B155,equipment_ID,0)))</f>
        <v>Pupation cage frame</v>
      </c>
      <c r="D155" s="277">
        <f t="shared" si="19"/>
        <v>140</v>
      </c>
      <c r="E155" s="94">
        <f t="shared" si="20"/>
        <v>5</v>
      </c>
      <c r="F155" s="94">
        <f t="shared" si="21"/>
        <v>18</v>
      </c>
      <c r="G155" s="92">
        <f t="shared" si="22"/>
        <v>1</v>
      </c>
      <c r="H155" s="277">
        <f>IFERROR(IF($B155="N/A","N/A",IF(MOD(COLUMNS(H$151:$H$151)-1,$E155)=0,$F155*$D155*$G155,)),)</f>
        <v>2520</v>
      </c>
      <c r="I155" s="277">
        <f>IFERROR(IF($B155="N/A","N/A",IF(MOD(COLUMNS($H$151:I$151)-1,$E155)=0,$F155*$D155*$G155,)),)</f>
        <v>0</v>
      </c>
      <c r="J155" s="277">
        <f>IFERROR(IF($B155="N/A","N/A",IF(MOD(COLUMNS($H$151:J$151)-1,$E155)=0,$F155*$D155*$G155,)),)</f>
        <v>0</v>
      </c>
      <c r="K155" s="277">
        <f>IFERROR(IF($B155="N/A","N/A",IF(MOD(COLUMNS($H$151:K$151)-1,$E155)=0,$F155*$D155*$G155,)),)</f>
        <v>0</v>
      </c>
      <c r="L155" s="277">
        <f>IFERROR(IF($B155="N/A","N/A",IF(MOD(COLUMNS($H$151:L$151)-1,$E155)=0,$F155*$D155*$G155,)),)</f>
        <v>0</v>
      </c>
      <c r="M155" s="277">
        <f>IFERROR(IF($B155="N/A","N/A",IF(MOD(COLUMNS($H$151:M$151)-1,$E155)=0,$F155*$D155*$G155,)),)</f>
        <v>2520</v>
      </c>
      <c r="N155" s="277">
        <f>IFERROR(IF($B155="N/A","N/A",IF(MOD(COLUMNS($H$151:N$151)-1,$E155)=0,$F155*$D155*$G155,)),)</f>
        <v>0</v>
      </c>
      <c r="O155" s="277">
        <f>IFERROR(IF($B155="N/A","N/A",IF(MOD(COLUMNS($H$151:O$151)-1,$E155)=0,$F155*$D155*$G155,)),)</f>
        <v>0</v>
      </c>
      <c r="P155" s="277">
        <f>IFERROR(IF($B155="N/A","N/A",IF(MOD(COLUMNS($H$151:P$151)-1,$E155)=0,$F155*$D155*$G155,)),)</f>
        <v>0</v>
      </c>
      <c r="Q155" s="277">
        <f>IFERROR(IF($B155="N/A","N/A",IF(MOD(COLUMNS($H$151:Q$151)-1,$E155)=0,$F155*$D155*$G155,)),)</f>
        <v>0</v>
      </c>
      <c r="R155" s="277">
        <f>IFERROR(IF($B155="N/A","N/A",IF(MOD(COLUMNS($H$151:R$151)-1,$E155)=0,$F155*$D155*$G155,)),)</f>
        <v>2520</v>
      </c>
      <c r="S155" s="277">
        <f>IFERROR(IF($B155="N/A","N/A",IF(MOD(COLUMNS($H$151:S$151)-1,$E155)=0,$F155*$D155*$G155,)),)</f>
        <v>0</v>
      </c>
      <c r="T155" s="277">
        <f>IFERROR(IF($B155="N/A","N/A",IF(MOD(COLUMNS($H$151:T$151)-1,$E155)=0,$F155*$D155*$G155,)),)</f>
        <v>0</v>
      </c>
      <c r="U155" s="277">
        <f>IFERROR(IF($B155="N/A","N/A",IF(MOD(COLUMNS($H$151:U$151)-1,$E155)=0,$F155*$D155*$G155,)),)</f>
        <v>0</v>
      </c>
      <c r="V155" s="277">
        <f>IFERROR(IF($B155="N/A","N/A",IF(MOD(COLUMNS($H$151:V$151)-1,$E155)=0,$F155*$D155*$G155,)),)</f>
        <v>0</v>
      </c>
      <c r="W155" s="277">
        <f>IFERROR(IF($B155="N/A","N/A",IF(MOD(COLUMNS($H$151:W$151)-1,$E155)=0,$F155*$D155*$G155,)),)</f>
        <v>2520</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eq0016</v>
      </c>
      <c r="C156" s="76" t="str">
        <f>IF($B156="N/A","N/A",INDEX(Equipment_name[],MATCH(B156,equipment_ID,0)))</f>
        <v>Oviposition cage (Love cage)</v>
      </c>
      <c r="D156" s="277">
        <f t="shared" si="19"/>
        <v>24.499999999999996</v>
      </c>
      <c r="E156" s="94">
        <f t="shared" si="20"/>
        <v>1</v>
      </c>
      <c r="F156" s="94">
        <f t="shared" si="21"/>
        <v>20</v>
      </c>
      <c r="G156" s="92">
        <f t="shared" si="22"/>
        <v>1</v>
      </c>
      <c r="H156" s="277">
        <f>IFERROR(IF($B156="N/A","N/A",IF(MOD(COLUMNS(H$151:$H$151)-1,$E156)=0,$F156*$D156*$G156,)),)</f>
        <v>489.99999999999994</v>
      </c>
      <c r="I156" s="277">
        <f>IFERROR(IF($B156="N/A","N/A",IF(MOD(COLUMNS($H$151:I$151)-1,$E156)=0,$F156*$D156*$G156,)),)</f>
        <v>489.99999999999994</v>
      </c>
      <c r="J156" s="277">
        <f>IFERROR(IF($B156="N/A","N/A",IF(MOD(COLUMNS($H$151:J$151)-1,$E156)=0,$F156*$D156*$G156,)),)</f>
        <v>489.99999999999994</v>
      </c>
      <c r="K156" s="277">
        <f>IFERROR(IF($B156="N/A","N/A",IF(MOD(COLUMNS($H$151:K$151)-1,$E156)=0,$F156*$D156*$G156,)),)</f>
        <v>489.99999999999994</v>
      </c>
      <c r="L156" s="277">
        <f>IFERROR(IF($B156="N/A","N/A",IF(MOD(COLUMNS($H$151:L$151)-1,$E156)=0,$F156*$D156*$G156,)),)</f>
        <v>489.99999999999994</v>
      </c>
      <c r="M156" s="277">
        <f>IFERROR(IF($B156="N/A","N/A",IF(MOD(COLUMNS($H$151:M$151)-1,$E156)=0,$F156*$D156*$G156,)),)</f>
        <v>489.99999999999994</v>
      </c>
      <c r="N156" s="277">
        <f>IFERROR(IF($B156="N/A","N/A",IF(MOD(COLUMNS($H$151:N$151)-1,$E156)=0,$F156*$D156*$G156,)),)</f>
        <v>489.99999999999994</v>
      </c>
      <c r="O156" s="277">
        <f>IFERROR(IF($B156="N/A","N/A",IF(MOD(COLUMNS($H$151:O$151)-1,$E156)=0,$F156*$D156*$G156,)),)</f>
        <v>489.99999999999994</v>
      </c>
      <c r="P156" s="277">
        <f>IFERROR(IF($B156="N/A","N/A",IF(MOD(COLUMNS($H$151:P$151)-1,$E156)=0,$F156*$D156*$G156,)),)</f>
        <v>489.99999999999994</v>
      </c>
      <c r="Q156" s="277">
        <f>IFERROR(IF($B156="N/A","N/A",IF(MOD(COLUMNS($H$151:Q$151)-1,$E156)=0,$F156*$D156*$G156,)),)</f>
        <v>489.99999999999994</v>
      </c>
      <c r="R156" s="277">
        <f>IFERROR(IF($B156="N/A","N/A",IF(MOD(COLUMNS($H$151:R$151)-1,$E156)=0,$F156*$D156*$G156,)),)</f>
        <v>489.99999999999994</v>
      </c>
      <c r="S156" s="277">
        <f>IFERROR(IF($B156="N/A","N/A",IF(MOD(COLUMNS($H$151:S$151)-1,$E156)=0,$F156*$D156*$G156,)),)</f>
        <v>489.99999999999994</v>
      </c>
      <c r="T156" s="277">
        <f>IFERROR(IF($B156="N/A","N/A",IF(MOD(COLUMNS($H$151:T$151)-1,$E156)=0,$F156*$D156*$G156,)),)</f>
        <v>489.99999999999994</v>
      </c>
      <c r="U156" s="277">
        <f>IFERROR(IF($B156="N/A","N/A",IF(MOD(COLUMNS($H$151:U$151)-1,$E156)=0,$F156*$D156*$G156,)),)</f>
        <v>489.99999999999994</v>
      </c>
      <c r="V156" s="277">
        <f>IFERROR(IF($B156="N/A","N/A",IF(MOD(COLUMNS($H$151:V$151)-1,$E156)=0,$F156*$D156*$G156,)),)</f>
        <v>489.99999999999994</v>
      </c>
      <c r="W156" s="277">
        <f>IFERROR(IF($B156="N/A","N/A",IF(MOD(COLUMNS($H$151:W$151)-1,$E156)=0,$F156*$D156*$G156,)),)</f>
        <v>489.99999999999994</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eq0017</v>
      </c>
      <c r="C157" s="76" t="str">
        <f>IF($B157="N/A","N/A",INDEX(Equipment_name[],MATCH(B157,equipment_ID,0)))</f>
        <v>Attractant container</v>
      </c>
      <c r="D157" s="277">
        <f t="shared" si="19"/>
        <v>0.13999999999999999</v>
      </c>
      <c r="E157" s="94">
        <f t="shared" si="20"/>
        <v>3</v>
      </c>
      <c r="F157" s="94">
        <f t="shared" si="21"/>
        <v>20</v>
      </c>
      <c r="G157" s="92">
        <f t="shared" si="22"/>
        <v>1</v>
      </c>
      <c r="H157" s="277">
        <f>IFERROR(IF($B157="N/A","N/A",IF(MOD(COLUMNS(H$151:$H$151)-1,$E157)=0,$F157*$D157*$G157,)),)</f>
        <v>2.8</v>
      </c>
      <c r="I157" s="277">
        <f>IFERROR(IF($B157="N/A","N/A",IF(MOD(COLUMNS($H$151:I$151)-1,$E157)=0,$F157*$D157*$G157,)),)</f>
        <v>0</v>
      </c>
      <c r="J157" s="277">
        <f>IFERROR(IF($B157="N/A","N/A",IF(MOD(COLUMNS($H$151:J$151)-1,$E157)=0,$F157*$D157*$G157,)),)</f>
        <v>0</v>
      </c>
      <c r="K157" s="277">
        <f>IFERROR(IF($B157="N/A","N/A",IF(MOD(COLUMNS($H$151:K$151)-1,$E157)=0,$F157*$D157*$G157,)),)</f>
        <v>2.8</v>
      </c>
      <c r="L157" s="277">
        <f>IFERROR(IF($B157="N/A","N/A",IF(MOD(COLUMNS($H$151:L$151)-1,$E157)=0,$F157*$D157*$G157,)),)</f>
        <v>0</v>
      </c>
      <c r="M157" s="277">
        <f>IFERROR(IF($B157="N/A","N/A",IF(MOD(COLUMNS($H$151:M$151)-1,$E157)=0,$F157*$D157*$G157,)),)</f>
        <v>0</v>
      </c>
      <c r="N157" s="277">
        <f>IFERROR(IF($B157="N/A","N/A",IF(MOD(COLUMNS($H$151:N$151)-1,$E157)=0,$F157*$D157*$G157,)),)</f>
        <v>2.8</v>
      </c>
      <c r="O157" s="277">
        <f>IFERROR(IF($B157="N/A","N/A",IF(MOD(COLUMNS($H$151:O$151)-1,$E157)=0,$F157*$D157*$G157,)),)</f>
        <v>0</v>
      </c>
      <c r="P157" s="277">
        <f>IFERROR(IF($B157="N/A","N/A",IF(MOD(COLUMNS($H$151:P$151)-1,$E157)=0,$F157*$D157*$G157,)),)</f>
        <v>0</v>
      </c>
      <c r="Q157" s="277">
        <f>IFERROR(IF($B157="N/A","N/A",IF(MOD(COLUMNS($H$151:Q$151)-1,$E157)=0,$F157*$D157*$G157,)),)</f>
        <v>2.8</v>
      </c>
      <c r="R157" s="277">
        <f>IFERROR(IF($B157="N/A","N/A",IF(MOD(COLUMNS($H$151:R$151)-1,$E157)=0,$F157*$D157*$G157,)),)</f>
        <v>0</v>
      </c>
      <c r="S157" s="277">
        <f>IFERROR(IF($B157="N/A","N/A",IF(MOD(COLUMNS($H$151:S$151)-1,$E157)=0,$F157*$D157*$G157,)),)</f>
        <v>0</v>
      </c>
      <c r="T157" s="277">
        <f>IFERROR(IF($B157="N/A","N/A",IF(MOD(COLUMNS($H$151:T$151)-1,$E157)=0,$F157*$D157*$G157,)),)</f>
        <v>2.8</v>
      </c>
      <c r="U157" s="277">
        <f>IFERROR(IF($B157="N/A","N/A",IF(MOD(COLUMNS($H$151:U$151)-1,$E157)=0,$F157*$D157*$G157,)),)</f>
        <v>0</v>
      </c>
      <c r="V157" s="277">
        <f>IFERROR(IF($B157="N/A","N/A",IF(MOD(COLUMNS($H$151:V$151)-1,$E157)=0,$F157*$D157*$G157,)),)</f>
        <v>0</v>
      </c>
      <c r="W157" s="277">
        <f>IFERROR(IF($B157="N/A","N/A",IF(MOD(COLUMNS($H$151:W$151)-1,$E157)=0,$F157*$D157*$G157,)),)</f>
        <v>2.8</v>
      </c>
    </row>
    <row r="158" spans="2:23">
      <c r="B158" s="76" t="str">
        <f t="array" ref="B158">IF(COUNTIFS(INDEX(Equipment_Allocation_New,0,MATCH($C$107,Unit_codes,0)),"&gt;0")&lt;ROWS('2.2-Equipment input'!$X$8:$X14),"N/A",INDEX('2.2-Equipment input'!B:B,SMALL(IF(INDEX(Equipment_Allocation_New,0,MATCH($C$107,Unit_codes,0))&gt;0,ROW(equipment_ID)),ROW('2.2-Equipment input'!B7))))</f>
        <v>eq0018</v>
      </c>
      <c r="C158" s="76" t="str">
        <f>IF($B158="N/A","N/A",INDEX(Equipment_name[],MATCH(B158,equipment_ID,0)))</f>
        <v>Shade box</v>
      </c>
      <c r="D158" s="277">
        <f t="shared" si="19"/>
        <v>1.7499999999999998</v>
      </c>
      <c r="E158" s="94">
        <f t="shared" si="20"/>
        <v>3</v>
      </c>
      <c r="F158" s="94">
        <f t="shared" si="21"/>
        <v>20</v>
      </c>
      <c r="G158" s="92">
        <f t="shared" si="22"/>
        <v>1</v>
      </c>
      <c r="H158" s="277">
        <f>IFERROR(IF($B158="N/A","N/A",IF(MOD(COLUMNS(H$151:$H$151)-1,$E158)=0,$F158*$D158*$G158,)),)</f>
        <v>34.999999999999993</v>
      </c>
      <c r="I158" s="277">
        <f>IFERROR(IF($B158="N/A","N/A",IF(MOD(COLUMNS($H$151:I$151)-1,$E158)=0,$F158*$D158*$G158,)),)</f>
        <v>0</v>
      </c>
      <c r="J158" s="277">
        <f>IFERROR(IF($B158="N/A","N/A",IF(MOD(COLUMNS($H$151:J$151)-1,$E158)=0,$F158*$D158*$G158,)),)</f>
        <v>0</v>
      </c>
      <c r="K158" s="277">
        <f>IFERROR(IF($B158="N/A","N/A",IF(MOD(COLUMNS($H$151:K$151)-1,$E158)=0,$F158*$D158*$G158,)),)</f>
        <v>34.999999999999993</v>
      </c>
      <c r="L158" s="277">
        <f>IFERROR(IF($B158="N/A","N/A",IF(MOD(COLUMNS($H$151:L$151)-1,$E158)=0,$F158*$D158*$G158,)),)</f>
        <v>0</v>
      </c>
      <c r="M158" s="277">
        <f>IFERROR(IF($B158="N/A","N/A",IF(MOD(COLUMNS($H$151:M$151)-1,$E158)=0,$F158*$D158*$G158,)),)</f>
        <v>0</v>
      </c>
      <c r="N158" s="277">
        <f>IFERROR(IF($B158="N/A","N/A",IF(MOD(COLUMNS($H$151:N$151)-1,$E158)=0,$F158*$D158*$G158,)),)</f>
        <v>34.999999999999993</v>
      </c>
      <c r="O158" s="277">
        <f>IFERROR(IF($B158="N/A","N/A",IF(MOD(COLUMNS($H$151:O$151)-1,$E158)=0,$F158*$D158*$G158,)),)</f>
        <v>0</v>
      </c>
      <c r="P158" s="277">
        <f>IFERROR(IF($B158="N/A","N/A",IF(MOD(COLUMNS($H$151:P$151)-1,$E158)=0,$F158*$D158*$G158,)),)</f>
        <v>0</v>
      </c>
      <c r="Q158" s="277">
        <f>IFERROR(IF($B158="N/A","N/A",IF(MOD(COLUMNS($H$151:Q$151)-1,$E158)=0,$F158*$D158*$G158,)),)</f>
        <v>34.999999999999993</v>
      </c>
      <c r="R158" s="277">
        <f>IFERROR(IF($B158="N/A","N/A",IF(MOD(COLUMNS($H$151:R$151)-1,$E158)=0,$F158*$D158*$G158,)),)</f>
        <v>0</v>
      </c>
      <c r="S158" s="277">
        <f>IFERROR(IF($B158="N/A","N/A",IF(MOD(COLUMNS($H$151:S$151)-1,$E158)=0,$F158*$D158*$G158,)),)</f>
        <v>0</v>
      </c>
      <c r="T158" s="277">
        <f>IFERROR(IF($B158="N/A","N/A",IF(MOD(COLUMNS($H$151:T$151)-1,$E158)=0,$F158*$D158*$G158,)),)</f>
        <v>34.999999999999993</v>
      </c>
      <c r="U158" s="277">
        <f>IFERROR(IF($B158="N/A","N/A",IF(MOD(COLUMNS($H$151:U$151)-1,$E158)=0,$F158*$D158*$G158,)),)</f>
        <v>0</v>
      </c>
      <c r="V158" s="277">
        <f>IFERROR(IF($B158="N/A","N/A",IF(MOD(COLUMNS($H$151:V$151)-1,$E158)=0,$F158*$D158*$G158,)),)</f>
        <v>0</v>
      </c>
      <c r="W158" s="277">
        <f>IFERROR(IF($B158="N/A","N/A",IF(MOD(COLUMNS($H$151:W$151)-1,$E158)=0,$F158*$D158*$G158,)),)</f>
        <v>34.999999999999993</v>
      </c>
    </row>
    <row r="159" spans="2:23">
      <c r="B159" s="76" t="str">
        <f t="array" ref="B159">IF(COUNTIFS(INDEX(Equipment_Allocation_New,0,MATCH($C$107,Unit_codes,0)),"&gt;0")&lt;ROWS('2.2-Equipment input'!$X$8:$X15),"N/A",INDEX('2.2-Equipment input'!B:B,SMALL(IF(INDEX(Equipment_Allocation_New,0,MATCH($C$107,Unit_codes,0))&gt;0,ROW(equipment_ID)),ROW('2.2-Equipment input'!B8))))</f>
        <v>eq0019</v>
      </c>
      <c r="C159" s="76" t="str">
        <f>IF($B159="N/A","N/A",INDEX(Equipment_name[],MATCH(B159,equipment_ID,0)))</f>
        <v>Mobile fly harvester with attracting light</v>
      </c>
      <c r="D159" s="277">
        <f t="shared" si="19"/>
        <v>62.999999999999993</v>
      </c>
      <c r="E159" s="94">
        <f t="shared" si="20"/>
        <v>5</v>
      </c>
      <c r="F159" s="94">
        <f t="shared" si="21"/>
        <v>2</v>
      </c>
      <c r="G159" s="92">
        <f t="shared" si="22"/>
        <v>1</v>
      </c>
      <c r="H159" s="277">
        <f>IFERROR(IF($B159="N/A","N/A",IF(MOD(COLUMNS(H$151:$H$151)-1,$E159)=0,$F159*$D159*$G159,)),)</f>
        <v>125.99999999999999</v>
      </c>
      <c r="I159" s="277">
        <f>IFERROR(IF($B159="N/A","N/A",IF(MOD(COLUMNS($H$151:I$151)-1,$E159)=0,$F159*$D159*$G159,)),)</f>
        <v>0</v>
      </c>
      <c r="J159" s="277">
        <f>IFERROR(IF($B159="N/A","N/A",IF(MOD(COLUMNS($H$151:J$151)-1,$E159)=0,$F159*$D159*$G159,)),)</f>
        <v>0</v>
      </c>
      <c r="K159" s="277">
        <f>IFERROR(IF($B159="N/A","N/A",IF(MOD(COLUMNS($H$151:K$151)-1,$E159)=0,$F159*$D159*$G159,)),)</f>
        <v>0</v>
      </c>
      <c r="L159" s="277">
        <f>IFERROR(IF($B159="N/A","N/A",IF(MOD(COLUMNS($H$151:L$151)-1,$E159)=0,$F159*$D159*$G159,)),)</f>
        <v>0</v>
      </c>
      <c r="M159" s="277">
        <f>IFERROR(IF($B159="N/A","N/A",IF(MOD(COLUMNS($H$151:M$151)-1,$E159)=0,$F159*$D159*$G159,)),)</f>
        <v>125.99999999999999</v>
      </c>
      <c r="N159" s="277">
        <f>IFERROR(IF($B159="N/A","N/A",IF(MOD(COLUMNS($H$151:N$151)-1,$E159)=0,$F159*$D159*$G159,)),)</f>
        <v>0</v>
      </c>
      <c r="O159" s="277">
        <f>IFERROR(IF($B159="N/A","N/A",IF(MOD(COLUMNS($H$151:O$151)-1,$E159)=0,$F159*$D159*$G159,)),)</f>
        <v>0</v>
      </c>
      <c r="P159" s="277">
        <f>IFERROR(IF($B159="N/A","N/A",IF(MOD(COLUMNS($H$151:P$151)-1,$E159)=0,$F159*$D159*$G159,)),)</f>
        <v>0</v>
      </c>
      <c r="Q159" s="277">
        <f>IFERROR(IF($B159="N/A","N/A",IF(MOD(COLUMNS($H$151:Q$151)-1,$E159)=0,$F159*$D159*$G159,)),)</f>
        <v>0</v>
      </c>
      <c r="R159" s="277">
        <f>IFERROR(IF($B159="N/A","N/A",IF(MOD(COLUMNS($H$151:R$151)-1,$E159)=0,$F159*$D159*$G159,)),)</f>
        <v>125.99999999999999</v>
      </c>
      <c r="S159" s="277">
        <f>IFERROR(IF($B159="N/A","N/A",IF(MOD(COLUMNS($H$151:S$151)-1,$E159)=0,$F159*$D159*$G159,)),)</f>
        <v>0</v>
      </c>
      <c r="T159" s="277">
        <f>IFERROR(IF($B159="N/A","N/A",IF(MOD(COLUMNS($H$151:T$151)-1,$E159)=0,$F159*$D159*$G159,)),)</f>
        <v>0</v>
      </c>
      <c r="U159" s="277">
        <f>IFERROR(IF($B159="N/A","N/A",IF(MOD(COLUMNS($H$151:U$151)-1,$E159)=0,$F159*$D159*$G159,)),)</f>
        <v>0</v>
      </c>
      <c r="V159" s="277">
        <f>IFERROR(IF($B159="N/A","N/A",IF(MOD(COLUMNS($H$151:V$151)-1,$E159)=0,$F159*$D159*$G159,)),)</f>
        <v>0</v>
      </c>
      <c r="W159" s="277">
        <f>IFERROR(IF($B159="N/A","N/A",IF(MOD(COLUMNS($H$151:W$151)-1,$E159)=0,$F159*$D159*$G159,)),)</f>
        <v>125.99999999999999</v>
      </c>
    </row>
    <row r="160" spans="2:23">
      <c r="B160" s="76" t="str">
        <f t="array" ref="B160">IF(COUNTIFS(INDEX(Equipment_Allocation_New,0,MATCH($C$107,Unit_codes,0)),"&gt;0")&lt;ROWS('2.2-Equipment input'!$X$8:$X16),"N/A",INDEX('2.2-Equipment input'!B:B,SMALL(IF(INDEX(Equipment_Allocation_New,0,MATCH($C$107,Unit_codes,0))&gt;0,ROW(equipment_ID)),ROW('2.2-Equipment input'!B9))))</f>
        <v>eq0020</v>
      </c>
      <c r="C160" s="76" t="str">
        <f>IF($B160="N/A","N/A",INDEX(Equipment_name[],MATCH(B160,equipment_ID,0)))</f>
        <v>Oviposition cage frame</v>
      </c>
      <c r="D160" s="277">
        <f t="shared" si="19"/>
        <v>140</v>
      </c>
      <c r="E160" s="94">
        <f t="shared" si="20"/>
        <v>5</v>
      </c>
      <c r="F160" s="94">
        <f t="shared" si="21"/>
        <v>7</v>
      </c>
      <c r="G160" s="92">
        <f t="shared" si="22"/>
        <v>1</v>
      </c>
      <c r="H160" s="277">
        <f>IFERROR(IF($B160="N/A","N/A",IF(MOD(COLUMNS(H$151:$H$151)-1,$E160)=0,$F160*$D160*$G160,)),)</f>
        <v>980</v>
      </c>
      <c r="I160" s="277">
        <f>IFERROR(IF($B160="N/A","N/A",IF(MOD(COLUMNS($H$151:I$151)-1,$E160)=0,$F160*$D160*$G160,)),)</f>
        <v>0</v>
      </c>
      <c r="J160" s="277">
        <f>IFERROR(IF($B160="N/A","N/A",IF(MOD(COLUMNS($H$151:J$151)-1,$E160)=0,$F160*$D160*$G160,)),)</f>
        <v>0</v>
      </c>
      <c r="K160" s="277">
        <f>IFERROR(IF($B160="N/A","N/A",IF(MOD(COLUMNS($H$151:K$151)-1,$E160)=0,$F160*$D160*$G160,)),)</f>
        <v>0</v>
      </c>
      <c r="L160" s="277">
        <f>IFERROR(IF($B160="N/A","N/A",IF(MOD(COLUMNS($H$151:L$151)-1,$E160)=0,$F160*$D160*$G160,)),)</f>
        <v>0</v>
      </c>
      <c r="M160" s="277">
        <f>IFERROR(IF($B160="N/A","N/A",IF(MOD(COLUMNS($H$151:M$151)-1,$E160)=0,$F160*$D160*$G160,)),)</f>
        <v>980</v>
      </c>
      <c r="N160" s="277">
        <f>IFERROR(IF($B160="N/A","N/A",IF(MOD(COLUMNS($H$151:N$151)-1,$E160)=0,$F160*$D160*$G160,)),)</f>
        <v>0</v>
      </c>
      <c r="O160" s="277">
        <f>IFERROR(IF($B160="N/A","N/A",IF(MOD(COLUMNS($H$151:O$151)-1,$E160)=0,$F160*$D160*$G160,)),)</f>
        <v>0</v>
      </c>
      <c r="P160" s="277">
        <f>IFERROR(IF($B160="N/A","N/A",IF(MOD(COLUMNS($H$151:P$151)-1,$E160)=0,$F160*$D160*$G160,)),)</f>
        <v>0</v>
      </c>
      <c r="Q160" s="277">
        <f>IFERROR(IF($B160="N/A","N/A",IF(MOD(COLUMNS($H$151:Q$151)-1,$E160)=0,$F160*$D160*$G160,)),)</f>
        <v>0</v>
      </c>
      <c r="R160" s="277">
        <f>IFERROR(IF($B160="N/A","N/A",IF(MOD(COLUMNS($H$151:R$151)-1,$E160)=0,$F160*$D160*$G160,)),)</f>
        <v>980</v>
      </c>
      <c r="S160" s="277">
        <f>IFERROR(IF($B160="N/A","N/A",IF(MOD(COLUMNS($H$151:S$151)-1,$E160)=0,$F160*$D160*$G160,)),)</f>
        <v>0</v>
      </c>
      <c r="T160" s="277">
        <f>IFERROR(IF($B160="N/A","N/A",IF(MOD(COLUMNS($H$151:T$151)-1,$E160)=0,$F160*$D160*$G160,)),)</f>
        <v>0</v>
      </c>
      <c r="U160" s="277">
        <f>IFERROR(IF($B160="N/A","N/A",IF(MOD(COLUMNS($H$151:U$151)-1,$E160)=0,$F160*$D160*$G160,)),)</f>
        <v>0</v>
      </c>
      <c r="V160" s="277">
        <f>IFERROR(IF($B160="N/A","N/A",IF(MOD(COLUMNS($H$151:V$151)-1,$E160)=0,$F160*$D160*$G160,)),)</f>
        <v>0</v>
      </c>
      <c r="W160" s="277">
        <f>IFERROR(IF($B160="N/A","N/A",IF(MOD(COLUMNS($H$151:W$151)-1,$E160)=0,$F160*$D160*$G160,)),)</f>
        <v>980</v>
      </c>
    </row>
    <row r="161" spans="2:23">
      <c r="B161" s="76" t="str">
        <f t="array" ref="B161">IF(COUNTIFS(INDEX(Equipment_Allocation_New,0,MATCH($C$107,Unit_codes,0)),"&gt;0")&lt;ROWS('2.2-Equipment input'!$X$8:$X17),"N/A",INDEX('2.2-Equipment input'!B:B,SMALL(IF(INDEX(Equipment_Allocation_New,0,MATCH($C$107,Unit_codes,0))&gt;0,ROW(equipment_ID)),ROW('2.2-Equipment input'!B10))))</f>
        <v>eq0023</v>
      </c>
      <c r="C161" s="76" t="str">
        <f>IF($B161="N/A","N/A",INDEX(Equipment_name[],MATCH(B161,equipment_ID,0)))</f>
        <v>Oviball holder</v>
      </c>
      <c r="D161" s="277">
        <f t="shared" si="19"/>
        <v>0.7</v>
      </c>
      <c r="E161" s="94">
        <f t="shared" si="20"/>
        <v>5</v>
      </c>
      <c r="F161" s="94">
        <f t="shared" si="21"/>
        <v>1</v>
      </c>
      <c r="G161" s="94">
        <f t="shared" si="22"/>
        <v>0.5</v>
      </c>
      <c r="H161" s="277">
        <f>IFERROR(IF($B161="N/A","N/A",IF(MOD(COLUMNS(H$151:$H$151)-1,$E161)=0,$F161*$D161*$G161,)),)</f>
        <v>0.35</v>
      </c>
      <c r="I161" s="277">
        <f>IFERROR(IF($B161="N/A","N/A",IF(MOD(COLUMNS($H$151:I$151)-1,$E161)=0,$F161*$D161*$G161,)),)</f>
        <v>0</v>
      </c>
      <c r="J161" s="277">
        <f>IFERROR(IF($B161="N/A","N/A",IF(MOD(COLUMNS($H$151:J$151)-1,$E161)=0,$F161*$D161*$G161,)),)</f>
        <v>0</v>
      </c>
      <c r="K161" s="277">
        <f>IFERROR(IF($B161="N/A","N/A",IF(MOD(COLUMNS($H$151:K$151)-1,$E161)=0,$F161*$D161*$G161,)),)</f>
        <v>0</v>
      </c>
      <c r="L161" s="277">
        <f>IFERROR(IF($B161="N/A","N/A",IF(MOD(COLUMNS($H$151:L$151)-1,$E161)=0,$F161*$D161*$G161,)),)</f>
        <v>0</v>
      </c>
      <c r="M161" s="277">
        <f>IFERROR(IF($B161="N/A","N/A",IF(MOD(COLUMNS($H$151:M$151)-1,$E161)=0,$F161*$D161*$G161,)),)</f>
        <v>0.35</v>
      </c>
      <c r="N161" s="277">
        <f>IFERROR(IF($B161="N/A","N/A",IF(MOD(COLUMNS($H$151:N$151)-1,$E161)=0,$F161*$D161*$G161,)),)</f>
        <v>0</v>
      </c>
      <c r="O161" s="277">
        <f>IFERROR(IF($B161="N/A","N/A",IF(MOD(COLUMNS($H$151:O$151)-1,$E161)=0,$F161*$D161*$G161,)),)</f>
        <v>0</v>
      </c>
      <c r="P161" s="277">
        <f>IFERROR(IF($B161="N/A","N/A",IF(MOD(COLUMNS($H$151:P$151)-1,$E161)=0,$F161*$D161*$G161,)),)</f>
        <v>0</v>
      </c>
      <c r="Q161" s="277">
        <f>IFERROR(IF($B161="N/A","N/A",IF(MOD(COLUMNS($H$151:Q$151)-1,$E161)=0,$F161*$D161*$G161,)),)</f>
        <v>0</v>
      </c>
      <c r="R161" s="277">
        <f>IFERROR(IF($B161="N/A","N/A",IF(MOD(COLUMNS($H$151:R$151)-1,$E161)=0,$F161*$D161*$G161,)),)</f>
        <v>0.35</v>
      </c>
      <c r="S161" s="277">
        <f>IFERROR(IF($B161="N/A","N/A",IF(MOD(COLUMNS($H$151:S$151)-1,$E161)=0,$F161*$D161*$G161,)),)</f>
        <v>0</v>
      </c>
      <c r="T161" s="277">
        <f>IFERROR(IF($B161="N/A","N/A",IF(MOD(COLUMNS($H$151:T$151)-1,$E161)=0,$F161*$D161*$G161,)),)</f>
        <v>0</v>
      </c>
      <c r="U161" s="277">
        <f>IFERROR(IF($B161="N/A","N/A",IF(MOD(COLUMNS($H$151:U$151)-1,$E161)=0,$F161*$D161*$G161,)),)</f>
        <v>0</v>
      </c>
      <c r="V161" s="277">
        <f>IFERROR(IF($B161="N/A","N/A",IF(MOD(COLUMNS($H$151:V$151)-1,$E161)=0,$F161*$D161*$G161,)),)</f>
        <v>0</v>
      </c>
      <c r="W161" s="277">
        <f>IFERROR(IF($B161="N/A","N/A",IF(MOD(COLUMNS($H$151:W$151)-1,$E161)=0,$F161*$D161*$G161,)),)</f>
        <v>0.35</v>
      </c>
    </row>
    <row r="162" spans="2:23">
      <c r="B162" s="76" t="str">
        <f t="array" ref="B162">IF(COUNTIFS(INDEX(Equipment_Allocation_New,0,MATCH($C$107,Unit_codes,0)),"&gt;0")&lt;ROWS('2.2-Equipment input'!$X$8:$X18),"N/A",INDEX('2.2-Equipment input'!B:B,SMALL(IF(INDEX(Equipment_Allocation_New,0,MATCH($C$107,Unit_codes,0))&gt;0,ROW(equipment_ID)),ROW('2.2-Equipment input'!B11))))</f>
        <v>eq0024</v>
      </c>
      <c r="C162" s="76" t="str">
        <f>IF($B162="N/A","N/A",INDEX(Equipment_name[],MATCH(B162,equipment_ID,0)))</f>
        <v>Egg media</v>
      </c>
      <c r="D162" s="277">
        <f t="shared" si="19"/>
        <v>0.7</v>
      </c>
      <c r="E162" s="94">
        <f t="shared" si="20"/>
        <v>5</v>
      </c>
      <c r="F162" s="94">
        <f t="shared" si="21"/>
        <v>200</v>
      </c>
      <c r="G162" s="94">
        <f t="shared" si="22"/>
        <v>0.5</v>
      </c>
      <c r="H162" s="277">
        <f>IFERROR(IF($B162="N/A","N/A",IF(MOD(COLUMNS(H$151:$H$151)-1,$E162)=0,$F162*$D162*$G162,)),)</f>
        <v>70</v>
      </c>
      <c r="I162" s="277">
        <f>IFERROR(IF($B162="N/A","N/A",IF(MOD(COLUMNS($H$151:I$151)-1,$E162)=0,$F162*$D162*$G162,)),)</f>
        <v>0</v>
      </c>
      <c r="J162" s="277">
        <f>IFERROR(IF($B162="N/A","N/A",IF(MOD(COLUMNS($H$151:J$151)-1,$E162)=0,$F162*$D162*$G162,)),)</f>
        <v>0</v>
      </c>
      <c r="K162" s="277">
        <f>IFERROR(IF($B162="N/A","N/A",IF(MOD(COLUMNS($H$151:K$151)-1,$E162)=0,$F162*$D162*$G162,)),)</f>
        <v>0</v>
      </c>
      <c r="L162" s="277">
        <f>IFERROR(IF($B162="N/A","N/A",IF(MOD(COLUMNS($H$151:L$151)-1,$E162)=0,$F162*$D162*$G162,)),)</f>
        <v>0</v>
      </c>
      <c r="M162" s="277">
        <f>IFERROR(IF($B162="N/A","N/A",IF(MOD(COLUMNS($H$151:M$151)-1,$E162)=0,$F162*$D162*$G162,)),)</f>
        <v>70</v>
      </c>
      <c r="N162" s="277">
        <f>IFERROR(IF($B162="N/A","N/A",IF(MOD(COLUMNS($H$151:N$151)-1,$E162)=0,$F162*$D162*$G162,)),)</f>
        <v>0</v>
      </c>
      <c r="O162" s="277">
        <f>IFERROR(IF($B162="N/A","N/A",IF(MOD(COLUMNS($H$151:O$151)-1,$E162)=0,$F162*$D162*$G162,)),)</f>
        <v>0</v>
      </c>
      <c r="P162" s="277">
        <f>IFERROR(IF($B162="N/A","N/A",IF(MOD(COLUMNS($H$151:P$151)-1,$E162)=0,$F162*$D162*$G162,)),)</f>
        <v>0</v>
      </c>
      <c r="Q162" s="277">
        <f>IFERROR(IF($B162="N/A","N/A",IF(MOD(COLUMNS($H$151:Q$151)-1,$E162)=0,$F162*$D162*$G162,)),)</f>
        <v>0</v>
      </c>
      <c r="R162" s="277">
        <f>IFERROR(IF($B162="N/A","N/A",IF(MOD(COLUMNS($H$151:R$151)-1,$E162)=0,$F162*$D162*$G162,)),)</f>
        <v>70</v>
      </c>
      <c r="S162" s="277">
        <f>IFERROR(IF($B162="N/A","N/A",IF(MOD(COLUMNS($H$151:S$151)-1,$E162)=0,$F162*$D162*$G162,)),)</f>
        <v>0</v>
      </c>
      <c r="T162" s="277">
        <f>IFERROR(IF($B162="N/A","N/A",IF(MOD(COLUMNS($H$151:T$151)-1,$E162)=0,$F162*$D162*$G162,)),)</f>
        <v>0</v>
      </c>
      <c r="U162" s="277">
        <f>IFERROR(IF($B162="N/A","N/A",IF(MOD(COLUMNS($H$151:U$151)-1,$E162)=0,$F162*$D162*$G162,)),)</f>
        <v>0</v>
      </c>
      <c r="V162" s="277">
        <f>IFERROR(IF($B162="N/A","N/A",IF(MOD(COLUMNS($H$151:V$151)-1,$E162)=0,$F162*$D162*$G162,)),)</f>
        <v>0</v>
      </c>
      <c r="W162" s="277">
        <f>IFERROR(IF($B162="N/A","N/A",IF(MOD(COLUMNS($H$151:W$151)-1,$E162)=0,$F162*$D162*$G162,)),)</f>
        <v>70</v>
      </c>
    </row>
    <row r="163" spans="2:23">
      <c r="B163" s="76" t="str">
        <f t="array" ref="B163">IF(COUNTIFS(INDEX(Equipment_Allocation_New,0,MATCH($C$107,Unit_codes,0)),"&gt;0")&lt;ROWS('2.2-Equipment input'!$X$8:$X19),"N/A",INDEX('2.2-Equipment input'!B:B,SMALL(IF(INDEX(Equipment_Allocation_New,0,MATCH($C$107,Unit_codes,0))&gt;0,ROW(equipment_ID)),ROW('2.2-Equipment input'!B12))))</f>
        <v>eq0025</v>
      </c>
      <c r="C163" s="76" t="str">
        <f>IF($B163="N/A","N/A",INDEX(Equipment_name[],MATCH(B163,equipment_ID,0)))</f>
        <v>Working table</v>
      </c>
      <c r="D163" s="277">
        <f t="shared" si="19"/>
        <v>174.99999999999997</v>
      </c>
      <c r="E163" s="94">
        <f t="shared" si="20"/>
        <v>5</v>
      </c>
      <c r="F163" s="94">
        <f t="shared" si="21"/>
        <v>1</v>
      </c>
      <c r="G163" s="94">
        <f t="shared" si="22"/>
        <v>0.5</v>
      </c>
      <c r="H163" s="277">
        <f>IFERROR(IF($B163="N/A","N/A",IF(MOD(COLUMNS(H$151:$H$151)-1,$E163)=0,$F163*$D163*$G163,)),)</f>
        <v>87.499999999999986</v>
      </c>
      <c r="I163" s="277">
        <f>IFERROR(IF($B163="N/A","N/A",IF(MOD(COLUMNS($H$151:I$151)-1,$E163)=0,$F163*$D163*$G163,)),)</f>
        <v>0</v>
      </c>
      <c r="J163" s="277">
        <f>IFERROR(IF($B163="N/A","N/A",IF(MOD(COLUMNS($H$151:J$151)-1,$E163)=0,$F163*$D163*$G163,)),)</f>
        <v>0</v>
      </c>
      <c r="K163" s="277">
        <f>IFERROR(IF($B163="N/A","N/A",IF(MOD(COLUMNS($H$151:K$151)-1,$E163)=0,$F163*$D163*$G163,)),)</f>
        <v>0</v>
      </c>
      <c r="L163" s="277">
        <f>IFERROR(IF($B163="N/A","N/A",IF(MOD(COLUMNS($H$151:L$151)-1,$E163)=0,$F163*$D163*$G163,)),)</f>
        <v>0</v>
      </c>
      <c r="M163" s="277">
        <f>IFERROR(IF($B163="N/A","N/A",IF(MOD(COLUMNS($H$151:M$151)-1,$E163)=0,$F163*$D163*$G163,)),)</f>
        <v>87.499999999999986</v>
      </c>
      <c r="N163" s="277">
        <f>IFERROR(IF($B163="N/A","N/A",IF(MOD(COLUMNS($H$151:N$151)-1,$E163)=0,$F163*$D163*$G163,)),)</f>
        <v>0</v>
      </c>
      <c r="O163" s="277">
        <f>IFERROR(IF($B163="N/A","N/A",IF(MOD(COLUMNS($H$151:O$151)-1,$E163)=0,$F163*$D163*$G163,)),)</f>
        <v>0</v>
      </c>
      <c r="P163" s="277">
        <f>IFERROR(IF($B163="N/A","N/A",IF(MOD(COLUMNS($H$151:P$151)-1,$E163)=0,$F163*$D163*$G163,)),)</f>
        <v>0</v>
      </c>
      <c r="Q163" s="277">
        <f>IFERROR(IF($B163="N/A","N/A",IF(MOD(COLUMNS($H$151:Q$151)-1,$E163)=0,$F163*$D163*$G163,)),)</f>
        <v>0</v>
      </c>
      <c r="R163" s="277">
        <f>IFERROR(IF($B163="N/A","N/A",IF(MOD(COLUMNS($H$151:R$151)-1,$E163)=0,$F163*$D163*$G163,)),)</f>
        <v>87.499999999999986</v>
      </c>
      <c r="S163" s="277">
        <f>IFERROR(IF($B163="N/A","N/A",IF(MOD(COLUMNS($H$151:S$151)-1,$E163)=0,$F163*$D163*$G163,)),)</f>
        <v>0</v>
      </c>
      <c r="T163" s="277">
        <f>IFERROR(IF($B163="N/A","N/A",IF(MOD(COLUMNS($H$151:T$151)-1,$E163)=0,$F163*$D163*$G163,)),)</f>
        <v>0</v>
      </c>
      <c r="U163" s="277">
        <f>IFERROR(IF($B163="N/A","N/A",IF(MOD(COLUMNS($H$151:U$151)-1,$E163)=0,$F163*$D163*$G163,)),)</f>
        <v>0</v>
      </c>
      <c r="V163" s="277">
        <f>IFERROR(IF($B163="N/A","N/A",IF(MOD(COLUMNS($H$151:V$151)-1,$E163)=0,$F163*$D163*$G163,)),)</f>
        <v>0</v>
      </c>
      <c r="W163" s="277">
        <f>IFERROR(IF($B163="N/A","N/A",IF(MOD(COLUMNS($H$151:W$151)-1,$E163)=0,$F163*$D163*$G163,)),)</f>
        <v>87.499999999999986</v>
      </c>
    </row>
    <row r="164" spans="2:23">
      <c r="B164" s="76" t="str">
        <f t="array" ref="B164">IF(COUNTIFS(INDEX(Equipment_Allocation_New,0,MATCH($C$107,Unit_codes,0)),"&gt;0")&lt;ROWS('2.2-Equipment input'!$X$8:$X20),"N/A",INDEX('2.2-Equipment input'!B:B,SMALL(IF(INDEX(Equipment_Allocation_New,0,MATCH($C$107,Unit_codes,0))&gt;0,ROW(equipment_ID)),ROW('2.2-Equipment input'!B13))))</f>
        <v>eq0026</v>
      </c>
      <c r="C164" s="76" t="str">
        <f>IF($B164="N/A","N/A",INDEX(Equipment_name[],MATCH(B164,equipment_ID,0)))</f>
        <v>Nursery Larvero</v>
      </c>
      <c r="D164" s="277">
        <f t="shared" si="19"/>
        <v>3.4999999999999996</v>
      </c>
      <c r="E164" s="94">
        <f t="shared" si="20"/>
        <v>5</v>
      </c>
      <c r="F164" s="94">
        <f t="shared" si="21"/>
        <v>68</v>
      </c>
      <c r="G164" s="94">
        <f t="shared" si="22"/>
        <v>1</v>
      </c>
      <c r="H164" s="277">
        <f>IFERROR(IF($B164="N/A","N/A",IF(MOD(COLUMNS(H$151:$H$151)-1,$E164)=0,$F164*$D164*$G164,)),)</f>
        <v>237.99999999999997</v>
      </c>
      <c r="I164" s="277">
        <f>IFERROR(IF($B164="N/A","N/A",IF(MOD(COLUMNS($H$151:I$151)-1,$E164)=0,$F164*$D164*$G164,)),)</f>
        <v>0</v>
      </c>
      <c r="J164" s="277">
        <f>IFERROR(IF($B164="N/A","N/A",IF(MOD(COLUMNS($H$151:J$151)-1,$E164)=0,$F164*$D164*$G164,)),)</f>
        <v>0</v>
      </c>
      <c r="K164" s="277">
        <f>IFERROR(IF($B164="N/A","N/A",IF(MOD(COLUMNS($H$151:K$151)-1,$E164)=0,$F164*$D164*$G164,)),)</f>
        <v>0</v>
      </c>
      <c r="L164" s="277">
        <f>IFERROR(IF($B164="N/A","N/A",IF(MOD(COLUMNS($H$151:L$151)-1,$E164)=0,$F164*$D164*$G164,)),)</f>
        <v>0</v>
      </c>
      <c r="M164" s="277">
        <f>IFERROR(IF($B164="N/A","N/A",IF(MOD(COLUMNS($H$151:M$151)-1,$E164)=0,$F164*$D164*$G164,)),)</f>
        <v>237.99999999999997</v>
      </c>
      <c r="N164" s="277">
        <f>IFERROR(IF($B164="N/A","N/A",IF(MOD(COLUMNS($H$151:N$151)-1,$E164)=0,$F164*$D164*$G164,)),)</f>
        <v>0</v>
      </c>
      <c r="O164" s="277">
        <f>IFERROR(IF($B164="N/A","N/A",IF(MOD(COLUMNS($H$151:O$151)-1,$E164)=0,$F164*$D164*$G164,)),)</f>
        <v>0</v>
      </c>
      <c r="P164" s="277">
        <f>IFERROR(IF($B164="N/A","N/A",IF(MOD(COLUMNS($H$151:P$151)-1,$E164)=0,$F164*$D164*$G164,)),)</f>
        <v>0</v>
      </c>
      <c r="Q164" s="277">
        <f>IFERROR(IF($B164="N/A","N/A",IF(MOD(COLUMNS($H$151:Q$151)-1,$E164)=0,$F164*$D164*$G164,)),)</f>
        <v>0</v>
      </c>
      <c r="R164" s="277">
        <f>IFERROR(IF($B164="N/A","N/A",IF(MOD(COLUMNS($H$151:R$151)-1,$E164)=0,$F164*$D164*$G164,)),)</f>
        <v>237.99999999999997</v>
      </c>
      <c r="S164" s="277">
        <f>IFERROR(IF($B164="N/A","N/A",IF(MOD(COLUMNS($H$151:S$151)-1,$E164)=0,$F164*$D164*$G164,)),)</f>
        <v>0</v>
      </c>
      <c r="T164" s="277">
        <f>IFERROR(IF($B164="N/A","N/A",IF(MOD(COLUMNS($H$151:T$151)-1,$E164)=0,$F164*$D164*$G164,)),)</f>
        <v>0</v>
      </c>
      <c r="U164" s="277">
        <f>IFERROR(IF($B164="N/A","N/A",IF(MOD(COLUMNS($H$151:U$151)-1,$E164)=0,$F164*$D164*$G164,)),)</f>
        <v>0</v>
      </c>
      <c r="V164" s="277">
        <f>IFERROR(IF($B164="N/A","N/A",IF(MOD(COLUMNS($H$151:V$151)-1,$E164)=0,$F164*$D164*$G164,)),)</f>
        <v>0</v>
      </c>
      <c r="W164" s="277">
        <f>IFERROR(IF($B164="N/A","N/A",IF(MOD(COLUMNS($H$151:W$151)-1,$E164)=0,$F164*$D164*$G164,)),)</f>
        <v>237.99999999999997</v>
      </c>
    </row>
    <row r="165" spans="2:23">
      <c r="B165" s="76" t="str">
        <f t="array" ref="B165">IF(COUNTIFS(INDEX(Equipment_Allocation_New,0,MATCH($C$107,Unit_codes,0)),"&gt;0")&lt;ROWS('2.2-Equipment input'!$X$8:$X21),"N/A",INDEX('2.2-Equipment input'!B:B,SMALL(IF(INDEX(Equipment_Allocation_New,0,MATCH($C$107,Unit_codes,0))&gt;0,ROW(equipment_ID)),ROW('2.2-Equipment input'!B14))))</f>
        <v>eq0028</v>
      </c>
      <c r="C165" s="76" t="str">
        <f>IF($B165="N/A","N/A",INDEX(Equipment_name[],MATCH(B165,equipment_ID,0)))</f>
        <v>Outer box</v>
      </c>
      <c r="D165" s="277">
        <f t="shared" si="19"/>
        <v>5.2499999999999991</v>
      </c>
      <c r="E165" s="94">
        <f t="shared" si="20"/>
        <v>5</v>
      </c>
      <c r="F165" s="94">
        <f t="shared" si="21"/>
        <v>68</v>
      </c>
      <c r="G165" s="94">
        <f t="shared" si="22"/>
        <v>1</v>
      </c>
      <c r="H165" s="277">
        <f>IFERROR(IF($B165="N/A","N/A",IF(MOD(COLUMNS(H$151:$H$151)-1,$E165)=0,$F165*$D165*$G165,)),)</f>
        <v>356.99999999999994</v>
      </c>
      <c r="I165" s="277">
        <f>IFERROR(IF($B165="N/A","N/A",IF(MOD(COLUMNS($H$151:I$151)-1,$E165)=0,$F165*$D165*$G165,)),)</f>
        <v>0</v>
      </c>
      <c r="J165" s="277">
        <f>IFERROR(IF($B165="N/A","N/A",IF(MOD(COLUMNS($H$151:J$151)-1,$E165)=0,$F165*$D165*$G165,)),)</f>
        <v>0</v>
      </c>
      <c r="K165" s="277">
        <f>IFERROR(IF($B165="N/A","N/A",IF(MOD(COLUMNS($H$151:K$151)-1,$E165)=0,$F165*$D165*$G165,)),)</f>
        <v>0</v>
      </c>
      <c r="L165" s="277">
        <f>IFERROR(IF($B165="N/A","N/A",IF(MOD(COLUMNS($H$151:L$151)-1,$E165)=0,$F165*$D165*$G165,)),)</f>
        <v>0</v>
      </c>
      <c r="M165" s="277">
        <f>IFERROR(IF($B165="N/A","N/A",IF(MOD(COLUMNS($H$151:M$151)-1,$E165)=0,$F165*$D165*$G165,)),)</f>
        <v>356.99999999999994</v>
      </c>
      <c r="N165" s="277">
        <f>IFERROR(IF($B165="N/A","N/A",IF(MOD(COLUMNS($H$151:N$151)-1,$E165)=0,$F165*$D165*$G165,)),)</f>
        <v>0</v>
      </c>
      <c r="O165" s="277">
        <f>IFERROR(IF($B165="N/A","N/A",IF(MOD(COLUMNS($H$151:O$151)-1,$E165)=0,$F165*$D165*$G165,)),)</f>
        <v>0</v>
      </c>
      <c r="P165" s="277">
        <f>IFERROR(IF($B165="N/A","N/A",IF(MOD(COLUMNS($H$151:P$151)-1,$E165)=0,$F165*$D165*$G165,)),)</f>
        <v>0</v>
      </c>
      <c r="Q165" s="277">
        <f>IFERROR(IF($B165="N/A","N/A",IF(MOD(COLUMNS($H$151:Q$151)-1,$E165)=0,$F165*$D165*$G165,)),)</f>
        <v>0</v>
      </c>
      <c r="R165" s="277">
        <f>IFERROR(IF($B165="N/A","N/A",IF(MOD(COLUMNS($H$151:R$151)-1,$E165)=0,$F165*$D165*$G165,)),)</f>
        <v>356.99999999999994</v>
      </c>
      <c r="S165" s="277">
        <f>IFERROR(IF($B165="N/A","N/A",IF(MOD(COLUMNS($H$151:S$151)-1,$E165)=0,$F165*$D165*$G165,)),)</f>
        <v>0</v>
      </c>
      <c r="T165" s="277">
        <f>IFERROR(IF($B165="N/A","N/A",IF(MOD(COLUMNS($H$151:T$151)-1,$E165)=0,$F165*$D165*$G165,)),)</f>
        <v>0</v>
      </c>
      <c r="U165" s="277">
        <f>IFERROR(IF($B165="N/A","N/A",IF(MOD(COLUMNS($H$151:U$151)-1,$E165)=0,$F165*$D165*$G165,)),)</f>
        <v>0</v>
      </c>
      <c r="V165" s="277">
        <f>IFERROR(IF($B165="N/A","N/A",IF(MOD(COLUMNS($H$151:V$151)-1,$E165)=0,$F165*$D165*$G165,)),)</f>
        <v>0</v>
      </c>
      <c r="W165" s="277">
        <f>IFERROR(IF($B165="N/A","N/A",IF(MOD(COLUMNS($H$151:W$151)-1,$E165)=0,$F165*$D165*$G165,)),)</f>
        <v>356.99999999999994</v>
      </c>
    </row>
    <row r="166" spans="2:23">
      <c r="B166" s="76" t="str">
        <f t="array" ref="B166">IF(COUNTIFS(INDEX(Equipment_Allocation_New,0,MATCH($C$107,Unit_codes,0)),"&gt;0")&lt;ROWS('2.2-Equipment input'!$X$8:$X22),"N/A",INDEX('2.2-Equipment input'!B:B,SMALL(IF(INDEX(Equipment_Allocation_New,0,MATCH($C$107,Unit_codes,0))&gt;0,ROW(equipment_ID)),ROW('2.2-Equipment input'!B15))))</f>
        <v>eq0029</v>
      </c>
      <c r="C166" s="76" t="str">
        <f>IF($B166="N/A","N/A",INDEX(Equipment_name[],MATCH(B166,equipment_ID,0)))</f>
        <v>Mobile Larvero frame</v>
      </c>
      <c r="D166" s="277">
        <f t="shared" si="19"/>
        <v>104.99999999999999</v>
      </c>
      <c r="E166" s="94">
        <f t="shared" si="20"/>
        <v>5</v>
      </c>
      <c r="F166" s="94">
        <f t="shared" si="21"/>
        <v>12</v>
      </c>
      <c r="G166" s="94">
        <f t="shared" si="22"/>
        <v>1</v>
      </c>
      <c r="H166" s="277">
        <f>IFERROR(IF($B166="N/A","N/A",IF(MOD(COLUMNS(H$151:$H$151)-1,$E166)=0,$F166*$D166*$G166,)),)</f>
        <v>1259.9999999999998</v>
      </c>
      <c r="I166" s="277">
        <f>IFERROR(IF($B166="N/A","N/A",IF(MOD(COLUMNS($H$151:I$151)-1,$E166)=0,$F166*$D166*$G166,)),)</f>
        <v>0</v>
      </c>
      <c r="J166" s="277">
        <f>IFERROR(IF($B166="N/A","N/A",IF(MOD(COLUMNS($H$151:J$151)-1,$E166)=0,$F166*$D166*$G166,)),)</f>
        <v>0</v>
      </c>
      <c r="K166" s="277">
        <f>IFERROR(IF($B166="N/A","N/A",IF(MOD(COLUMNS($H$151:K$151)-1,$E166)=0,$F166*$D166*$G166,)),)</f>
        <v>0</v>
      </c>
      <c r="L166" s="277">
        <f>IFERROR(IF($B166="N/A","N/A",IF(MOD(COLUMNS($H$151:L$151)-1,$E166)=0,$F166*$D166*$G166,)),)</f>
        <v>0</v>
      </c>
      <c r="M166" s="277">
        <f>IFERROR(IF($B166="N/A","N/A",IF(MOD(COLUMNS($H$151:M$151)-1,$E166)=0,$F166*$D166*$G166,)),)</f>
        <v>1259.9999999999998</v>
      </c>
      <c r="N166" s="277">
        <f>IFERROR(IF($B166="N/A","N/A",IF(MOD(COLUMNS($H$151:N$151)-1,$E166)=0,$F166*$D166*$G166,)),)</f>
        <v>0</v>
      </c>
      <c r="O166" s="277">
        <f>IFERROR(IF($B166="N/A","N/A",IF(MOD(COLUMNS($H$151:O$151)-1,$E166)=0,$F166*$D166*$G166,)),)</f>
        <v>0</v>
      </c>
      <c r="P166" s="277">
        <f>IFERROR(IF($B166="N/A","N/A",IF(MOD(COLUMNS($H$151:P$151)-1,$E166)=0,$F166*$D166*$G166,)),)</f>
        <v>0</v>
      </c>
      <c r="Q166" s="277">
        <f>IFERROR(IF($B166="N/A","N/A",IF(MOD(COLUMNS($H$151:Q$151)-1,$E166)=0,$F166*$D166*$G166,)),)</f>
        <v>0</v>
      </c>
      <c r="R166" s="277">
        <f>IFERROR(IF($B166="N/A","N/A",IF(MOD(COLUMNS($H$151:R$151)-1,$E166)=0,$F166*$D166*$G166,)),)</f>
        <v>1259.9999999999998</v>
      </c>
      <c r="S166" s="277">
        <f>IFERROR(IF($B166="N/A","N/A",IF(MOD(COLUMNS($H$151:S$151)-1,$E166)=0,$F166*$D166*$G166,)),)</f>
        <v>0</v>
      </c>
      <c r="T166" s="277">
        <f>IFERROR(IF($B166="N/A","N/A",IF(MOD(COLUMNS($H$151:T$151)-1,$E166)=0,$F166*$D166*$G166,)),)</f>
        <v>0</v>
      </c>
      <c r="U166" s="277">
        <f>IFERROR(IF($B166="N/A","N/A",IF(MOD(COLUMNS($H$151:U$151)-1,$E166)=0,$F166*$D166*$G166,)),)</f>
        <v>0</v>
      </c>
      <c r="V166" s="277">
        <f>IFERROR(IF($B166="N/A","N/A",IF(MOD(COLUMNS($H$151:V$151)-1,$E166)=0,$F166*$D166*$G166,)),)</f>
        <v>0</v>
      </c>
      <c r="W166" s="277">
        <f>IFERROR(IF($B166="N/A","N/A",IF(MOD(COLUMNS($H$151:W$151)-1,$E166)=0,$F166*$D166*$G166,)),)</f>
        <v>1259.9999999999998</v>
      </c>
    </row>
    <row r="167" spans="2:23">
      <c r="B167" s="76" t="str">
        <f t="array" ref="B167">IF(COUNTIFS(INDEX(Equipment_Allocation_New,0,MATCH($C$107,Unit_codes,0)),"&gt;0")&lt;ROWS('2.2-Equipment input'!$X$8:$X23),"N/A",INDEX('2.2-Equipment input'!B:B,SMALL(IF(INDEX(Equipment_Allocation_New,0,MATCH($C$107,Unit_codes,0))&gt;0,ROW(equipment_ID)),ROW('2.2-Equipment input'!B16))))</f>
        <v>eq0032</v>
      </c>
      <c r="C167" s="76" t="str">
        <f>IF($B167="N/A","N/A",INDEX(Equipment_name[],MATCH(B167,equipment_ID,0)))</f>
        <v>Measuring balance (nursery)</v>
      </c>
      <c r="D167" s="277">
        <f t="shared" si="19"/>
        <v>349.99999999999994</v>
      </c>
      <c r="E167" s="94">
        <f t="shared" si="20"/>
        <v>5</v>
      </c>
      <c r="F167" s="94">
        <f t="shared" si="21"/>
        <v>3</v>
      </c>
      <c r="G167" s="94">
        <f t="shared" si="22"/>
        <v>0.1</v>
      </c>
      <c r="H167" s="277">
        <f>IFERROR(IF($B167="N/A","N/A",IF(MOD(COLUMNS(H$151:$H$151)-1,$E167)=0,$F167*$D167*$G167,)),)</f>
        <v>104.99999999999999</v>
      </c>
      <c r="I167" s="277">
        <f>IFERROR(IF($B167="N/A","N/A",IF(MOD(COLUMNS($H$151:I$151)-1,$E167)=0,$F167*$D167*$G167,)),)</f>
        <v>0</v>
      </c>
      <c r="J167" s="277">
        <f>IFERROR(IF($B167="N/A","N/A",IF(MOD(COLUMNS($H$151:J$151)-1,$E167)=0,$F167*$D167*$G167,)),)</f>
        <v>0</v>
      </c>
      <c r="K167" s="277">
        <f>IFERROR(IF($B167="N/A","N/A",IF(MOD(COLUMNS($H$151:K$151)-1,$E167)=0,$F167*$D167*$G167,)),)</f>
        <v>0</v>
      </c>
      <c r="L167" s="277">
        <f>IFERROR(IF($B167="N/A","N/A",IF(MOD(COLUMNS($H$151:L$151)-1,$E167)=0,$F167*$D167*$G167,)),)</f>
        <v>0</v>
      </c>
      <c r="M167" s="277">
        <f>IFERROR(IF($B167="N/A","N/A",IF(MOD(COLUMNS($H$151:M$151)-1,$E167)=0,$F167*$D167*$G167,)),)</f>
        <v>104.99999999999999</v>
      </c>
      <c r="N167" s="277">
        <f>IFERROR(IF($B167="N/A","N/A",IF(MOD(COLUMNS($H$151:N$151)-1,$E167)=0,$F167*$D167*$G167,)),)</f>
        <v>0</v>
      </c>
      <c r="O167" s="277">
        <f>IFERROR(IF($B167="N/A","N/A",IF(MOD(COLUMNS($H$151:O$151)-1,$E167)=0,$F167*$D167*$G167,)),)</f>
        <v>0</v>
      </c>
      <c r="P167" s="277">
        <f>IFERROR(IF($B167="N/A","N/A",IF(MOD(COLUMNS($H$151:P$151)-1,$E167)=0,$F167*$D167*$G167,)),)</f>
        <v>0</v>
      </c>
      <c r="Q167" s="277">
        <f>IFERROR(IF($B167="N/A","N/A",IF(MOD(COLUMNS($H$151:Q$151)-1,$E167)=0,$F167*$D167*$G167,)),)</f>
        <v>0</v>
      </c>
      <c r="R167" s="277">
        <f>IFERROR(IF($B167="N/A","N/A",IF(MOD(COLUMNS($H$151:R$151)-1,$E167)=0,$F167*$D167*$G167,)),)</f>
        <v>104.99999999999999</v>
      </c>
      <c r="S167" s="277">
        <f>IFERROR(IF($B167="N/A","N/A",IF(MOD(COLUMNS($H$151:S$151)-1,$E167)=0,$F167*$D167*$G167,)),)</f>
        <v>0</v>
      </c>
      <c r="T167" s="277">
        <f>IFERROR(IF($B167="N/A","N/A",IF(MOD(COLUMNS($H$151:T$151)-1,$E167)=0,$F167*$D167*$G167,)),)</f>
        <v>0</v>
      </c>
      <c r="U167" s="277">
        <f>IFERROR(IF($B167="N/A","N/A",IF(MOD(COLUMNS($H$151:U$151)-1,$E167)=0,$F167*$D167*$G167,)),)</f>
        <v>0</v>
      </c>
      <c r="V167" s="277">
        <f>IFERROR(IF($B167="N/A","N/A",IF(MOD(COLUMNS($H$151:V$151)-1,$E167)=0,$F167*$D167*$G167,)),)</f>
        <v>0</v>
      </c>
      <c r="W167" s="277">
        <f>IFERROR(IF($B167="N/A","N/A",IF(MOD(COLUMNS($H$151:W$151)-1,$E167)=0,$F167*$D167*$G167,)),)</f>
        <v>104.99999999999999</v>
      </c>
    </row>
    <row r="168" spans="2:23">
      <c r="B168" s="76" t="str">
        <f t="array" ref="B168">IF(COUNTIFS(INDEX(Equipment_Allocation_New,0,MATCH($C$107,Unit_codes,0)),"&gt;0")&lt;ROWS('2.2-Equipment input'!$X$8:$X24),"N/A",INDEX('2.2-Equipment input'!B:B,SMALL(IF(INDEX(Equipment_Allocation_New,0,MATCH($C$107,Unit_codes,0))&gt;0,ROW(equipment_ID)),ROW('2.2-Equipment input'!B17))))</f>
        <v>eq0033</v>
      </c>
      <c r="C168" s="76" t="str">
        <f>IF($B168="N/A","N/A",INDEX(Equipment_name[],MATCH(B168,equipment_ID,0)))</f>
        <v>Precision balance (lab)</v>
      </c>
      <c r="D168" s="277">
        <f t="shared" si="19"/>
        <v>209.99999999999997</v>
      </c>
      <c r="E168" s="94">
        <f t="shared" si="20"/>
        <v>5</v>
      </c>
      <c r="F168" s="94">
        <f t="shared" si="21"/>
        <v>3</v>
      </c>
      <c r="G168" s="94">
        <f t="shared" si="22"/>
        <v>0.5</v>
      </c>
      <c r="H168" s="277">
        <f>IFERROR(IF($B168="N/A","N/A",IF(MOD(COLUMNS(H$151:$H$151)-1,$E168)=0,$F168*$D168*$G168,)),)</f>
        <v>314.99999999999994</v>
      </c>
      <c r="I168" s="277">
        <f>IFERROR(IF($B168="N/A","N/A",IF(MOD(COLUMNS($H$151:I$151)-1,$E168)=0,$F168*$D168*$G168,)),)</f>
        <v>0</v>
      </c>
      <c r="J168" s="277">
        <f>IFERROR(IF($B168="N/A","N/A",IF(MOD(COLUMNS($H$151:J$151)-1,$E168)=0,$F168*$D168*$G168,)),)</f>
        <v>0</v>
      </c>
      <c r="K168" s="277">
        <f>IFERROR(IF($B168="N/A","N/A",IF(MOD(COLUMNS($H$151:K$151)-1,$E168)=0,$F168*$D168*$G168,)),)</f>
        <v>0</v>
      </c>
      <c r="L168" s="277">
        <f>IFERROR(IF($B168="N/A","N/A",IF(MOD(COLUMNS($H$151:L$151)-1,$E168)=0,$F168*$D168*$G168,)),)</f>
        <v>0</v>
      </c>
      <c r="M168" s="277">
        <f>IFERROR(IF($B168="N/A","N/A",IF(MOD(COLUMNS($H$151:M$151)-1,$E168)=0,$F168*$D168*$G168,)),)</f>
        <v>314.99999999999994</v>
      </c>
      <c r="N168" s="277">
        <f>IFERROR(IF($B168="N/A","N/A",IF(MOD(COLUMNS($H$151:N$151)-1,$E168)=0,$F168*$D168*$G168,)),)</f>
        <v>0</v>
      </c>
      <c r="O168" s="277">
        <f>IFERROR(IF($B168="N/A","N/A",IF(MOD(COLUMNS($H$151:O$151)-1,$E168)=0,$F168*$D168*$G168,)),)</f>
        <v>0</v>
      </c>
      <c r="P168" s="277">
        <f>IFERROR(IF($B168="N/A","N/A",IF(MOD(COLUMNS($H$151:P$151)-1,$E168)=0,$F168*$D168*$G168,)),)</f>
        <v>0</v>
      </c>
      <c r="Q168" s="277">
        <f>IFERROR(IF($B168="N/A","N/A",IF(MOD(COLUMNS($H$151:Q$151)-1,$E168)=0,$F168*$D168*$G168,)),)</f>
        <v>0</v>
      </c>
      <c r="R168" s="277">
        <f>IFERROR(IF($B168="N/A","N/A",IF(MOD(COLUMNS($H$151:R$151)-1,$E168)=0,$F168*$D168*$G168,)),)</f>
        <v>314.99999999999994</v>
      </c>
      <c r="S168" s="277">
        <f>IFERROR(IF($B168="N/A","N/A",IF(MOD(COLUMNS($H$151:S$151)-1,$E168)=0,$F168*$D168*$G168,)),)</f>
        <v>0</v>
      </c>
      <c r="T168" s="277">
        <f>IFERROR(IF($B168="N/A","N/A",IF(MOD(COLUMNS($H$151:T$151)-1,$E168)=0,$F168*$D168*$G168,)),)</f>
        <v>0</v>
      </c>
      <c r="U168" s="277">
        <f>IFERROR(IF($B168="N/A","N/A",IF(MOD(COLUMNS($H$151:U$151)-1,$E168)=0,$F168*$D168*$G168,)),)</f>
        <v>0</v>
      </c>
      <c r="V168" s="277">
        <f>IFERROR(IF($B168="N/A","N/A",IF(MOD(COLUMNS($H$151:V$151)-1,$E168)=0,$F168*$D168*$G168,)),)</f>
        <v>0</v>
      </c>
      <c r="W168" s="277">
        <f>IFERROR(IF($B168="N/A","N/A",IF(MOD(COLUMNS($H$151:W$151)-1,$E168)=0,$F168*$D168*$G168,)),)</f>
        <v>314.99999999999994</v>
      </c>
    </row>
    <row r="169" spans="2:23">
      <c r="B169" s="76" t="str">
        <f t="array" ref="B169">IF(COUNTIFS(INDEX(Equipment_Allocation_New,0,MATCH($C$107,Unit_codes,0)),"&gt;0")&lt;ROWS('2.2-Equipment input'!$X$8:$X25),"N/A",INDEX('2.2-Equipment input'!B:B,SMALL(IF(INDEX(Equipment_Allocation_New,0,MATCH($C$107,Unit_codes,0))&gt;0,ROW(equipment_ID)),ROW('2.2-Equipment input'!B18))))</f>
        <v>eq0034</v>
      </c>
      <c r="C169" s="76" t="str">
        <f>IF($B169="N/A","N/A",INDEX(Equipment_name[],MATCH(B169,equipment_ID,0)))</f>
        <v>Washing machine</v>
      </c>
      <c r="D169" s="277">
        <f t="shared" si="19"/>
        <v>181.99999999999997</v>
      </c>
      <c r="E169" s="94">
        <f t="shared" si="20"/>
        <v>3</v>
      </c>
      <c r="F169" s="94">
        <f t="shared" si="21"/>
        <v>2</v>
      </c>
      <c r="G169" s="94">
        <f t="shared" si="22"/>
        <v>1</v>
      </c>
      <c r="H169" s="277">
        <f>IFERROR(IF($B169="N/A","N/A",IF(MOD(COLUMNS(H$151:$H$151)-1,$E169)=0,$F169*$D169*$G169,)),)</f>
        <v>363.99999999999994</v>
      </c>
      <c r="I169" s="277">
        <f>IFERROR(IF($B169="N/A","N/A",IF(MOD(COLUMNS($H$151:I$151)-1,$E169)=0,$F169*$D169*$G169,)),)</f>
        <v>0</v>
      </c>
      <c r="J169" s="277">
        <f>IFERROR(IF($B169="N/A","N/A",IF(MOD(COLUMNS($H$151:J$151)-1,$E169)=0,$F169*$D169*$G169,)),)</f>
        <v>0</v>
      </c>
      <c r="K169" s="277">
        <f>IFERROR(IF($B169="N/A","N/A",IF(MOD(COLUMNS($H$151:K$151)-1,$E169)=0,$F169*$D169*$G169,)),)</f>
        <v>363.99999999999994</v>
      </c>
      <c r="L169" s="277">
        <f>IFERROR(IF($B169="N/A","N/A",IF(MOD(COLUMNS($H$151:L$151)-1,$E169)=0,$F169*$D169*$G169,)),)</f>
        <v>0</v>
      </c>
      <c r="M169" s="277">
        <f>IFERROR(IF($B169="N/A","N/A",IF(MOD(COLUMNS($H$151:M$151)-1,$E169)=0,$F169*$D169*$G169,)),)</f>
        <v>0</v>
      </c>
      <c r="N169" s="277">
        <f>IFERROR(IF($B169="N/A","N/A",IF(MOD(COLUMNS($H$151:N$151)-1,$E169)=0,$F169*$D169*$G169,)),)</f>
        <v>363.99999999999994</v>
      </c>
      <c r="O169" s="277">
        <f>IFERROR(IF($B169="N/A","N/A",IF(MOD(COLUMNS($H$151:O$151)-1,$E169)=0,$F169*$D169*$G169,)),)</f>
        <v>0</v>
      </c>
      <c r="P169" s="277">
        <f>IFERROR(IF($B169="N/A","N/A",IF(MOD(COLUMNS($H$151:P$151)-1,$E169)=0,$F169*$D169*$G169,)),)</f>
        <v>0</v>
      </c>
      <c r="Q169" s="277">
        <f>IFERROR(IF($B169="N/A","N/A",IF(MOD(COLUMNS($H$151:Q$151)-1,$E169)=0,$F169*$D169*$G169,)),)</f>
        <v>363.99999999999994</v>
      </c>
      <c r="R169" s="277">
        <f>IFERROR(IF($B169="N/A","N/A",IF(MOD(COLUMNS($H$151:R$151)-1,$E169)=0,$F169*$D169*$G169,)),)</f>
        <v>0</v>
      </c>
      <c r="S169" s="277">
        <f>IFERROR(IF($B169="N/A","N/A",IF(MOD(COLUMNS($H$151:S$151)-1,$E169)=0,$F169*$D169*$G169,)),)</f>
        <v>0</v>
      </c>
      <c r="T169" s="277">
        <f>IFERROR(IF($B169="N/A","N/A",IF(MOD(COLUMNS($H$151:T$151)-1,$E169)=0,$F169*$D169*$G169,)),)</f>
        <v>363.99999999999994</v>
      </c>
      <c r="U169" s="277">
        <f>IFERROR(IF($B169="N/A","N/A",IF(MOD(COLUMNS($H$151:U$151)-1,$E169)=0,$F169*$D169*$G169,)),)</f>
        <v>0</v>
      </c>
      <c r="V169" s="277">
        <f>IFERROR(IF($B169="N/A","N/A",IF(MOD(COLUMNS($H$151:V$151)-1,$E169)=0,$F169*$D169*$G169,)),)</f>
        <v>0</v>
      </c>
      <c r="W169" s="277">
        <f>IFERROR(IF($B169="N/A","N/A",IF(MOD(COLUMNS($H$151:W$151)-1,$E169)=0,$F169*$D169*$G169,)),)</f>
        <v>363.99999999999994</v>
      </c>
    </row>
    <row r="170" spans="2:23">
      <c r="B170" s="76" t="str">
        <f t="array" ref="B170">IF(COUNTIFS(INDEX(Equipment_Allocation_New,0,MATCH($C$107,Unit_codes,0)),"&gt;0")&lt;ROWS('2.2-Equipment input'!$X$8:$X26),"N/A",INDEX('2.2-Equipment input'!B:B,SMALL(IF(INDEX(Equipment_Allocation_New,0,MATCH($C$107,Unit_codes,0))&gt;0,ROW(equipment_ID)),ROW('2.2-Equipment input'!B19))))</f>
        <v>eq0035</v>
      </c>
      <c r="C170" s="76" t="str">
        <f>IF($B170="N/A","N/A",INDEX(Equipment_name[],MATCH(B170,equipment_ID,0)))</f>
        <v>Mixer (compost)</v>
      </c>
      <c r="D170" s="277">
        <f t="shared" si="19"/>
        <v>560</v>
      </c>
      <c r="E170" s="94">
        <f t="shared" si="20"/>
        <v>5</v>
      </c>
      <c r="F170" s="94">
        <f t="shared" si="21"/>
        <v>1</v>
      </c>
      <c r="G170" s="94">
        <f t="shared" si="22"/>
        <v>0.5</v>
      </c>
      <c r="H170" s="277">
        <f>IFERROR(IF($B170="N/A","N/A",IF(MOD(COLUMNS(H$151:$H$151)-1,$E170)=0,$F170*$D170*$G170,)),)</f>
        <v>280</v>
      </c>
      <c r="I170" s="277">
        <f>IFERROR(IF($B170="N/A","N/A",IF(MOD(COLUMNS($H$151:I$151)-1,$E170)=0,$F170*$D170*$G170,)),)</f>
        <v>0</v>
      </c>
      <c r="J170" s="277">
        <f>IFERROR(IF($B170="N/A","N/A",IF(MOD(COLUMNS($H$151:J$151)-1,$E170)=0,$F170*$D170*$G170,)),)</f>
        <v>0</v>
      </c>
      <c r="K170" s="277">
        <f>IFERROR(IF($B170="N/A","N/A",IF(MOD(COLUMNS($H$151:K$151)-1,$E170)=0,$F170*$D170*$G170,)),)</f>
        <v>0</v>
      </c>
      <c r="L170" s="277">
        <f>IFERROR(IF($B170="N/A","N/A",IF(MOD(COLUMNS($H$151:L$151)-1,$E170)=0,$F170*$D170*$G170,)),)</f>
        <v>0</v>
      </c>
      <c r="M170" s="277">
        <f>IFERROR(IF($B170="N/A","N/A",IF(MOD(COLUMNS($H$151:M$151)-1,$E170)=0,$F170*$D170*$G170,)),)</f>
        <v>280</v>
      </c>
      <c r="N170" s="277">
        <f>IFERROR(IF($B170="N/A","N/A",IF(MOD(COLUMNS($H$151:N$151)-1,$E170)=0,$F170*$D170*$G170,)),)</f>
        <v>0</v>
      </c>
      <c r="O170" s="277">
        <f>IFERROR(IF($B170="N/A","N/A",IF(MOD(COLUMNS($H$151:O$151)-1,$E170)=0,$F170*$D170*$G170,)),)</f>
        <v>0</v>
      </c>
      <c r="P170" s="277">
        <f>IFERROR(IF($B170="N/A","N/A",IF(MOD(COLUMNS($H$151:P$151)-1,$E170)=0,$F170*$D170*$G170,)),)</f>
        <v>0</v>
      </c>
      <c r="Q170" s="277">
        <f>IFERROR(IF($B170="N/A","N/A",IF(MOD(COLUMNS($H$151:Q$151)-1,$E170)=0,$F170*$D170*$G170,)),)</f>
        <v>0</v>
      </c>
      <c r="R170" s="277">
        <f>IFERROR(IF($B170="N/A","N/A",IF(MOD(COLUMNS($H$151:R$151)-1,$E170)=0,$F170*$D170*$G170,)),)</f>
        <v>280</v>
      </c>
      <c r="S170" s="277">
        <f>IFERROR(IF($B170="N/A","N/A",IF(MOD(COLUMNS($H$151:S$151)-1,$E170)=0,$F170*$D170*$G170,)),)</f>
        <v>0</v>
      </c>
      <c r="T170" s="277">
        <f>IFERROR(IF($B170="N/A","N/A",IF(MOD(COLUMNS($H$151:T$151)-1,$E170)=0,$F170*$D170*$G170,)),)</f>
        <v>0</v>
      </c>
      <c r="U170" s="277">
        <f>IFERROR(IF($B170="N/A","N/A",IF(MOD(COLUMNS($H$151:U$151)-1,$E170)=0,$F170*$D170*$G170,)),)</f>
        <v>0</v>
      </c>
      <c r="V170" s="277">
        <f>IFERROR(IF($B170="N/A","N/A",IF(MOD(COLUMNS($H$151:V$151)-1,$E170)=0,$F170*$D170*$G170,)),)</f>
        <v>0</v>
      </c>
      <c r="W170" s="277">
        <f>IFERROR(IF($B170="N/A","N/A",IF(MOD(COLUMNS($H$151:W$151)-1,$E170)=0,$F170*$D170*$G170,)),)</f>
        <v>280</v>
      </c>
    </row>
    <row r="171" spans="2:23">
      <c r="B171" s="76" t="str">
        <f t="array" ref="B171">IF(COUNTIFS(INDEX(Equipment_Allocation_New,0,MATCH($C$107,Unit_codes,0)),"&gt;0")&lt;ROWS('2.2-Equipment input'!$X$8:$X27),"N/A",INDEX('2.2-Equipment input'!B:B,SMALL(IF(INDEX(Equipment_Allocation_New,0,MATCH($C$107,Unit_codes,0))&gt;0,ROW(equipment_ID)),ROW('2.2-Equipment input'!B20))))</f>
        <v>eq0036</v>
      </c>
      <c r="C171" s="76" t="str">
        <f>IF($B171="N/A","N/A",INDEX(Equipment_name[],MATCH(B171,equipment_ID,0)))</f>
        <v>Blower</v>
      </c>
      <c r="D171" s="277">
        <f t="shared" si="19"/>
        <v>0</v>
      </c>
      <c r="E171" s="94">
        <f t="shared" si="20"/>
        <v>0</v>
      </c>
      <c r="F171" s="94">
        <f t="shared" si="21"/>
        <v>19.898611111111109</v>
      </c>
      <c r="G171" s="94">
        <f t="shared" si="22"/>
        <v>0.5</v>
      </c>
      <c r="H171" s="277">
        <f>IFERROR(IF($B171="N/A","N/A",IF(MOD(COLUMNS(H$151:$H$151)-1,$E171)=0,$F171*$D171*$G171,)),)</f>
        <v>0</v>
      </c>
      <c r="I171" s="277">
        <f>IFERROR(IF($B171="N/A","N/A",IF(MOD(COLUMNS($H$151:I$151)-1,$E171)=0,$F171*$D171*$G171,)),)</f>
        <v>0</v>
      </c>
      <c r="J171" s="277">
        <f>IFERROR(IF($B171="N/A","N/A",IF(MOD(COLUMNS($H$151:J$151)-1,$E171)=0,$F171*$D171*$G171,)),)</f>
        <v>0</v>
      </c>
      <c r="K171" s="277">
        <f>IFERROR(IF($B171="N/A","N/A",IF(MOD(COLUMNS($H$151:K$151)-1,$E171)=0,$F171*$D171*$G171,)),)</f>
        <v>0</v>
      </c>
      <c r="L171" s="277">
        <f>IFERROR(IF($B171="N/A","N/A",IF(MOD(COLUMNS($H$151:L$151)-1,$E171)=0,$F171*$D171*$G171,)),)</f>
        <v>0</v>
      </c>
      <c r="M171" s="277">
        <f>IFERROR(IF($B171="N/A","N/A",IF(MOD(COLUMNS($H$151:M$151)-1,$E171)=0,$F171*$D171*$G171,)),)</f>
        <v>0</v>
      </c>
      <c r="N171" s="277">
        <f>IFERROR(IF($B171="N/A","N/A",IF(MOD(COLUMNS($H$151:N$151)-1,$E171)=0,$F171*$D171*$G171,)),)</f>
        <v>0</v>
      </c>
      <c r="O171" s="277">
        <f>IFERROR(IF($B171="N/A","N/A",IF(MOD(COLUMNS($H$151:O$151)-1,$E171)=0,$F171*$D171*$G171,)),)</f>
        <v>0</v>
      </c>
      <c r="P171" s="277">
        <f>IFERROR(IF($B171="N/A","N/A",IF(MOD(COLUMNS($H$151:P$151)-1,$E171)=0,$F171*$D171*$G171,)),)</f>
        <v>0</v>
      </c>
      <c r="Q171" s="277">
        <f>IFERROR(IF($B171="N/A","N/A",IF(MOD(COLUMNS($H$151:Q$151)-1,$E171)=0,$F171*$D171*$G171,)),)</f>
        <v>0</v>
      </c>
      <c r="R171" s="277">
        <f>IFERROR(IF($B171="N/A","N/A",IF(MOD(COLUMNS($H$151:R$151)-1,$E171)=0,$F171*$D171*$G171,)),)</f>
        <v>0</v>
      </c>
      <c r="S171" s="277">
        <f>IFERROR(IF($B171="N/A","N/A",IF(MOD(COLUMNS($H$151:S$151)-1,$E171)=0,$F171*$D171*$G171,)),)</f>
        <v>0</v>
      </c>
      <c r="T171" s="277">
        <f>IFERROR(IF($B171="N/A","N/A",IF(MOD(COLUMNS($H$151:T$151)-1,$E171)=0,$F171*$D171*$G171,)),)</f>
        <v>0</v>
      </c>
      <c r="U171" s="277">
        <f>IFERROR(IF($B171="N/A","N/A",IF(MOD(COLUMNS($H$151:U$151)-1,$E171)=0,$F171*$D171*$G171,)),)</f>
        <v>0</v>
      </c>
      <c r="V171" s="277">
        <f>IFERROR(IF($B171="N/A","N/A",IF(MOD(COLUMNS($H$151:V$151)-1,$E171)=0,$F171*$D171*$G171,)),)</f>
        <v>0</v>
      </c>
      <c r="W171" s="277">
        <f>IFERROR(IF($B171="N/A","N/A",IF(MOD(COLUMNS($H$151:W$151)-1,$E171)=0,$F171*$D171*$G171,)),)</f>
        <v>0</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94" t="str">
        <f t="shared" si="21"/>
        <v>N/A</v>
      </c>
      <c r="G172" s="94"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94" t="str">
        <f t="shared" si="21"/>
        <v>N/A</v>
      </c>
      <c r="G173" s="94"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94" t="str">
        <f t="shared" si="21"/>
        <v>N/A</v>
      </c>
      <c r="G174" s="94"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94" t="str">
        <f t="shared" si="21"/>
        <v>N/A</v>
      </c>
      <c r="G175" s="94"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94" t="str">
        <f t="shared" si="21"/>
        <v>N/A</v>
      </c>
      <c r="G176" s="94"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94" t="str">
        <f t="shared" si="21"/>
        <v>N/A</v>
      </c>
      <c r="G177" s="94"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94" t="str">
        <f t="shared" si="21"/>
        <v>N/A</v>
      </c>
      <c r="G178" s="94"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94" t="str">
        <f t="shared" si="21"/>
        <v>N/A</v>
      </c>
      <c r="G179" s="94"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94" t="str">
        <f t="shared" si="21"/>
        <v>N/A</v>
      </c>
      <c r="G180" s="94"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94" t="str">
        <f t="shared" si="21"/>
        <v>N/A</v>
      </c>
      <c r="G181" s="94"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94" t="str">
        <f t="shared" si="21"/>
        <v>N/A</v>
      </c>
      <c r="G182" s="94"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94" t="str">
        <f t="shared" si="21"/>
        <v>N/A</v>
      </c>
      <c r="G183" s="94"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94" t="str">
        <f t="shared" si="21"/>
        <v>N/A</v>
      </c>
      <c r="G184" s="94"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94" t="str">
        <f t="shared" si="21"/>
        <v>N/A</v>
      </c>
      <c r="G185" s="94"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94" t="str">
        <f t="shared" si="21"/>
        <v>N/A</v>
      </c>
      <c r="G186" s="94"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94" t="str">
        <f t="shared" si="21"/>
        <v>N/A</v>
      </c>
      <c r="G187" s="94"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94" t="str">
        <f t="shared" si="21"/>
        <v>N/A</v>
      </c>
      <c r="G188" s="94"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94" t="str">
        <f t="shared" si="21"/>
        <v>N/A</v>
      </c>
      <c r="G189" s="94"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LWP3nRfePMmdLp5TKotUGj5s5Tcl/BrWJr3zX95myNUhF9kU17C+pgxljBy9f4ibFc+OCA77kZir9xVAQMyQAg==" saltValue="bVfOM0M2hqhyoFEpQUlX4A==" spinCount="100000" sheet="1" objects="1" scenarios="1"/>
  <mergeCells count="7">
    <mergeCell ref="C79:D79"/>
    <mergeCell ref="C80:D80"/>
    <mergeCell ref="B2:F2"/>
    <mergeCell ref="B33:D33"/>
    <mergeCell ref="C48:D48"/>
    <mergeCell ref="C49:D49"/>
    <mergeCell ref="B43:D43"/>
  </mergeCells>
  <conditionalFormatting sqref="B52:B74 E52:E74">
    <cfRule type="containsText" dxfId="470" priority="117" operator="containsText" text="N/A">
      <formula>NOT(ISERROR(SEARCH("N/A",B52)))</formula>
    </cfRule>
  </conditionalFormatting>
  <conditionalFormatting sqref="B110:C147">
    <cfRule type="containsText" dxfId="469" priority="114" operator="containsText" text="N/A">
      <formula>NOT(ISERROR(SEARCH("N/A",B110)))</formula>
    </cfRule>
  </conditionalFormatting>
  <conditionalFormatting sqref="C52:C74">
    <cfRule type="containsText" dxfId="468" priority="113" operator="containsText" text="N/A">
      <formula>NOT(ISERROR(SEARCH("N/A",C52)))</formula>
    </cfRule>
  </conditionalFormatting>
  <conditionalFormatting sqref="F52:F74">
    <cfRule type="containsText" dxfId="467" priority="111" operator="containsText" text="N/A">
      <formula>NOT(ISERROR(SEARCH("N/A",F52)))</formula>
    </cfRule>
  </conditionalFormatting>
  <conditionalFormatting sqref="E110:E147">
    <cfRule type="containsText" dxfId="466" priority="110" operator="containsText" text="N/A">
      <formula>NOT(ISERROR(SEARCH("N/A",E110)))</formula>
    </cfRule>
  </conditionalFormatting>
  <conditionalFormatting sqref="B83:B103">
    <cfRule type="containsText" dxfId="465" priority="109" operator="containsText" text="N/A">
      <formula>NOT(ISERROR(SEARCH("N/A",B83)))</formula>
    </cfRule>
  </conditionalFormatting>
  <conditionalFormatting sqref="E83:E103">
    <cfRule type="containsText" dxfId="464" priority="105" operator="containsText" text="N/A">
      <formula>NOT(ISERROR(SEARCH("N/A",E83)))</formula>
    </cfRule>
  </conditionalFormatting>
  <conditionalFormatting sqref="C83:C103">
    <cfRule type="containsText" dxfId="463" priority="104" operator="containsText" text="N/A">
      <formula>NOT(ISERROR(SEARCH("N/A",C83)))</formula>
    </cfRule>
  </conditionalFormatting>
  <conditionalFormatting sqref="F152:F189">
    <cfRule type="containsText" dxfId="462" priority="83" operator="containsText" text="N/A">
      <formula>NOT(ISERROR(SEARCH("N/A",F152)))</formula>
    </cfRule>
  </conditionalFormatting>
  <conditionalFormatting sqref="F83:F103">
    <cfRule type="containsText" dxfId="461" priority="102" operator="containsText" text="N/A">
      <formula>NOT(ISERROR(SEARCH("N/A",F83)))</formula>
    </cfRule>
  </conditionalFormatting>
  <conditionalFormatting sqref="F33 B20:D31">
    <cfRule type="containsText" dxfId="460" priority="99" operator="containsText" text="N/A">
      <formula>NOT(ISERROR(SEARCH("N/A",B20)))</formula>
    </cfRule>
  </conditionalFormatting>
  <conditionalFormatting sqref="G110:G147">
    <cfRule type="containsText" dxfId="459" priority="96" operator="containsText" text="N/A">
      <formula>NOT(ISERROR(SEARCH("N/A",G110)))</formula>
    </cfRule>
  </conditionalFormatting>
  <conditionalFormatting sqref="I110:I147">
    <cfRule type="containsText" dxfId="458" priority="95" operator="containsText" text="N/A">
      <formula>NOT(ISERROR(SEARCH("N/A",I110)))</formula>
    </cfRule>
  </conditionalFormatting>
  <conditionalFormatting sqref="K110:K147">
    <cfRule type="containsText" dxfId="457" priority="94" operator="containsText" text="N/A">
      <formula>NOT(ISERROR(SEARCH("N/A",K110)))</formula>
    </cfRule>
  </conditionalFormatting>
  <conditionalFormatting sqref="F110:F147">
    <cfRule type="containsText" dxfId="456" priority="93" operator="containsText" text="N/A">
      <formula>NOT(ISERROR(SEARCH("N/A",F110)))</formula>
    </cfRule>
  </conditionalFormatting>
  <conditionalFormatting sqref="B152:B189">
    <cfRule type="containsText" dxfId="455" priority="85" operator="containsText" text="N/A">
      <formula>NOT(ISERROR(SEARCH("N/A",B152)))</formula>
    </cfRule>
  </conditionalFormatting>
  <conditionalFormatting sqref="C152:C189">
    <cfRule type="containsText" dxfId="454" priority="84" operator="containsText" text="N/A">
      <formula>NOT(ISERROR(SEARCH("N/A",C152)))</formula>
    </cfRule>
  </conditionalFormatting>
  <conditionalFormatting sqref="E152:E189">
    <cfRule type="containsText" dxfId="453" priority="81" operator="containsText" text="N/A">
      <formula>NOT(ISERROR(SEARCH("N/A",E152)))</formula>
    </cfRule>
  </conditionalFormatting>
  <conditionalFormatting sqref="O110:O147">
    <cfRule type="containsText" dxfId="452" priority="72" operator="containsText" text="N/A">
      <formula>NOT(ISERROR(SEARCH("N/A",O110)))</formula>
    </cfRule>
  </conditionalFormatting>
  <conditionalFormatting sqref="H153:W189 I152:W152">
    <cfRule type="containsText" dxfId="451" priority="78" operator="containsText" text="N/A">
      <formula>NOT(ISERROR(SEARCH("N/A",H152)))</formula>
    </cfRule>
  </conditionalFormatting>
  <conditionalFormatting sqref="G152:G189">
    <cfRule type="containsText" dxfId="450" priority="75" operator="containsText" text="N/A">
      <formula>NOT(ISERROR(SEARCH("N/A",G152)))</formula>
    </cfRule>
  </conditionalFormatting>
  <conditionalFormatting sqref="E20:E31">
    <cfRule type="containsText" dxfId="449" priority="73" operator="containsText" text="N/A">
      <formula>NOT(ISERROR(SEARCH("N/A",E20)))</formula>
    </cfRule>
  </conditionalFormatting>
  <conditionalFormatting sqref="F39:F41">
    <cfRule type="expression" dxfId="448" priority="66">
      <formula>IF(INDIRECT("General_Currency_Selection")="CHF",TRUE)</formula>
    </cfRule>
    <cfRule type="expression" dxfId="447" priority="67">
      <formula>IF(INDIRECT("General_Currency_Selection")="EUR",TRUE)</formula>
    </cfRule>
    <cfRule type="expression" dxfId="446" priority="68">
      <formula>IF(INDIRECT("General_Currency_Selection")="USD",TRUE)</formula>
    </cfRule>
  </conditionalFormatting>
  <conditionalFormatting sqref="E39:E41">
    <cfRule type="expression" dxfId="445" priority="63">
      <formula>IF(INDIRECT("General_Currency_Selection")="CHF",TRUE)</formula>
    </cfRule>
    <cfRule type="expression" dxfId="444" priority="64">
      <formula>IF(INDIRECT("General_Currency_Selection")="EUR",TRUE)</formula>
    </cfRule>
    <cfRule type="expression" dxfId="443" priority="65">
      <formula>IF(INDIRECT("General_Currency_Selection")="USD",TRUE)</formula>
    </cfRule>
  </conditionalFormatting>
  <conditionalFormatting sqref="E43:F43">
    <cfRule type="expression" dxfId="442" priority="60">
      <formula>IF(INDIRECT("General_Currency_Selection")="CHF",TRUE)</formula>
    </cfRule>
    <cfRule type="expression" dxfId="441" priority="61">
      <formula>IF(INDIRECT("General_Currency_Selection")="EUR",TRUE)</formula>
    </cfRule>
    <cfRule type="expression" dxfId="440" priority="62">
      <formula>IF(INDIRECT("General_Currency_Selection")="USD",TRUE)</formula>
    </cfRule>
  </conditionalFormatting>
  <conditionalFormatting sqref="G35">
    <cfRule type="expression" dxfId="439" priority="57">
      <formula>IF(INDIRECT("General_Currency_Selection")="CHF",TRUE)</formula>
    </cfRule>
    <cfRule type="expression" dxfId="438" priority="58">
      <formula>IF(INDIRECT("General_Currency_Selection")="EUR",TRUE)</formula>
    </cfRule>
    <cfRule type="expression" dxfId="437" priority="59">
      <formula>IF(INDIRECT("General_Currency_Selection")="USD",TRUE)</formula>
    </cfRule>
  </conditionalFormatting>
  <conditionalFormatting sqref="G15">
    <cfRule type="expression" dxfId="436" priority="54">
      <formula>IF(INDIRECT("General_Currency_Selection")="CHF",TRUE)</formula>
    </cfRule>
    <cfRule type="expression" dxfId="435" priority="55">
      <formula>IF(INDIRECT("General_Currency_Selection")="EUR",TRUE)</formula>
    </cfRule>
    <cfRule type="expression" dxfId="434" priority="56">
      <formula>IF(INDIRECT("General_Currency_Selection")="USD",TRUE)</formula>
    </cfRule>
  </conditionalFormatting>
  <conditionalFormatting sqref="G45">
    <cfRule type="expression" dxfId="433" priority="51">
      <formula>IF(INDIRECT("General_Currency_Selection")="CHF",TRUE)</formula>
    </cfRule>
    <cfRule type="expression" dxfId="432" priority="52">
      <formula>IF(INDIRECT("General_Currency_Selection")="EUR",TRUE)</formula>
    </cfRule>
    <cfRule type="expression" dxfId="431" priority="53">
      <formula>IF(INDIRECT("General_Currency_Selection")="USD",TRUE)</formula>
    </cfRule>
  </conditionalFormatting>
  <conditionalFormatting sqref="F20:F31">
    <cfRule type="expression" dxfId="430" priority="48">
      <formula>IF(INDIRECT("General_Currency_Selection")="CHF",TRUE)</formula>
    </cfRule>
    <cfRule type="expression" dxfId="429" priority="49">
      <formula>IF(INDIRECT("General_Currency_Selection")="EUR",TRUE)</formula>
    </cfRule>
    <cfRule type="expression" dxfId="428" priority="50">
      <formula>IF(INDIRECT("General_Currency_Selection")="USD",TRUE)</formula>
    </cfRule>
  </conditionalFormatting>
  <conditionalFormatting sqref="E33">
    <cfRule type="expression" dxfId="427" priority="45">
      <formula>IF(INDIRECT("General_Currency_Selection")="CHF",TRUE)</formula>
    </cfRule>
    <cfRule type="expression" dxfId="426" priority="46">
      <formula>IF(INDIRECT("General_Currency_Selection")="EUR",TRUE)</formula>
    </cfRule>
    <cfRule type="expression" dxfId="425" priority="47">
      <formula>IF(INDIRECT("General_Currency_Selection")="USD",TRUE)</formula>
    </cfRule>
  </conditionalFormatting>
  <conditionalFormatting sqref="D52:D74">
    <cfRule type="expression" dxfId="424" priority="42">
      <formula>IF(INDIRECT("General_Currency_Selection")="CHF",TRUE)</formula>
    </cfRule>
    <cfRule type="expression" dxfId="423" priority="43">
      <formula>IF(INDIRECT("General_Currency_Selection")="EUR",TRUE)</formula>
    </cfRule>
    <cfRule type="expression" dxfId="422" priority="44">
      <formula>IF(INDIRECT("General_Currency_Selection")="USD",TRUE)</formula>
    </cfRule>
  </conditionalFormatting>
  <conditionalFormatting sqref="G52:G74">
    <cfRule type="expression" dxfId="421" priority="39">
      <formula>IF(INDIRECT("General_Currency_Selection")="CHF",TRUE)</formula>
    </cfRule>
    <cfRule type="expression" dxfId="420" priority="40">
      <formula>IF(INDIRECT("General_Currency_Selection")="EUR",TRUE)</formula>
    </cfRule>
    <cfRule type="expression" dxfId="419" priority="41">
      <formula>IF(INDIRECT("General_Currency_Selection")="USD",TRUE)</formula>
    </cfRule>
  </conditionalFormatting>
  <conditionalFormatting sqref="G76">
    <cfRule type="expression" dxfId="418" priority="36">
      <formula>IF(INDIRECT("General_Currency_Selection")="CHF",TRUE)</formula>
    </cfRule>
    <cfRule type="expression" dxfId="417" priority="37">
      <formula>IF(INDIRECT("General_Currency_Selection")="EUR",TRUE)</formula>
    </cfRule>
    <cfRule type="expression" dxfId="416" priority="38">
      <formula>IF(INDIRECT("General_Currency_Selection")="USD",TRUE)</formula>
    </cfRule>
  </conditionalFormatting>
  <conditionalFormatting sqref="D83:D103">
    <cfRule type="expression" dxfId="415" priority="33">
      <formula>IF(INDIRECT("General_Currency_Selection")="CHF",TRUE)</formula>
    </cfRule>
    <cfRule type="expression" dxfId="414" priority="34">
      <formula>IF(INDIRECT("General_Currency_Selection")="EUR",TRUE)</formula>
    </cfRule>
    <cfRule type="expression" dxfId="413" priority="35">
      <formula>IF(INDIRECT("General_Currency_Selection")="USD",TRUE)</formula>
    </cfRule>
  </conditionalFormatting>
  <conditionalFormatting sqref="G83:G103">
    <cfRule type="expression" dxfId="412" priority="30">
      <formula>IF(INDIRECT("General_Currency_Selection")="CHF",TRUE)</formula>
    </cfRule>
    <cfRule type="expression" dxfId="411" priority="31">
      <formula>IF(INDIRECT("General_Currency_Selection")="EUR",TRUE)</formula>
    </cfRule>
    <cfRule type="expression" dxfId="410" priority="32">
      <formula>IF(INDIRECT("General_Currency_Selection")="USD",TRUE)</formula>
    </cfRule>
  </conditionalFormatting>
  <conditionalFormatting sqref="G105">
    <cfRule type="expression" dxfId="409" priority="27">
      <formula>IF(INDIRECT("General_Currency_Selection")="CHF",TRUE)</formula>
    </cfRule>
    <cfRule type="expression" dxfId="408" priority="28">
      <formula>IF(INDIRECT("General_Currency_Selection")="EUR",TRUE)</formula>
    </cfRule>
    <cfRule type="expression" dxfId="407" priority="29">
      <formula>IF(INDIRECT("General_Currency_Selection")="USD",TRUE)</formula>
    </cfRule>
  </conditionalFormatting>
  <conditionalFormatting sqref="D110:D147">
    <cfRule type="expression" dxfId="406" priority="24">
      <formula>IF(INDIRECT("General_Currency_Selection")="CHF",TRUE)</formula>
    </cfRule>
    <cfRule type="expression" dxfId="405" priority="25">
      <formula>IF(INDIRECT("General_Currency_Selection")="EUR",TRUE)</formula>
    </cfRule>
    <cfRule type="expression" dxfId="404" priority="26">
      <formula>IF(INDIRECT("General_Currency_Selection")="USD",TRUE)</formula>
    </cfRule>
  </conditionalFormatting>
  <conditionalFormatting sqref="N110:N147">
    <cfRule type="expression" dxfId="403" priority="21">
      <formula>IF(INDIRECT("General_Currency_Selection")="CHF",TRUE)</formula>
    </cfRule>
    <cfRule type="expression" dxfId="402" priority="22">
      <formula>IF(INDIRECT("General_Currency_Selection")="EUR",TRUE)</formula>
    </cfRule>
    <cfRule type="expression" dxfId="401" priority="23">
      <formula>IF(INDIRECT("General_Currency_Selection")="USD",TRUE)</formula>
    </cfRule>
  </conditionalFormatting>
  <conditionalFormatting sqref="D152:D189">
    <cfRule type="expression" dxfId="400" priority="18">
      <formula>IF(INDIRECT("General_Currency_Selection")="CHF",TRUE)</formula>
    </cfRule>
    <cfRule type="expression" dxfId="399" priority="19">
      <formula>IF(INDIRECT("General_Currency_Selection")="EUR",TRUE)</formula>
    </cfRule>
    <cfRule type="expression" dxfId="398" priority="20">
      <formula>IF(INDIRECT("General_Currency_Selection")="USD",TRUE)</formula>
    </cfRule>
  </conditionalFormatting>
  <conditionalFormatting sqref="H149:W149">
    <cfRule type="expression" dxfId="397" priority="15">
      <formula>IF(INDIRECT("General_Currency_Selection")="CHF",TRUE)</formula>
    </cfRule>
    <cfRule type="expression" dxfId="396" priority="16">
      <formula>IF(INDIRECT("General_Currency_Selection")="EUR",TRUE)</formula>
    </cfRule>
    <cfRule type="expression" dxfId="395" priority="17">
      <formula>IF(INDIRECT("General_Currency_Selection")="USD",TRUE)</formula>
    </cfRule>
  </conditionalFormatting>
  <conditionalFormatting sqref="H152:W189">
    <cfRule type="expression" dxfId="394" priority="12">
      <formula>IF(INDIRECT("General_Currency_Selection")="CHF",TRUE)</formula>
    </cfRule>
    <cfRule type="expression" dxfId="393" priority="13">
      <formula>IF(INDIRECT("General_Currency_Selection")="EUR",TRUE)</formula>
    </cfRule>
    <cfRule type="expression" dxfId="392" priority="14">
      <formula>IF(INDIRECT("General_Currency_Selection")="USD",TRUE)</formula>
    </cfRule>
  </conditionalFormatting>
  <conditionalFormatting sqref="H110:H147">
    <cfRule type="expression" dxfId="391" priority="7">
      <formula>IF(INDIRECT("General_Currency_Selection")="CHF",TRUE)</formula>
    </cfRule>
    <cfRule type="expression" dxfId="390" priority="8">
      <formula>IF(INDIRECT("General_Currency_Selection")="EUR",TRUE)</formula>
    </cfRule>
    <cfRule type="expression" dxfId="389" priority="9">
      <formula>IF(INDIRECT("General_Currency_Selection")="USD",TRUE)</formula>
    </cfRule>
  </conditionalFormatting>
  <conditionalFormatting sqref="J110:J147">
    <cfRule type="expression" dxfId="388" priority="4">
      <formula>IF(INDIRECT("General_Currency_Selection")="CHF",TRUE)</formula>
    </cfRule>
    <cfRule type="expression" dxfId="387" priority="5">
      <formula>IF(INDIRECT("General_Currency_Selection")="EUR",TRUE)</formula>
    </cfRule>
    <cfRule type="expression" dxfId="386" priority="6">
      <formula>IF(INDIRECT("General_Currency_Selection")="USD",TRUE)</formula>
    </cfRule>
  </conditionalFormatting>
  <conditionalFormatting sqref="L110:L147">
    <cfRule type="expression" dxfId="385" priority="1">
      <formula>IF(INDIRECT("General_Currency_Selection")="CHF",TRUE)</formula>
    </cfRule>
    <cfRule type="expression" dxfId="384" priority="2">
      <formula>IF(INDIRECT("General_Currency_Selection")="EUR",TRUE)</formula>
    </cfRule>
    <cfRule type="expression" dxfId="383"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79998168889431442"/>
  </sheetPr>
  <dimension ref="B1:W189"/>
  <sheetViews>
    <sheetView zoomScale="70" zoomScaleNormal="70" workbookViewId="0">
      <selection activeCell="H6" sqref="H6"/>
    </sheetView>
  </sheetViews>
  <sheetFormatPr defaultColWidth="11.140625" defaultRowHeight="15"/>
  <cols>
    <col min="1" max="1" width="0.85546875" style="12" customWidth="1"/>
    <col min="2" max="2" width="13.85546875" style="12" customWidth="1"/>
    <col min="3" max="4" width="18.42578125" style="12" customWidth="1"/>
    <col min="5" max="5" width="17.85546875" style="12" customWidth="1"/>
    <col min="6" max="6" width="26.140625" style="12" customWidth="1"/>
    <col min="7" max="23" width="16.5703125" style="12" customWidth="1"/>
    <col min="24" max="16384" width="11.140625" style="12"/>
  </cols>
  <sheetData>
    <row r="1" spans="2:16" ht="21">
      <c r="B1" s="1" t="s">
        <v>180</v>
      </c>
      <c r="C1" s="6"/>
      <c r="D1" s="6"/>
      <c r="E1" s="6"/>
    </row>
    <row r="2" spans="2:16" ht="44.1" customHeight="1" thickBot="1">
      <c r="B2" s="914" t="s">
        <v>147</v>
      </c>
      <c r="C2" s="915"/>
      <c r="D2" s="915"/>
      <c r="E2" s="915"/>
      <c r="F2" s="916"/>
    </row>
    <row r="3" spans="2:16" ht="18.75">
      <c r="B3" s="64" t="s">
        <v>0</v>
      </c>
      <c r="C3" s="61"/>
      <c r="D3" s="61"/>
      <c r="E3" s="61"/>
      <c r="F3" s="61"/>
      <c r="G3" s="61"/>
      <c r="H3" s="61"/>
      <c r="I3" s="61"/>
      <c r="J3" s="61"/>
      <c r="K3" s="61"/>
      <c r="L3" s="61"/>
      <c r="M3" s="61"/>
      <c r="N3" s="61"/>
      <c r="O3" s="61"/>
      <c r="P3" s="61"/>
    </row>
    <row r="4" spans="2:16" ht="15.75">
      <c r="B4" s="67"/>
    </row>
    <row r="5" spans="2:16" ht="15.75">
      <c r="B5" s="67"/>
    </row>
    <row r="6" spans="2:16" ht="15.75">
      <c r="B6" s="67"/>
    </row>
    <row r="12" spans="2:16" ht="15.75">
      <c r="B12" s="105" t="s">
        <v>70</v>
      </c>
      <c r="C12" s="105" t="s">
        <v>71</v>
      </c>
      <c r="E12" s="67" t="s">
        <v>74</v>
      </c>
    </row>
    <row r="13" spans="2:16" ht="15.75" thickBot="1">
      <c r="B13" s="86" t="s">
        <v>72</v>
      </c>
      <c r="C13" s="102">
        <f>General_5DOLProduction_Total</f>
        <v>5.5157806522495427</v>
      </c>
      <c r="E13" s="63" t="s">
        <v>148</v>
      </c>
      <c r="F13" s="63"/>
      <c r="G13" s="63"/>
      <c r="H13" s="63"/>
      <c r="I13" s="63"/>
      <c r="J13" s="63"/>
      <c r="K13" s="63"/>
      <c r="L13" s="63"/>
      <c r="M13" s="63"/>
      <c r="N13" s="63"/>
      <c r="O13" s="63"/>
    </row>
    <row r="14" spans="2:16" ht="16.5" thickTop="1" thickBot="1"/>
    <row r="15" spans="2:16" ht="30.75">
      <c r="B15" s="2" t="s">
        <v>73</v>
      </c>
      <c r="C15" s="110"/>
      <c r="D15" s="61"/>
      <c r="E15" s="61"/>
      <c r="F15" s="108" t="s">
        <v>128</v>
      </c>
      <c r="G15" s="288">
        <f>E33*C13*1000</f>
        <v>5062.3878952591522</v>
      </c>
      <c r="H15" s="61"/>
      <c r="I15" s="61"/>
      <c r="J15" s="61"/>
      <c r="K15" s="61"/>
      <c r="L15" s="61"/>
      <c r="M15" s="61"/>
      <c r="N15" s="61"/>
      <c r="O15" s="61"/>
      <c r="P15" s="61"/>
    </row>
    <row r="16" spans="2:16" ht="15.75">
      <c r="B16" s="67" t="s">
        <v>441</v>
      </c>
      <c r="I16" s="247"/>
      <c r="J16" s="247"/>
      <c r="K16" s="31"/>
      <c r="L16" s="247"/>
      <c r="M16" s="24"/>
    </row>
    <row r="17" spans="2:13">
      <c r="B17" s="105" t="s">
        <v>78</v>
      </c>
      <c r="C17" s="86" t="s">
        <v>533</v>
      </c>
      <c r="I17" s="31"/>
      <c r="J17" s="248"/>
      <c r="K17" s="96"/>
      <c r="L17" s="80"/>
      <c r="M17" s="24"/>
    </row>
    <row r="18" spans="2:13">
      <c r="I18" s="247"/>
      <c r="J18" s="79"/>
      <c r="K18" s="96"/>
      <c r="L18" s="80"/>
      <c r="M18" s="24"/>
    </row>
    <row r="19" spans="2:13">
      <c r="B19" s="115" t="s">
        <v>416</v>
      </c>
      <c r="C19" s="115" t="s">
        <v>417</v>
      </c>
      <c r="D19" s="105" t="s">
        <v>115</v>
      </c>
      <c r="E19" s="105" t="s">
        <v>109</v>
      </c>
      <c r="F19" s="105" t="s">
        <v>649</v>
      </c>
      <c r="I19" s="247"/>
      <c r="J19" s="79"/>
      <c r="K19" s="96"/>
      <c r="L19" s="80"/>
      <c r="M19" s="24"/>
    </row>
    <row r="20" spans="2:13">
      <c r="B20" s="77" t="str">
        <f t="array" ref="B20">IF(COUNTIFS(INDEX(Material_Input,0,MATCH($C$17,Unit_codes,0)),"&gt;0")&lt;ROWS('2.1-Material input'!$J$4:J4),"N/A",INDEX('2.1-Material input'!B:B,SMALL(IF(INDEX(Material_Input,0,MATCH($C$17,Unit_codes,0))&gt;0,ROW(Material_Code)),ROW('2.1-Material input'!B1))))</f>
        <v>ma0002</v>
      </c>
      <c r="C20" s="77" t="str">
        <f t="shared" ref="C20:C31" si="0">IF($B20="N/A","N/A",INDEX(Material_Name,MATCH(B20,Material_Code,0)))</f>
        <v>Cocopeat</v>
      </c>
      <c r="D20" s="109">
        <f t="shared" ref="D20:D31" si="1">IF($B20="N/A","N/A",INDEX(Material_Input,MATCH($B20,Material_Code,0),MATCH($C$17,Unit_codes,0)))</f>
        <v>4.4279999999999996E-3</v>
      </c>
      <c r="E20" s="93">
        <f t="shared" ref="E20:E31" si="2">IF($B20="N/A","N/A",INDEX(Material_Unit_Price,MATCH($B20,Material_Code,0)))</f>
        <v>0.35</v>
      </c>
      <c r="F20" s="277">
        <f>IFERROR(E20*D20,"")</f>
        <v>1.5497999999999998E-3</v>
      </c>
      <c r="H20" s="88"/>
      <c r="I20" s="247"/>
      <c r="J20" s="192"/>
      <c r="K20" s="96"/>
      <c r="L20" s="80"/>
      <c r="M20" s="24"/>
    </row>
    <row r="21" spans="2:13">
      <c r="B21" s="77" t="str">
        <f t="array" ref="B21">IF(COUNTIFS(INDEX(Material_Input,0,MATCH($C$17,Unit_codes,0)),"&gt;0")&lt;ROWS('2.1-Material input'!$J$4:J5),"N/A",INDEX('2.1-Material input'!B:B,SMALL(IF(INDEX(Material_Input,0,MATCH($C$17,Unit_codes,0))&gt;0,ROW(Material_Code)),ROW('2.1-Material input'!B2))))</f>
        <v>ma0003</v>
      </c>
      <c r="C21" s="77" t="str">
        <f t="shared" si="0"/>
        <v>Chicken feed</v>
      </c>
      <c r="D21" s="109">
        <f t="shared" si="1"/>
        <v>1.897</v>
      </c>
      <c r="E21" s="93">
        <f t="shared" si="2"/>
        <v>0.48299999999999998</v>
      </c>
      <c r="F21" s="277">
        <f t="shared" ref="F21:F31" si="3">IFERROR(E21*D21,"")</f>
        <v>0.91625099999999993</v>
      </c>
      <c r="I21" s="247"/>
      <c r="J21" s="79"/>
      <c r="K21" s="96"/>
      <c r="L21" s="80"/>
      <c r="M21" s="24"/>
    </row>
    <row r="22" spans="2:13">
      <c r="B22" s="77" t="str">
        <f t="array" ref="B22">IF(COUNTIFS(INDEX(Material_Input,0,MATCH($C$17,Unit_codes,0)),"&gt;0")&lt;ROWS('2.1-Material input'!$J$4:J6),"N/A",INDEX('2.1-Material input'!B:B,SMALL(IF(INDEX(Material_Input,0,MATCH($C$17,Unit_codes,0))&gt;0,ROW(Material_Code)),ROW('2.1-Material input'!B3))))</f>
        <v>ma0004</v>
      </c>
      <c r="C22" s="77" t="str">
        <f t="shared" si="0"/>
        <v>Fruit water</v>
      </c>
      <c r="D22" s="109">
        <f t="shared" si="1"/>
        <v>175.536</v>
      </c>
      <c r="E22" s="93">
        <f t="shared" si="2"/>
        <v>0</v>
      </c>
      <c r="F22" s="277">
        <f t="shared" si="3"/>
        <v>0</v>
      </c>
      <c r="I22" s="31"/>
      <c r="J22" s="79"/>
      <c r="K22" s="96"/>
      <c r="L22" s="80"/>
      <c r="M22" s="24"/>
    </row>
    <row r="23" spans="2:13">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c r="I23" s="31"/>
      <c r="J23" s="79"/>
      <c r="K23" s="96"/>
      <c r="L23" s="80"/>
      <c r="M23" s="24"/>
    </row>
    <row r="24" spans="2:13">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c r="I24" s="31"/>
      <c r="J24" s="79"/>
      <c r="K24" s="96"/>
      <c r="L24" s="80"/>
      <c r="M24" s="24"/>
    </row>
    <row r="25" spans="2:13">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c r="I25" s="31"/>
      <c r="J25" s="79"/>
      <c r="K25" s="96"/>
      <c r="L25" s="80"/>
      <c r="M25" s="24"/>
    </row>
    <row r="26" spans="2:13">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c r="I26" s="31"/>
      <c r="J26" s="79"/>
      <c r="K26" s="96"/>
      <c r="L26" s="80"/>
      <c r="M26" s="24"/>
    </row>
    <row r="27" spans="2:13">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c r="I27" s="31"/>
      <c r="J27" s="79"/>
      <c r="K27" s="96"/>
      <c r="L27" s="80"/>
      <c r="M27" s="24"/>
    </row>
    <row r="28" spans="2:13">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c r="I28" s="31"/>
      <c r="J28" s="79"/>
      <c r="K28" s="96"/>
      <c r="L28" s="80"/>
    </row>
    <row r="29" spans="2:13">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c r="I29" s="31"/>
      <c r="J29" s="79"/>
      <c r="K29" s="96"/>
      <c r="L29" s="80"/>
    </row>
    <row r="30" spans="2:13">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c r="I30" s="31"/>
      <c r="J30" s="79"/>
      <c r="K30" s="96"/>
      <c r="L30" s="80"/>
    </row>
    <row r="31" spans="2:13">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c r="I31" s="31"/>
      <c r="J31" s="79"/>
      <c r="K31" s="96"/>
      <c r="L31" s="80"/>
    </row>
    <row r="32" spans="2:13">
      <c r="B32" s="81"/>
      <c r="C32" s="81"/>
      <c r="D32" s="81"/>
      <c r="E32" s="82"/>
      <c r="K32" s="24"/>
    </row>
    <row r="33" spans="2:16">
      <c r="B33" s="909" t="s">
        <v>127</v>
      </c>
      <c r="C33" s="909"/>
      <c r="D33" s="909"/>
      <c r="E33" s="289">
        <f>SUM(F20:F31)</f>
        <v>0.91780079999999997</v>
      </c>
    </row>
    <row r="34" spans="2:16" ht="15.75" thickBot="1"/>
    <row r="35" spans="2:16" ht="18.75">
      <c r="B35" s="2" t="s">
        <v>144</v>
      </c>
      <c r="C35" s="110"/>
      <c r="D35" s="61"/>
      <c r="E35" s="61"/>
      <c r="F35" s="108" t="s">
        <v>187</v>
      </c>
      <c r="G35" s="288">
        <f>F43</f>
        <v>581.64016331380196</v>
      </c>
      <c r="H35" s="61"/>
      <c r="I35" s="61"/>
      <c r="J35" s="61"/>
      <c r="K35" s="61"/>
      <c r="L35" s="61"/>
      <c r="M35" s="61"/>
      <c r="N35" s="61"/>
      <c r="O35" s="61"/>
      <c r="P35" s="61"/>
    </row>
    <row r="36" spans="2:16" ht="15.75">
      <c r="B36" s="67" t="s">
        <v>541</v>
      </c>
      <c r="C36" s="24"/>
      <c r="D36" s="24"/>
      <c r="E36" s="24"/>
    </row>
    <row r="37" spans="2:16">
      <c r="B37" s="32"/>
      <c r="C37" s="138"/>
      <c r="D37" s="24"/>
      <c r="E37" s="24"/>
      <c r="H37" s="24"/>
      <c r="I37" s="24"/>
      <c r="J37" s="24"/>
      <c r="K37" s="24"/>
      <c r="L37" s="24"/>
    </row>
    <row r="38" spans="2:16" ht="15.75">
      <c r="C38" s="97" t="s">
        <v>527</v>
      </c>
      <c r="D38" s="97" t="s">
        <v>78</v>
      </c>
      <c r="E38" s="97" t="s">
        <v>648</v>
      </c>
      <c r="F38" s="97" t="s">
        <v>647</v>
      </c>
      <c r="H38" s="24"/>
      <c r="I38" s="79"/>
      <c r="J38" s="96"/>
      <c r="K38" s="121"/>
      <c r="L38" s="24"/>
    </row>
    <row r="39" spans="2:16">
      <c r="B39" s="105" t="str">
        <f>INDEX(Equipment_Utility_Spec_List,2)</f>
        <v>Water</v>
      </c>
      <c r="C39" s="141">
        <f>SUMPRODUCT($F$110:$F$147,$G$110:$G$147,$M$110:$M$147)</f>
        <v>0.17023809523809524</v>
      </c>
      <c r="D39" s="140" t="s">
        <v>528</v>
      </c>
      <c r="E39" s="277">
        <f>SUMIF($B$110:$B$147,("&lt;&gt;N/A"),$H$110:$H$147)</f>
        <v>7.1499999999999994E-2</v>
      </c>
      <c r="F39" s="277">
        <f>E39*Staff_Days_Operation</f>
        <v>26.097499999999997</v>
      </c>
      <c r="H39" s="24"/>
      <c r="I39" s="79"/>
      <c r="J39" s="96"/>
      <c r="K39" s="121"/>
      <c r="L39" s="142"/>
    </row>
    <row r="40" spans="2:16">
      <c r="B40" s="105" t="str">
        <f>INDEX(Equipment_Utility_Spec_List,3)</f>
        <v>Electricity</v>
      </c>
      <c r="C40" s="141">
        <f>SUMPRODUCT($F$110:$F$147,$I$110:$I$147,$M$110:$M$147)</f>
        <v>4.630584387400793</v>
      </c>
      <c r="D40" s="140" t="s">
        <v>530</v>
      </c>
      <c r="E40" s="277">
        <f>SUMIF($B$110:$B$147,("&lt;&gt;N/A"),$J$110:$J$147)</f>
        <v>1.5220346940104166</v>
      </c>
      <c r="F40" s="277">
        <f>E40*Staff_Days_Operation</f>
        <v>555.542663313802</v>
      </c>
      <c r="H40" s="24"/>
      <c r="I40" s="122"/>
      <c r="J40" s="121"/>
      <c r="K40" s="121"/>
      <c r="L40" s="24"/>
    </row>
    <row r="41" spans="2:16">
      <c r="B41" s="105" t="str">
        <f>INDEX(Equipment_Utility_Spec_List,4)</f>
        <v>Fuel</v>
      </c>
      <c r="C41" s="141">
        <f>SUMPRODUCT($F$110:$F$147,$K$110:$K$147,$M$110:$M$147)</f>
        <v>0</v>
      </c>
      <c r="D41" s="140" t="s">
        <v>529</v>
      </c>
      <c r="E41" s="277">
        <f>SUMIF($B$110:$B$147,("&lt;&gt;N/A"),$L$110:$L$147)</f>
        <v>0</v>
      </c>
      <c r="F41" s="277">
        <f>E41*Staff_Days_Operation</f>
        <v>0</v>
      </c>
      <c r="H41" s="24"/>
      <c r="I41" s="122"/>
      <c r="J41" s="121"/>
      <c r="K41" s="121"/>
      <c r="L41" s="24"/>
    </row>
    <row r="42" spans="2:16">
      <c r="B42" s="8"/>
      <c r="C42" s="122"/>
      <c r="D42" s="24"/>
      <c r="E42" s="139"/>
      <c r="H42" s="24"/>
      <c r="I42" s="24"/>
      <c r="J42" s="24"/>
      <c r="K42" s="24"/>
      <c r="L42" s="24"/>
    </row>
    <row r="43" spans="2:16">
      <c r="B43" s="908" t="s">
        <v>452</v>
      </c>
      <c r="C43" s="908"/>
      <c r="D43" s="908"/>
      <c r="E43" s="277">
        <f>SUM(E39:E41)</f>
        <v>1.5935346940104165</v>
      </c>
      <c r="F43" s="277">
        <f>SUM(F39:F41)</f>
        <v>581.64016331380196</v>
      </c>
      <c r="H43" s="24"/>
      <c r="I43" s="24"/>
      <c r="J43" s="24"/>
      <c r="K43" s="121"/>
      <c r="L43" s="24"/>
    </row>
    <row r="44" spans="2:16" ht="15.75" thickBot="1">
      <c r="F44" s="62"/>
      <c r="G44" s="62"/>
    </row>
    <row r="45" spans="2:16" ht="18.75">
      <c r="B45" s="111" t="s">
        <v>3</v>
      </c>
      <c r="C45" s="112"/>
      <c r="D45" s="85"/>
      <c r="E45" s="85"/>
      <c r="F45" s="148" t="s">
        <v>129</v>
      </c>
      <c r="G45" s="288">
        <f>SUM(G52:G74)</f>
        <v>2309.9999999999995</v>
      </c>
      <c r="H45" s="85"/>
      <c r="I45" s="85"/>
      <c r="J45" s="85"/>
      <c r="K45" s="85"/>
      <c r="L45" s="85"/>
      <c r="M45" s="85"/>
      <c r="N45" s="85"/>
      <c r="O45" s="85"/>
      <c r="P45" s="85"/>
    </row>
    <row r="46" spans="2:16" ht="15.75">
      <c r="B46" s="67" t="s">
        <v>80</v>
      </c>
    </row>
    <row r="47" spans="2:16" ht="15.75">
      <c r="B47" s="67" t="s">
        <v>81</v>
      </c>
    </row>
    <row r="48" spans="2:16">
      <c r="B48" s="105" t="s">
        <v>77</v>
      </c>
      <c r="C48" s="910" t="s">
        <v>68</v>
      </c>
      <c r="D48" s="910"/>
      <c r="I48" s="88"/>
    </row>
    <row r="49" spans="2:9">
      <c r="B49" s="105" t="s">
        <v>78</v>
      </c>
      <c r="C49" s="910" t="s">
        <v>533</v>
      </c>
      <c r="D49" s="910"/>
      <c r="I49" s="89"/>
    </row>
    <row r="51" spans="2:9" ht="15.75">
      <c r="B51" s="97" t="s">
        <v>211</v>
      </c>
      <c r="C51" s="97" t="s">
        <v>5</v>
      </c>
      <c r="D51" s="97" t="s">
        <v>79</v>
      </c>
      <c r="E51" s="98" t="s">
        <v>233</v>
      </c>
      <c r="F51" s="97" t="s">
        <v>121</v>
      </c>
      <c r="G51" s="97" t="s">
        <v>122</v>
      </c>
    </row>
    <row r="52" spans="2:9" ht="14.45" customHeight="1">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pos002</v>
      </c>
      <c r="C52" s="77" t="str">
        <f>IF($B52="N/A","N/A",INDEX(Staff_position[],MATCH(B52,Staff_Position_ID,0)))</f>
        <v>Nursery staff</v>
      </c>
      <c r="D52" s="277">
        <f>IF($B52="N/A","N/A",INDEX(Staff_net_salary[],MATCH(B52,Staff_Position_ID,0)))</f>
        <v>2099.9999999999995</v>
      </c>
      <c r="E52" s="91">
        <f t="shared" ref="E52:E74" si="4">IF($B52="N/A","N/A",INDEX(Staff_number_of_employees,MATCH(B52,Staff_Position_ID,0)))</f>
        <v>11</v>
      </c>
      <c r="F52" s="92">
        <f t="shared" ref="F52:F74" si="5">IFERROR(INDEX(Staff_Position_Allocation,MATCH(B52,Staff_Position_ID),MATCH($C$49,Unit_codes,0)),"")</f>
        <v>0.1</v>
      </c>
      <c r="G52" s="277">
        <f>IFERROR(D52*E52*F52,"")</f>
        <v>2309.9999999999995</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4"/>
        <v>N/A</v>
      </c>
      <c r="F53" s="92" t="str">
        <f t="shared" si="5"/>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si="5"/>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si="5"/>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4"/>
        <v>N/A</v>
      </c>
      <c r="F56" s="92" t="str">
        <f t="shared" si="5"/>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4"/>
        <v>N/A</v>
      </c>
      <c r="F57" s="92" t="str">
        <f t="shared" si="5"/>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4"/>
        <v>N/A</v>
      </c>
      <c r="F58" s="92" t="str">
        <f t="shared" si="5"/>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4"/>
        <v>N/A</v>
      </c>
      <c r="F59" s="92" t="str">
        <f t="shared" si="5"/>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4"/>
        <v>N/A</v>
      </c>
      <c r="F60" s="92" t="str">
        <f t="shared" si="5"/>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4"/>
        <v>N/A</v>
      </c>
      <c r="F61" s="92" t="str">
        <f t="shared" si="5"/>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4"/>
        <v>N/A</v>
      </c>
      <c r="F62" s="92" t="str">
        <f t="shared" si="5"/>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4"/>
        <v>N/A</v>
      </c>
      <c r="F63" s="92" t="str">
        <f t="shared" si="5"/>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4"/>
        <v>N/A</v>
      </c>
      <c r="F64" s="92" t="str">
        <f t="shared" si="5"/>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4"/>
        <v>N/A</v>
      </c>
      <c r="F65" s="92" t="str">
        <f t="shared" si="5"/>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4"/>
        <v>N/A</v>
      </c>
      <c r="F66" s="92" t="str">
        <f t="shared" si="5"/>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4"/>
        <v>N/A</v>
      </c>
      <c r="F67" s="92" t="str">
        <f t="shared" si="5"/>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4"/>
        <v>N/A</v>
      </c>
      <c r="F68" s="92" t="str">
        <f t="shared" si="5"/>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4"/>
        <v>N/A</v>
      </c>
      <c r="F69" s="92" t="str">
        <f t="shared" si="5"/>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4"/>
        <v>N/A</v>
      </c>
      <c r="F70" s="92" t="str">
        <f t="shared" si="5"/>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4"/>
        <v>N/A</v>
      </c>
      <c r="F71" s="92" t="str">
        <f t="shared" si="5"/>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4"/>
        <v>N/A</v>
      </c>
      <c r="F72" s="92" t="str">
        <f t="shared" si="5"/>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4"/>
        <v>N/A</v>
      </c>
      <c r="F73" s="92" t="str">
        <f t="shared" si="5"/>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4"/>
        <v>N/A</v>
      </c>
      <c r="F74" s="92" t="str">
        <f t="shared" si="5"/>
        <v/>
      </c>
      <c r="G74" s="277" t="str">
        <f t="shared" si="6"/>
        <v/>
      </c>
    </row>
    <row r="75" spans="2:16" ht="15.75" thickBot="1">
      <c r="F75" s="150"/>
      <c r="G75" s="150"/>
    </row>
    <row r="76" spans="2:16" ht="30.75">
      <c r="B76" s="111" t="s">
        <v>83</v>
      </c>
      <c r="C76" s="112"/>
      <c r="D76" s="85"/>
      <c r="E76" s="85"/>
      <c r="F76" s="148" t="s">
        <v>123</v>
      </c>
      <c r="G76" s="288">
        <f>SUM(G83:G103)</f>
        <v>1344</v>
      </c>
      <c r="H76" s="85"/>
      <c r="I76" s="85"/>
      <c r="J76" s="85"/>
      <c r="K76" s="85"/>
      <c r="L76" s="85"/>
      <c r="M76" s="85"/>
      <c r="N76" s="85"/>
      <c r="O76" s="85"/>
      <c r="P76" s="85"/>
    </row>
    <row r="77" spans="2:16" ht="15.75">
      <c r="B77" s="67" t="s">
        <v>80</v>
      </c>
    </row>
    <row r="78" spans="2:16" ht="15.75">
      <c r="B78" s="67" t="s">
        <v>81</v>
      </c>
    </row>
    <row r="79" spans="2:16">
      <c r="B79" s="105" t="s">
        <v>77</v>
      </c>
      <c r="C79" s="910" t="s">
        <v>69</v>
      </c>
      <c r="D79" s="910"/>
    </row>
    <row r="80" spans="2:16">
      <c r="B80" s="105" t="s">
        <v>78</v>
      </c>
      <c r="C80" s="910" t="s">
        <v>533</v>
      </c>
      <c r="D80" s="910"/>
    </row>
    <row r="82" spans="2:7" ht="15.75">
      <c r="B82" s="97" t="s">
        <v>211</v>
      </c>
      <c r="C82" s="97" t="s">
        <v>5</v>
      </c>
      <c r="D82" s="97" t="s">
        <v>79</v>
      </c>
      <c r="E82" s="97" t="s">
        <v>233</v>
      </c>
      <c r="F82" s="97" t="s">
        <v>121</v>
      </c>
      <c r="G82" s="97"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pos004</v>
      </c>
      <c r="C83" s="77" t="str">
        <f>IF($B83="N/A","N/A",INDEX(Staff_position[],MATCH(B83,Staff_Position_ID,0)))</f>
        <v>Nursery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IFERROR(INDEX(Staff_Position_Allocation,MATCH(B83,Staff_Position_ID),MATCH($C$80,Unit_codes,0)),"")</f>
        <v>0.25</v>
      </c>
      <c r="G83" s="277">
        <f>IFERROR(D83*E83*F83,"")</f>
        <v>840</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0.05</v>
      </c>
      <c r="G84" s="277">
        <f t="shared" ref="G84:G103" si="9">IFERROR(D84*E84*F84,"")</f>
        <v>503.99999999999994</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16" ht="15.75" thickBot="1">
      <c r="E104" s="150"/>
      <c r="F104" s="150"/>
      <c r="G104" s="150"/>
    </row>
    <row r="105" spans="2:16" ht="32.1" customHeight="1">
      <c r="B105" s="2" t="s">
        <v>2</v>
      </c>
      <c r="C105" s="110"/>
      <c r="D105" s="61"/>
      <c r="F105" s="152" t="s">
        <v>153</v>
      </c>
      <c r="G105" s="288">
        <f>SUMIF(B110:B147,("&lt;&gt;N/A"),N110:N147)</f>
        <v>230.36999999999998</v>
      </c>
      <c r="H105" s="61"/>
      <c r="I105" s="61"/>
      <c r="J105" s="61"/>
      <c r="K105" s="61"/>
      <c r="L105" s="61"/>
      <c r="M105" s="61"/>
      <c r="N105" s="61"/>
      <c r="O105" s="61"/>
      <c r="P105" s="61"/>
    </row>
    <row r="106" spans="2:16" ht="15.75">
      <c r="B106" s="67" t="s">
        <v>82</v>
      </c>
    </row>
    <row r="107" spans="2:16">
      <c r="B107" s="105" t="s">
        <v>78</v>
      </c>
      <c r="C107" s="116" t="s">
        <v>533</v>
      </c>
    </row>
    <row r="109" spans="2:16" ht="47.25">
      <c r="B109" s="99" t="s">
        <v>84</v>
      </c>
      <c r="C109" s="99" t="s">
        <v>53</v>
      </c>
      <c r="D109" s="99" t="s">
        <v>152</v>
      </c>
      <c r="E109" s="99" t="s">
        <v>50</v>
      </c>
      <c r="F109" s="99" t="s">
        <v>514</v>
      </c>
      <c r="G109" s="99" t="s">
        <v>451</v>
      </c>
      <c r="H109" s="99" t="s">
        <v>515</v>
      </c>
      <c r="I109" s="99" t="s">
        <v>519</v>
      </c>
      <c r="J109" s="99" t="s">
        <v>516</v>
      </c>
      <c r="K109" s="99" t="s">
        <v>518</v>
      </c>
      <c r="L109" s="99" t="s">
        <v>517</v>
      </c>
      <c r="M109" s="99" t="s">
        <v>543</v>
      </c>
      <c r="N109" s="99" t="s">
        <v>154</v>
      </c>
      <c r="O109" s="99"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eq0008</v>
      </c>
      <c r="C110" s="76" t="str">
        <f>IF($B110="N/A","N/A",INDEX(Equipment_name[],MATCH(B110,equipment_ID,0)))</f>
        <v>High pressure cleaner</v>
      </c>
      <c r="D110" s="277">
        <f t="shared" ref="D110:D147" si="10">IF($B110="N/A","N/A",INDEX(Equipment_Depreciation,MATCH(B110,equipment_ID,0)))</f>
        <v>210</v>
      </c>
      <c r="E110" s="94">
        <f t="shared" ref="E110:E147" si="11">IF($B110="N/A","N/A",INDEX(Equipment_Quantity_New,MATCH(B110,equipment_ID,0)))</f>
        <v>2</v>
      </c>
      <c r="F110" s="137">
        <f>IF($B110="N/A","",IF(INDEX(Equipment_Utility_Decision,MATCH($B110,equipment_ID,0))='4.2-Settings Internal'!$B$32,INDEX(Equipment_Utility_Run,MATCH($B110,equipment_ID,0)),""))</f>
        <v>7.9365079365079367</v>
      </c>
      <c r="G110" s="137">
        <f>IF($B110="N/A","",IF(INDEX(Equipment_Utility_Decision,MATCH($B110,equipment_ID,0))='4.2-Settings Internal'!$B$32,INDEX(Equipment_Utility_Water,MATCH($B110,equipment_ID,0)),""))</f>
        <v>0.42899999999999999</v>
      </c>
      <c r="H110" s="277">
        <f t="shared" ref="H110:H147" si="12">IFERROR($E110*$F110*G110*$M110*General_Water_Price,"")</f>
        <v>7.1499999999999994E-2</v>
      </c>
      <c r="I110" s="137">
        <f>IF($B110="N/A","",IF(INDEX(Equipment_Utility_Decision,MATCH($B110,equipment_ID,0))='4.2-Settings Internal'!$B$32,INDEX(Equipment_Utility_Electricity,MATCH($B110,equipment_ID,0)),""))</f>
        <v>2</v>
      </c>
      <c r="J110" s="277">
        <f t="shared" ref="J110:J147" si="13">IFERROR($E110*$F110*I110*$M110*General_Electricity_Price,"")</f>
        <v>0.16666666666666669</v>
      </c>
      <c r="K110" s="137">
        <f>IF($B110="N/A","",IF(INDEX(Equipment_Utility_Decision,MATCH($B110,equipment_ID,0))=INDEX(Yes_No_Choice[],1),INDEX(Equipment_Utility_Fuel,MATCH($B110,equipment_ID,0)),""))</f>
        <v>0</v>
      </c>
      <c r="L110" s="277" t="str">
        <f t="shared" ref="L110:L147" si="14">IFERROR($E110*$F110*$K110*$M110*INDEX(General_Utilities,MATCH(INDEX(Equipment_Utility_Fuel_Selection,MATCH($B110,equipment_ID,0)),General_Utilities_Type,0),4),"")</f>
        <v/>
      </c>
      <c r="M110" s="95">
        <f t="shared" ref="M110:M147" si="15">IFERROR(INDEX(Equipment_Allocation_New,MATCH(B110,equipment_ID,0),MATCH($C$107,Unit_codes,0)),"")</f>
        <v>0.05</v>
      </c>
      <c r="N110" s="277">
        <f t="shared" ref="N110:N147" si="16">IFERROR($D110*E110*M110,"")</f>
        <v>21</v>
      </c>
      <c r="O110" s="137">
        <f t="shared" ref="O110:O147" si="17">IF($B110="N/A","",IF(INDEX(Equipment_Space_Selection,MATCH(B110,equipment_ID,0))="Yes",INDEX(Equipment_Space_Footprint,MATCH(B110,equipment_ID,0))*INDEX(Equipment_Quantity_New,MATCH(B110,equipment_ID,0))*M110,""))</f>
        <v>2.5000000000000001E-2</v>
      </c>
    </row>
    <row r="111" spans="2:16">
      <c r="B111" s="76" t="str">
        <f t="array" ref="B111">IF(COUNTIFS(INDEX(Equipment_Allocation_New,0,MATCH($C$107,Unit_codes,0)),"&gt;0")&lt;ROWS('2.2-Equipment input'!$X$8:$X9),"N/A",INDEX('2.2-Equipment input'!B:B,SMALL(IF(INDEX(Equipment_Allocation_New,0,MATCH($C$107,Unit_codes,0))&gt;0,ROW(equipment_ID)),ROW('2.2-Equipment input'!B2))))</f>
        <v>eq0021</v>
      </c>
      <c r="C111" s="76" t="str">
        <f>IF($B111="N/A","N/A",INDEX(Equipment_name[],MATCH(B111,equipment_ID,0)))</f>
        <v>Hatchling crate</v>
      </c>
      <c r="D111" s="277">
        <f t="shared" si="10"/>
        <v>0.97999999999999987</v>
      </c>
      <c r="E111" s="94">
        <f t="shared" si="11"/>
        <v>10</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95">
        <f t="shared" si="15"/>
        <v>1</v>
      </c>
      <c r="N111" s="277">
        <f t="shared" si="16"/>
        <v>9.7999999999999989</v>
      </c>
      <c r="O111" s="137" t="str">
        <f t="shared" si="17"/>
        <v/>
      </c>
    </row>
    <row r="112" spans="2:16">
      <c r="B112" s="76" t="str">
        <f t="array" ref="B112">IF(COUNTIFS(INDEX(Equipment_Allocation_New,0,MATCH($C$107,Unit_codes,0)),"&gt;0")&lt;ROWS('2.2-Equipment input'!$X$8:$X10),"N/A",INDEX('2.2-Equipment input'!B:B,SMALL(IF(INDEX(Equipment_Allocation_New,0,MATCH($C$107,Unit_codes,0))&gt;0,ROW(equipment_ID)),ROW('2.2-Equipment input'!B3))))</f>
        <v>eq0022</v>
      </c>
      <c r="C112" s="76" t="str">
        <f>IF($B112="N/A","N/A",INDEX(Equipment_name[],MATCH(B112,equipment_ID,0)))</f>
        <v>Mobile hatching frame</v>
      </c>
      <c r="D112" s="277">
        <f t="shared" si="10"/>
        <v>28</v>
      </c>
      <c r="E112" s="94">
        <f t="shared" si="11"/>
        <v>1</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12"/>
        <v/>
      </c>
      <c r="I112" s="137" t="str">
        <f>IF($B112="N/A","",IF(INDEX(Equipment_Utility_Decision,MATCH($B112,equipment_ID,0))='4.2-Settings Internal'!$B$32,INDEX(Equipment_Utility_Electricity,MATCH($B112,equipment_ID,0)),""))</f>
        <v/>
      </c>
      <c r="J112" s="277" t="str">
        <f t="shared" si="13"/>
        <v/>
      </c>
      <c r="K112" s="137" t="str">
        <f>IF($B112="N/A","",IF(INDEX(Equipment_Utility_Decision,MATCH($B112,equipment_ID,0))=INDEX(Yes_No_Choice[],1),INDEX(Equipment_Utility_Fuel,MATCH($B112,equipment_ID,0)),""))</f>
        <v/>
      </c>
      <c r="L112" s="277" t="str">
        <f t="shared" si="14"/>
        <v/>
      </c>
      <c r="M112" s="95">
        <f t="shared" si="15"/>
        <v>1</v>
      </c>
      <c r="N112" s="277">
        <f t="shared" si="16"/>
        <v>28</v>
      </c>
      <c r="O112" s="137">
        <f t="shared" si="17"/>
        <v>0.29250000000000004</v>
      </c>
    </row>
    <row r="113" spans="2:15">
      <c r="B113" s="76" t="str">
        <f t="array" ref="B113">IF(COUNTIFS(INDEX(Equipment_Allocation_New,0,MATCH($C$107,Unit_codes,0)),"&gt;0")&lt;ROWS('2.2-Equipment input'!$X$8:$X11),"N/A",INDEX('2.2-Equipment input'!B:B,SMALL(IF(INDEX(Equipment_Allocation_New,0,MATCH($C$107,Unit_codes,0))&gt;0,ROW(equipment_ID)),ROW('2.2-Equipment input'!B4))))</f>
        <v>eq0023</v>
      </c>
      <c r="C113" s="76" t="str">
        <f>IF($B113="N/A","N/A",INDEX(Equipment_name[],MATCH(B113,equipment_ID,0)))</f>
        <v>Oviball holder</v>
      </c>
      <c r="D113" s="277">
        <f t="shared" si="10"/>
        <v>0.13999999999999999</v>
      </c>
      <c r="E113" s="94">
        <f t="shared" si="11"/>
        <v>1</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12"/>
        <v/>
      </c>
      <c r="I113" s="137" t="str">
        <f>IF($B113="N/A","",IF(INDEX(Equipment_Utility_Decision,MATCH($B113,equipment_ID,0))='4.2-Settings Internal'!$B$32,INDEX(Equipment_Utility_Electricity,MATCH($B113,equipment_ID,0)),""))</f>
        <v/>
      </c>
      <c r="J113" s="277" t="str">
        <f t="shared" si="13"/>
        <v/>
      </c>
      <c r="K113" s="137" t="str">
        <f>IF($B113="N/A","",IF(INDEX(Equipment_Utility_Decision,MATCH($B113,equipment_ID,0))=INDEX(Yes_No_Choice[],1),INDEX(Equipment_Utility_Fuel,MATCH($B113,equipment_ID,0)),""))</f>
        <v/>
      </c>
      <c r="L113" s="277" t="str">
        <f t="shared" si="14"/>
        <v/>
      </c>
      <c r="M113" s="95">
        <f t="shared" si="15"/>
        <v>0.5</v>
      </c>
      <c r="N113" s="277">
        <f t="shared" si="16"/>
        <v>6.9999999999999993E-2</v>
      </c>
      <c r="O113" s="137" t="str">
        <f t="shared" si="17"/>
        <v/>
      </c>
    </row>
    <row r="114" spans="2:15">
      <c r="B114" s="76" t="str">
        <f t="array" ref="B114">IF(COUNTIFS(INDEX(Equipment_Allocation_New,0,MATCH($C$107,Unit_codes,0)),"&gt;0")&lt;ROWS('2.2-Equipment input'!$X$8:$X12),"N/A",INDEX('2.2-Equipment input'!B:B,SMALL(IF(INDEX(Equipment_Allocation_New,0,MATCH($C$107,Unit_codes,0))&gt;0,ROW(equipment_ID)),ROW('2.2-Equipment input'!B5))))</f>
        <v>eq0024</v>
      </c>
      <c r="C114" s="76" t="str">
        <f>IF($B114="N/A","N/A",INDEX(Equipment_name[],MATCH(B114,equipment_ID,0)))</f>
        <v>Egg media</v>
      </c>
      <c r="D114" s="277">
        <f t="shared" si="10"/>
        <v>0.13999999999999999</v>
      </c>
      <c r="E114" s="94">
        <f t="shared" si="11"/>
        <v>200</v>
      </c>
      <c r="F114" s="137" t="str">
        <f>IF($B114="N/A","",IF(INDEX(Equipment_Utility_Decision,MATCH($B114,equipment_ID,0))='4.2-Settings Internal'!$B$32,INDEX(Equipment_Utility_Run,MATCH($B114,equipment_ID,0)),""))</f>
        <v/>
      </c>
      <c r="G114" s="137" t="str">
        <f>IF($B114="N/A","",IF(INDEX(Equipment_Utility_Decision,MATCH($B114,equipment_ID,0))='4.2-Settings Internal'!$B$32,INDEX(Equipment_Utility_Water,MATCH($B114,equipment_ID,0)),""))</f>
        <v/>
      </c>
      <c r="H114" s="277" t="str">
        <f t="shared" si="12"/>
        <v/>
      </c>
      <c r="I114" s="137" t="str">
        <f>IF($B114="N/A","",IF(INDEX(Equipment_Utility_Decision,MATCH($B114,equipment_ID,0))='4.2-Settings Internal'!$B$32,INDEX(Equipment_Utility_Electricity,MATCH($B114,equipment_ID,0)),""))</f>
        <v/>
      </c>
      <c r="J114" s="277" t="str">
        <f t="shared" si="13"/>
        <v/>
      </c>
      <c r="K114" s="137" t="str">
        <f>IF($B114="N/A","",IF(INDEX(Equipment_Utility_Decision,MATCH($B114,equipment_ID,0))=INDEX(Yes_No_Choice[],1),INDEX(Equipment_Utility_Fuel,MATCH($B114,equipment_ID,0)),""))</f>
        <v/>
      </c>
      <c r="L114" s="277" t="str">
        <f t="shared" si="14"/>
        <v/>
      </c>
      <c r="M114" s="95">
        <f t="shared" si="15"/>
        <v>0.5</v>
      </c>
      <c r="N114" s="277">
        <f t="shared" si="16"/>
        <v>13.999999999999998</v>
      </c>
      <c r="O114" s="137" t="str">
        <f t="shared" si="17"/>
        <v/>
      </c>
    </row>
    <row r="115" spans="2:15">
      <c r="B115" s="76" t="str">
        <f t="array" ref="B115">IF(COUNTIFS(INDEX(Equipment_Allocation_New,0,MATCH($C$107,Unit_codes,0)),"&gt;0")&lt;ROWS('2.2-Equipment input'!$X$8:$X13),"N/A",INDEX('2.2-Equipment input'!B:B,SMALL(IF(INDEX(Equipment_Allocation_New,0,MATCH($C$107,Unit_codes,0))&gt;0,ROW(equipment_ID)),ROW('2.2-Equipment input'!B6))))</f>
        <v>eq0025</v>
      </c>
      <c r="C115" s="76" t="str">
        <f>IF($B115="N/A","N/A",INDEX(Equipment_name[],MATCH(B115,equipment_ID,0)))</f>
        <v>Working table</v>
      </c>
      <c r="D115" s="277">
        <f t="shared" si="10"/>
        <v>34.999999999999993</v>
      </c>
      <c r="E115" s="94">
        <f t="shared" si="11"/>
        <v>1</v>
      </c>
      <c r="F115" s="137" t="str">
        <f>IF($B115="N/A","",IF(INDEX(Equipment_Utility_Decision,MATCH($B115,equipment_ID,0))='4.2-Settings Internal'!$B$32,INDEX(Equipment_Utility_Run,MATCH($B115,equipment_ID,0)),""))</f>
        <v/>
      </c>
      <c r="G115" s="137" t="str">
        <f>IF($B115="N/A","",IF(INDEX(Equipment_Utility_Decision,MATCH($B115,equipment_ID,0))='4.2-Settings Internal'!$B$32,INDEX(Equipment_Utility_Water,MATCH($B115,equipment_ID,0)),""))</f>
        <v/>
      </c>
      <c r="H115" s="277" t="str">
        <f t="shared" si="12"/>
        <v/>
      </c>
      <c r="I115" s="137" t="str">
        <f>IF($B115="N/A","",IF(INDEX(Equipment_Utility_Decision,MATCH($B115,equipment_ID,0))='4.2-Settings Internal'!$B$32,INDEX(Equipment_Utility_Electricity,MATCH($B115,equipment_ID,0)),""))</f>
        <v/>
      </c>
      <c r="J115" s="277" t="str">
        <f t="shared" si="13"/>
        <v/>
      </c>
      <c r="K115" s="137" t="str">
        <f>IF($B115="N/A","",IF(INDEX(Equipment_Utility_Decision,MATCH($B115,equipment_ID,0))=INDEX(Yes_No_Choice[],1),INDEX(Equipment_Utility_Fuel,MATCH($B115,equipment_ID,0)),""))</f>
        <v/>
      </c>
      <c r="L115" s="277" t="str">
        <f t="shared" si="14"/>
        <v/>
      </c>
      <c r="M115" s="95">
        <f t="shared" si="15"/>
        <v>0.5</v>
      </c>
      <c r="N115" s="277">
        <f t="shared" si="16"/>
        <v>17.499999999999996</v>
      </c>
      <c r="O115" s="137">
        <f t="shared" si="17"/>
        <v>0.48</v>
      </c>
    </row>
    <row r="116" spans="2:15">
      <c r="B116" s="76" t="str">
        <f t="array" ref="B116">IF(COUNTIFS(INDEX(Equipment_Allocation_New,0,MATCH($C$107,Unit_codes,0)),"&gt;0")&lt;ROWS('2.2-Equipment input'!$X$8:$X14),"N/A",INDEX('2.2-Equipment input'!B:B,SMALL(IF(INDEX(Equipment_Allocation_New,0,MATCH($C$107,Unit_codes,0))&gt;0,ROW(equipment_ID)),ROW('2.2-Equipment input'!B7))))</f>
        <v>eq0032</v>
      </c>
      <c r="C116" s="76" t="str">
        <f>IF($B116="N/A","N/A",INDEX(Equipment_name[],MATCH(B116,equipment_ID,0)))</f>
        <v>Measuring balance (nursery)</v>
      </c>
      <c r="D116" s="277">
        <f t="shared" si="10"/>
        <v>69.999999999999986</v>
      </c>
      <c r="E116" s="94">
        <f t="shared" si="11"/>
        <v>3</v>
      </c>
      <c r="F116" s="137">
        <f>IF($B116="N/A","",IF(INDEX(Equipment_Utility_Decision,MATCH($B116,equipment_ID,0))='4.2-Settings Internal'!$B$32,INDEX(Equipment_Utility_Run,MATCH($B116,equipment_ID,0)),""))</f>
        <v>0</v>
      </c>
      <c r="G116" s="137">
        <f>IF($B116="N/A","",IF(INDEX(Equipment_Utility_Decision,MATCH($B116,equipment_ID,0))='4.2-Settings Internal'!$B$32,INDEX(Equipment_Utility_Water,MATCH($B116,equipment_ID,0)),""))</f>
        <v>0</v>
      </c>
      <c r="H116" s="277">
        <f t="shared" si="12"/>
        <v>0</v>
      </c>
      <c r="I116" s="137">
        <f>IF($B116="N/A","",IF(INDEX(Equipment_Utility_Decision,MATCH($B116,equipment_ID,0))='4.2-Settings Internal'!$B$32,INDEX(Equipment_Utility_Electricity,MATCH($B116,equipment_ID,0)),""))</f>
        <v>0</v>
      </c>
      <c r="J116" s="277">
        <f t="shared" si="13"/>
        <v>0</v>
      </c>
      <c r="K116" s="137">
        <f>IF($B116="N/A","",IF(INDEX(Equipment_Utility_Decision,MATCH($B116,equipment_ID,0))=INDEX(Yes_No_Choice[],1),INDEX(Equipment_Utility_Fuel,MATCH($B116,equipment_ID,0)),""))</f>
        <v>0</v>
      </c>
      <c r="L116" s="277" t="str">
        <f t="shared" si="14"/>
        <v/>
      </c>
      <c r="M116" s="95">
        <f t="shared" si="15"/>
        <v>0.1</v>
      </c>
      <c r="N116" s="277">
        <f t="shared" si="16"/>
        <v>20.999999999999996</v>
      </c>
      <c r="O116" s="137" t="str">
        <f t="shared" si="17"/>
        <v/>
      </c>
    </row>
    <row r="117" spans="2:15">
      <c r="B117" s="76" t="str">
        <f t="array" ref="B117">IF(COUNTIFS(INDEX(Equipment_Allocation_New,0,MATCH($C$107,Unit_codes,0)),"&gt;0")&lt;ROWS('2.2-Equipment input'!$X$8:$X15),"N/A",INDEX('2.2-Equipment input'!B:B,SMALL(IF(INDEX(Equipment_Allocation_New,0,MATCH($C$107,Unit_codes,0))&gt;0,ROW(equipment_ID)),ROW('2.2-Equipment input'!B8))))</f>
        <v>eq0033</v>
      </c>
      <c r="C117" s="76" t="str">
        <f>IF($B117="N/A","N/A",INDEX(Equipment_name[],MATCH(B117,equipment_ID,0)))</f>
        <v>Precision balance (lab)</v>
      </c>
      <c r="D117" s="277">
        <f t="shared" si="10"/>
        <v>41.999999999999993</v>
      </c>
      <c r="E117" s="94">
        <f t="shared" si="11"/>
        <v>3</v>
      </c>
      <c r="F117" s="137">
        <f>IF($B117="N/A","",IF(INDEX(Equipment_Utility_Decision,MATCH($B117,equipment_ID,0))='4.2-Settings Internal'!$B$32,INDEX(Equipment_Utility_Run,MATCH($B117,equipment_ID,0)),""))</f>
        <v>0</v>
      </c>
      <c r="G117" s="137">
        <f>IF($B117="N/A","",IF(INDEX(Equipment_Utility_Decision,MATCH($B117,equipment_ID,0))='4.2-Settings Internal'!$B$32,INDEX(Equipment_Utility_Water,MATCH($B117,equipment_ID,0)),""))</f>
        <v>0</v>
      </c>
      <c r="H117" s="277">
        <f t="shared" si="12"/>
        <v>0</v>
      </c>
      <c r="I117" s="137">
        <f>IF($B117="N/A","",IF(INDEX(Equipment_Utility_Decision,MATCH($B117,equipment_ID,0))='4.2-Settings Internal'!$B$32,INDEX(Equipment_Utility_Electricity,MATCH($B117,equipment_ID,0)),""))</f>
        <v>0</v>
      </c>
      <c r="J117" s="277">
        <f t="shared" si="13"/>
        <v>0</v>
      </c>
      <c r="K117" s="137">
        <f>IF($B117="N/A","",IF(INDEX(Equipment_Utility_Decision,MATCH($B117,equipment_ID,0))=INDEX(Yes_No_Choice[],1),INDEX(Equipment_Utility_Fuel,MATCH($B117,equipment_ID,0)),""))</f>
        <v>0</v>
      </c>
      <c r="L117" s="277" t="str">
        <f t="shared" si="14"/>
        <v/>
      </c>
      <c r="M117" s="95">
        <f t="shared" si="15"/>
        <v>0.5</v>
      </c>
      <c r="N117" s="277">
        <f t="shared" si="16"/>
        <v>62.999999999999986</v>
      </c>
      <c r="O117" s="137" t="str">
        <f t="shared" si="17"/>
        <v/>
      </c>
    </row>
    <row r="118" spans="2:15">
      <c r="B118" s="76" t="str">
        <f t="array" ref="B118">IF(COUNTIFS(INDEX(Equipment_Allocation_New,0,MATCH($C$107,Unit_codes,0)),"&gt;0")&lt;ROWS('2.2-Equipment input'!$X$8:$X16),"N/A",INDEX('2.2-Equipment input'!B:B,SMALL(IF(INDEX(Equipment_Allocation_New,0,MATCH($C$107,Unit_codes,0))&gt;0,ROW(equipment_ID)),ROW('2.2-Equipment input'!B9))))</f>
        <v>eq0035</v>
      </c>
      <c r="C118" s="76" t="str">
        <f>IF($B118="N/A","N/A",INDEX(Equipment_name[],MATCH(B118,equipment_ID,0)))</f>
        <v>Mixer (compost)</v>
      </c>
      <c r="D118" s="277">
        <f t="shared" si="10"/>
        <v>112</v>
      </c>
      <c r="E118" s="94">
        <f t="shared" si="11"/>
        <v>1</v>
      </c>
      <c r="F118" s="137">
        <f>IF($B118="N/A","",IF(INDEX(Equipment_Utility_Decision,MATCH($B118,equipment_ID,0))='4.2-Settings Internal'!$B$32,INDEX(Equipment_Utility_Run,MATCH($B118,equipment_ID,0)),""))</f>
        <v>1.220703125</v>
      </c>
      <c r="G118" s="137">
        <f>IF($B118="N/A","",IF(INDEX(Equipment_Utility_Decision,MATCH($B118,equipment_ID,0))='4.2-Settings Internal'!$B$32,INDEX(Equipment_Utility_Water,MATCH($B118,equipment_ID,0)),""))</f>
        <v>0</v>
      </c>
      <c r="H118" s="277">
        <f t="shared" si="12"/>
        <v>0</v>
      </c>
      <c r="I118" s="137">
        <f>IF($B118="N/A","",IF(INDEX(Equipment_Utility_Decision,MATCH($B118,equipment_ID,0))='4.2-Settings Internal'!$B$32,INDEX(Equipment_Utility_Electricity,MATCH($B118,equipment_ID,0)),""))</f>
        <v>5.5</v>
      </c>
      <c r="J118" s="277">
        <f t="shared" si="13"/>
        <v>0.35247802734375</v>
      </c>
      <c r="K118" s="137">
        <f>IF($B118="N/A","",IF(INDEX(Equipment_Utility_Decision,MATCH($B118,equipment_ID,0))=INDEX(Yes_No_Choice[],1),INDEX(Equipment_Utility_Fuel,MATCH($B118,equipment_ID,0)),""))</f>
        <v>0</v>
      </c>
      <c r="L118" s="277" t="str">
        <f t="shared" si="14"/>
        <v/>
      </c>
      <c r="M118" s="95">
        <f t="shared" si="15"/>
        <v>0.5</v>
      </c>
      <c r="N118" s="277">
        <f t="shared" si="16"/>
        <v>56</v>
      </c>
      <c r="O118" s="137">
        <f t="shared" si="17"/>
        <v>2</v>
      </c>
    </row>
    <row r="119" spans="2:15">
      <c r="B119" s="76" t="str">
        <f t="array" ref="B119">IF(COUNTIFS(INDEX(Equipment_Allocation_New,0,MATCH($C$107,Unit_codes,0)),"&gt;0")&lt;ROWS('2.2-Equipment input'!$X$8:$X17),"N/A",INDEX('2.2-Equipment input'!B:B,SMALL(IF(INDEX(Equipment_Allocation_New,0,MATCH($C$107,Unit_codes,0))&gt;0,ROW(equipment_ID)),ROW('2.2-Equipment input'!B10))))</f>
        <v>eq0036</v>
      </c>
      <c r="C119" s="76" t="str">
        <f>IF($B119="N/A","N/A",INDEX(Equipment_name[],MATCH(B119,equipment_ID,0)))</f>
        <v>Blower</v>
      </c>
      <c r="D119" s="277">
        <f t="shared" si="10"/>
        <v>0</v>
      </c>
      <c r="E119" s="94">
        <f t="shared" si="11"/>
        <v>19.898611111111109</v>
      </c>
      <c r="F119" s="137">
        <f>IF($B119="N/A","",IF(INDEX(Equipment_Utility_Decision,MATCH($B119,equipment_ID,0))='4.2-Settings Internal'!$B$32,INDEX(Equipment_Utility_Run,MATCH($B119,equipment_ID,0)),""))</f>
        <v>4</v>
      </c>
      <c r="G119" s="137">
        <f>IF($B119="N/A","",IF(INDEX(Equipment_Utility_Decision,MATCH($B119,equipment_ID,0))='4.2-Settings Internal'!$B$32,INDEX(Equipment_Utility_Water,MATCH($B119,equipment_ID,0)),""))</f>
        <v>0</v>
      </c>
      <c r="H119" s="277">
        <f t="shared" si="12"/>
        <v>0</v>
      </c>
      <c r="I119" s="137">
        <f>IF($B119="N/A","",IF(INDEX(Equipment_Utility_Decision,MATCH($B119,equipment_ID,0))='4.2-Settings Internal'!$B$32,INDEX(Equipment_Utility_Electricity,MATCH($B119,equipment_ID,0)),""))</f>
        <v>0.24</v>
      </c>
      <c r="J119" s="277">
        <f t="shared" si="13"/>
        <v>1.0028899999999998</v>
      </c>
      <c r="K119" s="137">
        <f>IF($B119="N/A","",IF(INDEX(Equipment_Utility_Decision,MATCH($B119,equipment_ID,0))=INDEX(Yes_No_Choice[],1),INDEX(Equipment_Utility_Fuel,MATCH($B119,equipment_ID,0)),""))</f>
        <v>0</v>
      </c>
      <c r="L119" s="277" t="str">
        <f t="shared" si="14"/>
        <v/>
      </c>
      <c r="M119" s="95">
        <f t="shared" si="15"/>
        <v>0.5</v>
      </c>
      <c r="N119" s="277">
        <f t="shared" si="16"/>
        <v>0</v>
      </c>
      <c r="O119" s="137" t="str">
        <f t="shared" si="17"/>
        <v/>
      </c>
    </row>
    <row r="120" spans="2:15">
      <c r="B120" s="76" t="str">
        <f t="array" ref="B120">IF(COUNTIFS(INDEX(Equipment_Allocation_New,0,MATCH($C$107,Unit_codes,0)),"&gt;0")&lt;ROWS('2.2-Equipment input'!$X$8:$X18),"N/A",INDEX('2.2-Equipment input'!B:B,SMALL(IF(INDEX(Equipment_Allocation_New,0,MATCH($C$107,Unit_codes,0))&gt;0,ROW(equipment_ID)),ROW('2.2-Equipment input'!B11))))</f>
        <v>N/A</v>
      </c>
      <c r="C120" s="76" t="str">
        <f>IF($B120="N/A","N/A",INDEX(Equipment_name[],MATCH(B120,equipment_ID,0)))</f>
        <v>N/A</v>
      </c>
      <c r="D120" s="277" t="str">
        <f t="shared" si="10"/>
        <v>N/A</v>
      </c>
      <c r="E120" s="94" t="str">
        <f t="shared" si="11"/>
        <v>N/A</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12"/>
        <v/>
      </c>
      <c r="I120" s="137" t="str">
        <f>IF($B120="N/A","",IF(INDEX(Equipment_Utility_Decision,MATCH($B120,equipment_ID,0))='4.2-Settings Internal'!$B$32,INDEX(Equipment_Utility_Electricity,MATCH($B120,equipment_ID,0)),""))</f>
        <v/>
      </c>
      <c r="J120" s="277" t="str">
        <f t="shared" si="13"/>
        <v/>
      </c>
      <c r="K120" s="137" t="str">
        <f>IF($B120="N/A","",IF(INDEX(Equipment_Utility_Decision,MATCH($B120,equipment_ID,0))=INDEX(Yes_No_Choice[],1),INDEX(Equipment_Utility_Fuel,MATCH($B120,equipment_ID,0)),""))</f>
        <v/>
      </c>
      <c r="L120" s="277" t="str">
        <f t="shared" si="14"/>
        <v/>
      </c>
      <c r="M120" s="95" t="str">
        <f t="shared" si="15"/>
        <v/>
      </c>
      <c r="N120" s="277" t="str">
        <f t="shared" si="16"/>
        <v/>
      </c>
      <c r="O120" s="137" t="str">
        <f t="shared" si="17"/>
        <v/>
      </c>
    </row>
    <row r="121" spans="2:15">
      <c r="B121" s="76" t="str">
        <f t="array" ref="B121">IF(COUNTIFS(INDEX(Equipment_Allocation_New,0,MATCH($C$107,Unit_codes,0)),"&gt;0")&lt;ROWS('2.2-Equipment input'!$X$8:$X19),"N/A",INDEX('2.2-Equipment input'!B:B,SMALL(IF(INDEX(Equipment_Allocation_New,0,MATCH($C$107,Unit_codes,0))&gt;0,ROW(equipment_ID)),ROW('2.2-Equipment input'!B12))))</f>
        <v>N/A</v>
      </c>
      <c r="C121" s="76" t="str">
        <f>IF($B121="N/A","N/A",INDEX(Equipment_name[],MATCH(B121,equipment_ID,0)))</f>
        <v>N/A</v>
      </c>
      <c r="D121" s="277" t="str">
        <f t="shared" si="10"/>
        <v>N/A</v>
      </c>
      <c r="E121" s="94" t="str">
        <f t="shared" si="11"/>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95" t="str">
        <f t="shared" si="15"/>
        <v/>
      </c>
      <c r="N121" s="277" t="str">
        <f t="shared" si="16"/>
        <v/>
      </c>
      <c r="O121" s="137" t="str">
        <f t="shared" si="17"/>
        <v/>
      </c>
    </row>
    <row r="122" spans="2:15">
      <c r="B122" s="76" t="str">
        <f t="array" ref="B122">IF(COUNTIFS(INDEX(Equipment_Allocation_New,0,MATCH($C$107,Unit_codes,0)),"&gt;0")&lt;ROWS('2.2-Equipment input'!$X$8:$X20),"N/A",INDEX('2.2-Equipment input'!B:B,SMALL(IF(INDEX(Equipment_Allocation_New,0,MATCH($C$107,Unit_codes,0))&gt;0,ROW(equipment_ID)),ROW('2.2-Equipment input'!B13))))</f>
        <v>N/A</v>
      </c>
      <c r="C122" s="76" t="str">
        <f>IF($B122="N/A","N/A",INDEX(Equipment_name[],MATCH(B122,equipment_ID,0)))</f>
        <v>N/A</v>
      </c>
      <c r="D122" s="277" t="str">
        <f t="shared" si="10"/>
        <v>N/A</v>
      </c>
      <c r="E122" s="94" t="str">
        <f t="shared" si="11"/>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95" t="str">
        <f t="shared" si="15"/>
        <v/>
      </c>
      <c r="N122" s="277" t="str">
        <f t="shared" si="16"/>
        <v/>
      </c>
      <c r="O122" s="137" t="str">
        <f t="shared" si="17"/>
        <v/>
      </c>
    </row>
    <row r="123" spans="2:15">
      <c r="B123" s="76" t="str">
        <f t="array" ref="B123">IF(COUNTIFS(INDEX(Equipment_Allocation_New,0,MATCH($C$107,Unit_codes,0)),"&gt;0")&lt;ROWS('2.2-Equipment input'!$X$8:$X21),"N/A",INDEX('2.2-Equipment input'!B:B,SMALL(IF(INDEX(Equipment_Allocation_New,0,MATCH($C$107,Unit_codes,0))&gt;0,ROW(equipment_ID)),ROW('2.2-Equipment input'!B14))))</f>
        <v>N/A</v>
      </c>
      <c r="C123" s="76" t="str">
        <f>IF($B123="N/A","N/A",INDEX(Equipment_name[],MATCH(B123,equipment_ID,0)))</f>
        <v>N/A</v>
      </c>
      <c r="D123" s="277" t="str">
        <f t="shared" si="10"/>
        <v>N/A</v>
      </c>
      <c r="E123" s="94" t="str">
        <f t="shared" si="11"/>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95" t="str">
        <f t="shared" si="15"/>
        <v/>
      </c>
      <c r="N123" s="277" t="str">
        <f t="shared" si="16"/>
        <v/>
      </c>
      <c r="O123" s="137" t="str">
        <f t="shared" si="17"/>
        <v/>
      </c>
    </row>
    <row r="124" spans="2:15">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0"/>
        <v>N/A</v>
      </c>
      <c r="E124" s="94" t="str">
        <f t="shared" si="11"/>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95" t="str">
        <f t="shared" si="15"/>
        <v/>
      </c>
      <c r="N124" s="277" t="str">
        <f t="shared" si="16"/>
        <v/>
      </c>
      <c r="O124" s="137" t="str">
        <f t="shared" si="17"/>
        <v/>
      </c>
    </row>
    <row r="125" spans="2:15">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0"/>
        <v>N/A</v>
      </c>
      <c r="E125" s="94" t="str">
        <f t="shared" si="11"/>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2"/>
        <v/>
      </c>
      <c r="I125" s="137" t="str">
        <f>IF($B125="N/A","",IF(INDEX(Equipment_Utility_Decision,MATCH($B125,equipment_ID,0))='4.2-Settings Internal'!$B$32,INDEX(Equipment_Utility_Electricity,MATCH($B125,equipment_ID,0)),""))</f>
        <v/>
      </c>
      <c r="J125" s="277" t="str">
        <f t="shared" si="13"/>
        <v/>
      </c>
      <c r="K125" s="137" t="str">
        <f>IF($B125="N/A","",IF(INDEX(Equipment_Utility_Decision,MATCH($B125,equipment_ID,0))=INDEX(Yes_No_Choice[],1),INDEX(Equipment_Utility_Fuel,MATCH($B125,equipment_ID,0)),""))</f>
        <v/>
      </c>
      <c r="L125" s="277" t="str">
        <f t="shared" si="14"/>
        <v/>
      </c>
      <c r="M125" s="95" t="str">
        <f t="shared" si="15"/>
        <v/>
      </c>
      <c r="N125" s="277" t="str">
        <f t="shared" si="16"/>
        <v/>
      </c>
      <c r="O125" s="137" t="str">
        <f t="shared" si="17"/>
        <v/>
      </c>
    </row>
    <row r="126" spans="2:15">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0"/>
        <v>N/A</v>
      </c>
      <c r="E126" s="94" t="str">
        <f t="shared" si="11"/>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2"/>
        <v/>
      </c>
      <c r="I126" s="137" t="str">
        <f>IF($B126="N/A","",IF(INDEX(Equipment_Utility_Decision,MATCH($B126,equipment_ID,0))='4.2-Settings Internal'!$B$32,INDEX(Equipment_Utility_Electricity,MATCH($B126,equipment_ID,0)),""))</f>
        <v/>
      </c>
      <c r="J126" s="277" t="str">
        <f t="shared" si="13"/>
        <v/>
      </c>
      <c r="K126" s="137" t="str">
        <f>IF($B126="N/A","",IF(INDEX(Equipment_Utility_Decision,MATCH($B126,equipment_ID,0))=INDEX(Yes_No_Choice[],1),INDEX(Equipment_Utility_Fuel,MATCH($B126,equipment_ID,0)),""))</f>
        <v/>
      </c>
      <c r="L126" s="277" t="str">
        <f t="shared" si="14"/>
        <v/>
      </c>
      <c r="M126" s="95" t="str">
        <f t="shared" si="15"/>
        <v/>
      </c>
      <c r="N126" s="277" t="str">
        <f t="shared" si="16"/>
        <v/>
      </c>
      <c r="O126" s="137" t="str">
        <f t="shared" si="17"/>
        <v/>
      </c>
    </row>
    <row r="127" spans="2:15">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0"/>
        <v>N/A</v>
      </c>
      <c r="E127" s="94" t="str">
        <f t="shared" si="11"/>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2"/>
        <v/>
      </c>
      <c r="I127" s="137" t="str">
        <f>IF($B127="N/A","",IF(INDEX(Equipment_Utility_Decision,MATCH($B127,equipment_ID,0))='4.2-Settings Internal'!$B$32,INDEX(Equipment_Utility_Electricity,MATCH($B127,equipment_ID,0)),""))</f>
        <v/>
      </c>
      <c r="J127" s="277" t="str">
        <f t="shared" si="13"/>
        <v/>
      </c>
      <c r="K127" s="137" t="str">
        <f>IF($B127="N/A","",IF(INDEX(Equipment_Utility_Decision,MATCH($B127,equipment_ID,0))=INDEX(Yes_No_Choice[],1),INDEX(Equipment_Utility_Fuel,MATCH($B127,equipment_ID,0)),""))</f>
        <v/>
      </c>
      <c r="L127" s="277" t="str">
        <f t="shared" si="14"/>
        <v/>
      </c>
      <c r="M127" s="95" t="str">
        <f t="shared" si="15"/>
        <v/>
      </c>
      <c r="N127" s="277" t="str">
        <f t="shared" si="16"/>
        <v/>
      </c>
      <c r="O127" s="137" t="str">
        <f t="shared" si="17"/>
        <v/>
      </c>
    </row>
    <row r="128" spans="2:15">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0"/>
        <v>N/A</v>
      </c>
      <c r="E128" s="94" t="str">
        <f t="shared" si="11"/>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2"/>
        <v/>
      </c>
      <c r="I128" s="137" t="str">
        <f>IF($B128="N/A","",IF(INDEX(Equipment_Utility_Decision,MATCH($B128,equipment_ID,0))='4.2-Settings Internal'!$B$32,INDEX(Equipment_Utility_Electricity,MATCH($B128,equipment_ID,0)),""))</f>
        <v/>
      </c>
      <c r="J128" s="277" t="str">
        <f t="shared" si="13"/>
        <v/>
      </c>
      <c r="K128" s="137" t="str">
        <f>IF($B128="N/A","",IF(INDEX(Equipment_Utility_Decision,MATCH($B128,equipment_ID,0))=INDEX(Yes_No_Choice[],1),INDEX(Equipment_Utility_Fuel,MATCH($B128,equipment_ID,0)),""))</f>
        <v/>
      </c>
      <c r="L128" s="277" t="str">
        <f t="shared" si="14"/>
        <v/>
      </c>
      <c r="M128" s="95" t="str">
        <f t="shared" si="15"/>
        <v/>
      </c>
      <c r="N128" s="277" t="str">
        <f t="shared" si="16"/>
        <v/>
      </c>
      <c r="O128" s="137" t="str">
        <f t="shared" si="17"/>
        <v/>
      </c>
    </row>
    <row r="129" spans="2:15">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0"/>
        <v>N/A</v>
      </c>
      <c r="E129" s="94" t="str">
        <f t="shared" si="11"/>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2"/>
        <v/>
      </c>
      <c r="I129" s="137" t="str">
        <f>IF($B129="N/A","",IF(INDEX(Equipment_Utility_Decision,MATCH($B129,equipment_ID,0))='4.2-Settings Internal'!$B$32,INDEX(Equipment_Utility_Electricity,MATCH($B129,equipment_ID,0)),""))</f>
        <v/>
      </c>
      <c r="J129" s="277" t="str">
        <f t="shared" si="13"/>
        <v/>
      </c>
      <c r="K129" s="137" t="str">
        <f>IF($B129="N/A","",IF(INDEX(Equipment_Utility_Decision,MATCH($B129,equipment_ID,0))=INDEX(Yes_No_Choice[],1),INDEX(Equipment_Utility_Fuel,MATCH($B129,equipment_ID,0)),""))</f>
        <v/>
      </c>
      <c r="L129" s="277" t="str">
        <f t="shared" si="14"/>
        <v/>
      </c>
      <c r="M129" s="95" t="str">
        <f t="shared" si="15"/>
        <v/>
      </c>
      <c r="N129" s="277" t="str">
        <f t="shared" si="16"/>
        <v/>
      </c>
      <c r="O129" s="137" t="str">
        <f t="shared" si="17"/>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95" t="str">
        <f t="shared" si="15"/>
        <v/>
      </c>
      <c r="N130" s="277" t="str">
        <f t="shared" si="16"/>
        <v/>
      </c>
      <c r="O130" s="137" t="str">
        <f t="shared" si="17"/>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95" t="str">
        <f t="shared" si="15"/>
        <v/>
      </c>
      <c r="N131" s="277" t="str">
        <f t="shared" si="16"/>
        <v/>
      </c>
      <c r="O131" s="137" t="str">
        <f t="shared" si="17"/>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95" t="str">
        <f t="shared" si="15"/>
        <v/>
      </c>
      <c r="N132" s="277" t="str">
        <f t="shared" si="16"/>
        <v/>
      </c>
      <c r="O132" s="137" t="str">
        <f t="shared" si="17"/>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95" t="str">
        <f t="shared" si="15"/>
        <v/>
      </c>
      <c r="N133" s="277" t="str">
        <f t="shared" si="16"/>
        <v/>
      </c>
      <c r="O133" s="137" t="str">
        <f t="shared" si="17"/>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95" t="str">
        <f t="shared" si="15"/>
        <v/>
      </c>
      <c r="N134" s="277" t="str">
        <f t="shared" si="16"/>
        <v/>
      </c>
      <c r="O134" s="137" t="str">
        <f t="shared" si="17"/>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95" t="str">
        <f t="shared" si="15"/>
        <v/>
      </c>
      <c r="N135" s="277" t="str">
        <f t="shared" si="16"/>
        <v/>
      </c>
      <c r="O135" s="137" t="str">
        <f t="shared" si="17"/>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95" t="str">
        <f t="shared" si="15"/>
        <v/>
      </c>
      <c r="N136" s="277" t="str">
        <f t="shared" si="16"/>
        <v/>
      </c>
      <c r="O136" s="137" t="str">
        <f t="shared" si="17"/>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95" t="str">
        <f t="shared" si="15"/>
        <v/>
      </c>
      <c r="N137" s="277" t="str">
        <f t="shared" si="16"/>
        <v/>
      </c>
      <c r="O137" s="137" t="str">
        <f t="shared" si="17"/>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95" t="str">
        <f t="shared" si="15"/>
        <v/>
      </c>
      <c r="N138" s="277" t="str">
        <f t="shared" si="16"/>
        <v/>
      </c>
      <c r="O138" s="137" t="str">
        <f t="shared" si="17"/>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95" t="str">
        <f t="shared" si="15"/>
        <v/>
      </c>
      <c r="N139" s="277" t="str">
        <f t="shared" si="16"/>
        <v/>
      </c>
      <c r="O139" s="137" t="str">
        <f t="shared" si="17"/>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95" t="str">
        <f t="shared" si="15"/>
        <v/>
      </c>
      <c r="N140" s="277" t="str">
        <f t="shared" si="16"/>
        <v/>
      </c>
      <c r="O140" s="137" t="str">
        <f t="shared" si="17"/>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95" t="str">
        <f t="shared" si="15"/>
        <v/>
      </c>
      <c r="N141" s="277" t="str">
        <f t="shared" si="16"/>
        <v/>
      </c>
      <c r="O141" s="137" t="str">
        <f t="shared" si="17"/>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95" t="str">
        <f t="shared" si="15"/>
        <v/>
      </c>
      <c r="N142" s="277" t="str">
        <f t="shared" si="16"/>
        <v/>
      </c>
      <c r="O142" s="137" t="str">
        <f t="shared" si="17"/>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95" t="str">
        <f t="shared" si="15"/>
        <v/>
      </c>
      <c r="N143" s="277" t="str">
        <f t="shared" si="16"/>
        <v/>
      </c>
      <c r="O143" s="137" t="str">
        <f t="shared" si="17"/>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95" t="str">
        <f t="shared" si="15"/>
        <v/>
      </c>
      <c r="N144" s="277" t="str">
        <f t="shared" si="16"/>
        <v/>
      </c>
      <c r="O144" s="137" t="str">
        <f t="shared" si="17"/>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95" t="str">
        <f t="shared" si="15"/>
        <v/>
      </c>
      <c r="N145" s="277" t="str">
        <f t="shared" si="16"/>
        <v/>
      </c>
      <c r="O145" s="137" t="str">
        <f t="shared" si="17"/>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95" t="str">
        <f t="shared" si="15"/>
        <v/>
      </c>
      <c r="N146" s="277" t="str">
        <f t="shared" si="16"/>
        <v/>
      </c>
      <c r="O146" s="137" t="str">
        <f t="shared" si="17"/>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95" t="str">
        <f t="shared" si="15"/>
        <v/>
      </c>
      <c r="N147" s="277" t="str">
        <f t="shared" si="16"/>
        <v/>
      </c>
      <c r="O147" s="137" t="str">
        <f t="shared" si="17"/>
        <v/>
      </c>
    </row>
    <row r="148" spans="2:23" ht="33" customHeight="1"/>
    <row r="149" spans="2:23" ht="33" customHeight="1">
      <c r="G149" s="188" t="s">
        <v>620</v>
      </c>
      <c r="H149" s="288">
        <f>SUM(H152:H189)</f>
        <v>1109.8499999999999</v>
      </c>
      <c r="I149" s="288">
        <f t="shared" ref="I149:W149" si="18">SUM(I152:I189)</f>
        <v>0</v>
      </c>
      <c r="J149" s="288">
        <f t="shared" si="18"/>
        <v>0</v>
      </c>
      <c r="K149" s="288">
        <f t="shared" si="18"/>
        <v>63</v>
      </c>
      <c r="L149" s="288">
        <f t="shared" si="18"/>
        <v>0</v>
      </c>
      <c r="M149" s="288">
        <f t="shared" si="18"/>
        <v>1046.8499999999999</v>
      </c>
      <c r="N149" s="288">
        <f t="shared" si="18"/>
        <v>63</v>
      </c>
      <c r="O149" s="288">
        <f t="shared" si="18"/>
        <v>0</v>
      </c>
      <c r="P149" s="288">
        <f t="shared" si="18"/>
        <v>0</v>
      </c>
      <c r="Q149" s="288">
        <f t="shared" si="18"/>
        <v>63</v>
      </c>
      <c r="R149" s="288">
        <f t="shared" si="18"/>
        <v>1046.8499999999999</v>
      </c>
      <c r="S149" s="288">
        <f t="shared" si="18"/>
        <v>0</v>
      </c>
      <c r="T149" s="288">
        <f t="shared" si="18"/>
        <v>63</v>
      </c>
      <c r="U149" s="288">
        <f t="shared" si="18"/>
        <v>0</v>
      </c>
      <c r="V149" s="288">
        <f t="shared" si="18"/>
        <v>0</v>
      </c>
      <c r="W149" s="288">
        <f t="shared" si="18"/>
        <v>1109.8499999999999</v>
      </c>
    </row>
    <row r="150" spans="2:23">
      <c r="G150" s="88"/>
    </row>
    <row r="151" spans="2:23" ht="31.5">
      <c r="B151" s="99" t="s">
        <v>84</v>
      </c>
      <c r="C151" s="99" t="s">
        <v>53</v>
      </c>
      <c r="D151" s="99" t="s">
        <v>52</v>
      </c>
      <c r="E151" s="184" t="s">
        <v>149</v>
      </c>
      <c r="F151" s="99" t="s">
        <v>50</v>
      </c>
      <c r="G151" s="99" t="s">
        <v>121</v>
      </c>
      <c r="H151" s="99" t="s">
        <v>617</v>
      </c>
      <c r="I151" s="99" t="s">
        <v>595</v>
      </c>
      <c r="J151" s="99" t="s">
        <v>596</v>
      </c>
      <c r="K151" s="99" t="s">
        <v>597</v>
      </c>
      <c r="L151" s="99" t="s">
        <v>598</v>
      </c>
      <c r="M151" s="99" t="s">
        <v>599</v>
      </c>
      <c r="N151" s="99" t="s">
        <v>600</v>
      </c>
      <c r="O151" s="99" t="s">
        <v>601</v>
      </c>
      <c r="P151" s="99" t="s">
        <v>602</v>
      </c>
      <c r="Q151" s="99" t="s">
        <v>603</v>
      </c>
      <c r="R151" s="99" t="s">
        <v>604</v>
      </c>
      <c r="S151" s="99" t="s">
        <v>605</v>
      </c>
      <c r="T151" s="99" t="s">
        <v>606</v>
      </c>
      <c r="U151" s="99" t="s">
        <v>607</v>
      </c>
      <c r="V151" s="99" t="s">
        <v>608</v>
      </c>
      <c r="W151" s="99"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eq0008</v>
      </c>
      <c r="C152" s="76" t="str">
        <f>IF($B152="N/A","N/A",INDEX(Equipment_name[],MATCH(B152,equipment_ID,0)))</f>
        <v>High pressure cleaner</v>
      </c>
      <c r="D152" s="277">
        <f t="shared" ref="D152:D189" si="19">IF($B152="N/A","N/A",INDEX(Equipment_Capital_Cost,MATCH($B152,equipment_ID,0)))</f>
        <v>630</v>
      </c>
      <c r="E152" s="94">
        <f t="shared" ref="E152:E189" si="20">IF($B152="N/A","N/A",INDEX(Equipment_Lifetime,MATCH($B152,equipment_ID,0)))</f>
        <v>3</v>
      </c>
      <c r="F152" s="94">
        <f t="shared" ref="F152:F189" si="21">IF($B152="N/A","N/A",INDEX(Equipment_Quantity_New,MATCH($B152,equipment_ID,0)))</f>
        <v>2</v>
      </c>
      <c r="G152" s="92">
        <f t="shared" ref="G152:G189" si="22">IF($B152="N/A","N/A",INDEX(Equipment_Allocation_New,MATCH($B152,equipment_ID,0),MATCH($C$107,Unit_codes,0)))</f>
        <v>0.05</v>
      </c>
      <c r="H152" s="277">
        <f>IFERROR(IF($B152="N/A","N/A",IF(MOD(COLUMNS(H$151:$H$151)-1,$E152)=0,$F152*$D152*$G152,)),)</f>
        <v>63</v>
      </c>
      <c r="I152" s="277">
        <f>IFERROR(IF($B152="N/A","N/A",IF(MOD(COLUMNS($H$151:I$151)-1,$E152)=0,$F152*$D152*$G152,)),)</f>
        <v>0</v>
      </c>
      <c r="J152" s="277">
        <f>IFERROR(IF($B152="N/A","N/A",IF(MOD(COLUMNS($H$151:J$151)-1,$E152)=0,$F152*$D152*$G152,)),)</f>
        <v>0</v>
      </c>
      <c r="K152" s="277">
        <f>IFERROR(IF($B152="N/A","N/A",IF(MOD(COLUMNS($H$151:K$151)-1,$E152)=0,$F152*$D152*$G152,)),)</f>
        <v>63</v>
      </c>
      <c r="L152" s="277">
        <f>IFERROR(IF($B152="N/A","N/A",IF(MOD(COLUMNS($H$151:L$151)-1,$E152)=0,$F152*$D152*$G152,)),)</f>
        <v>0</v>
      </c>
      <c r="M152" s="277">
        <f>IFERROR(IF($B152="N/A","N/A",IF(MOD(COLUMNS($H$151:M$151)-1,$E152)=0,$F152*$D152*$G152,)),)</f>
        <v>0</v>
      </c>
      <c r="N152" s="277">
        <f>IFERROR(IF($B152="N/A","N/A",IF(MOD(COLUMNS($H$151:N$151)-1,$E152)=0,$F152*$D152*$G152,)),)</f>
        <v>63</v>
      </c>
      <c r="O152" s="277">
        <f>IFERROR(IF($B152="N/A","N/A",IF(MOD(COLUMNS($H$151:O$151)-1,$E152)=0,$F152*$D152*$G152,)),)</f>
        <v>0</v>
      </c>
      <c r="P152" s="277">
        <f>IFERROR(IF($B152="N/A","N/A",IF(MOD(COLUMNS($H$151:P$151)-1,$E152)=0,$F152*$D152*$G152,)),)</f>
        <v>0</v>
      </c>
      <c r="Q152" s="277">
        <f>IFERROR(IF($B152="N/A","N/A",IF(MOD(COLUMNS($H$151:Q$151)-1,$E152)=0,$F152*$D152*$G152,)),)</f>
        <v>63</v>
      </c>
      <c r="R152" s="277">
        <f>IFERROR(IF($B152="N/A","N/A",IF(MOD(COLUMNS($H$151:R$151)-1,$E152)=0,$F152*$D152*$G152,)),)</f>
        <v>0</v>
      </c>
      <c r="S152" s="277">
        <f>IFERROR(IF($B152="N/A","N/A",IF(MOD(COLUMNS($H$151:S$151)-1,$E152)=0,$F152*$D152*$G152,)),)</f>
        <v>0</v>
      </c>
      <c r="T152" s="277">
        <f>IFERROR(IF($B152="N/A","N/A",IF(MOD(COLUMNS($H$151:T$151)-1,$E152)=0,$F152*$D152*$G152,)),)</f>
        <v>63</v>
      </c>
      <c r="U152" s="277">
        <f>IFERROR(IF($B152="N/A","N/A",IF(MOD(COLUMNS($H$151:U$151)-1,$E152)=0,$F152*$D152*$G152,)),)</f>
        <v>0</v>
      </c>
      <c r="V152" s="277">
        <f>IFERROR(IF($B152="N/A","N/A",IF(MOD(COLUMNS($H$151:V$151)-1,$E152)=0,$F152*$D152*$G152,)),)</f>
        <v>0</v>
      </c>
      <c r="W152" s="277">
        <f>IFERROR(IF($B152="N/A","N/A",IF(MOD(COLUMNS($H$151:W$151)-1,$E152)=0,$F152*$D152*$G152,)),)</f>
        <v>63</v>
      </c>
    </row>
    <row r="153" spans="2:23">
      <c r="B153" s="76" t="str">
        <f t="array" ref="B153">IF(COUNTIFS(INDEX(Equipment_Allocation_New,0,MATCH($C$107,Unit_codes,0)),"&gt;0")&lt;ROWS('2.2-Equipment input'!$X$8:$X9),"N/A",INDEX('2.2-Equipment input'!B:B,SMALL(IF(INDEX(Equipment_Allocation_New,0,MATCH($C$107,Unit_codes,0))&gt;0,ROW(equipment_ID)),ROW('2.2-Equipment input'!B2))))</f>
        <v>eq0021</v>
      </c>
      <c r="C153" s="76" t="str">
        <f>IF($B153="N/A","N/A",INDEX(Equipment_name[],MATCH(B153,equipment_ID,0)))</f>
        <v>Hatchling crate</v>
      </c>
      <c r="D153" s="277">
        <f t="shared" si="19"/>
        <v>4.8999999999999995</v>
      </c>
      <c r="E153" s="94">
        <f t="shared" si="20"/>
        <v>5</v>
      </c>
      <c r="F153" s="94">
        <f t="shared" si="21"/>
        <v>10</v>
      </c>
      <c r="G153" s="92">
        <f t="shared" si="22"/>
        <v>1</v>
      </c>
      <c r="H153" s="277">
        <f>IFERROR(IF($B153="N/A","N/A",IF(MOD(COLUMNS(H$151:$H$151)-1,$E153)=0,$F153*$D153*$G153,)),)</f>
        <v>48.999999999999993</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48.999999999999993</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48.999999999999993</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48.999999999999993</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eq0022</v>
      </c>
      <c r="C154" s="76" t="str">
        <f>IF($B154="N/A","N/A",INDEX(Equipment_name[],MATCH(B154,equipment_ID,0)))</f>
        <v>Mobile hatching frame</v>
      </c>
      <c r="D154" s="277">
        <f t="shared" si="19"/>
        <v>140</v>
      </c>
      <c r="E154" s="94">
        <f t="shared" si="20"/>
        <v>5</v>
      </c>
      <c r="F154" s="94">
        <f t="shared" si="21"/>
        <v>1</v>
      </c>
      <c r="G154" s="92">
        <f t="shared" si="22"/>
        <v>1</v>
      </c>
      <c r="H154" s="277">
        <f>IFERROR(IF($B154="N/A","N/A",IF(MOD(COLUMNS(H$151:$H$151)-1,$E154)=0,$F154*$D154*$G154,)),)</f>
        <v>140</v>
      </c>
      <c r="I154" s="277">
        <f>IFERROR(IF($B154="N/A","N/A",IF(MOD(COLUMNS($H$151:I$151)-1,$E154)=0,$F154*$D154*$G154,)),)</f>
        <v>0</v>
      </c>
      <c r="J154" s="277">
        <f>IFERROR(IF($B154="N/A","N/A",IF(MOD(COLUMNS($H$151:J$151)-1,$E154)=0,$F154*$D154*$G154,)),)</f>
        <v>0</v>
      </c>
      <c r="K154" s="277">
        <f>IFERROR(IF($B154="N/A","N/A",IF(MOD(COLUMNS($H$151:K$151)-1,$E154)=0,$F154*$D154*$G154,)),)</f>
        <v>0</v>
      </c>
      <c r="L154" s="277">
        <f>IFERROR(IF($B154="N/A","N/A",IF(MOD(COLUMNS($H$151:L$151)-1,$E154)=0,$F154*$D154*$G154,)),)</f>
        <v>0</v>
      </c>
      <c r="M154" s="277">
        <f>IFERROR(IF($B154="N/A","N/A",IF(MOD(COLUMNS($H$151:M$151)-1,$E154)=0,$F154*$D154*$G154,)),)</f>
        <v>140</v>
      </c>
      <c r="N154" s="277">
        <f>IFERROR(IF($B154="N/A","N/A",IF(MOD(COLUMNS($H$151:N$151)-1,$E154)=0,$F154*$D154*$G154,)),)</f>
        <v>0</v>
      </c>
      <c r="O154" s="277">
        <f>IFERROR(IF($B154="N/A","N/A",IF(MOD(COLUMNS($H$151:O$151)-1,$E154)=0,$F154*$D154*$G154,)),)</f>
        <v>0</v>
      </c>
      <c r="P154" s="277">
        <f>IFERROR(IF($B154="N/A","N/A",IF(MOD(COLUMNS($H$151:P$151)-1,$E154)=0,$F154*$D154*$G154,)),)</f>
        <v>0</v>
      </c>
      <c r="Q154" s="277">
        <f>IFERROR(IF($B154="N/A","N/A",IF(MOD(COLUMNS($H$151:Q$151)-1,$E154)=0,$F154*$D154*$G154,)),)</f>
        <v>0</v>
      </c>
      <c r="R154" s="277">
        <f>IFERROR(IF($B154="N/A","N/A",IF(MOD(COLUMNS($H$151:R$151)-1,$E154)=0,$F154*$D154*$G154,)),)</f>
        <v>140</v>
      </c>
      <c r="S154" s="277">
        <f>IFERROR(IF($B154="N/A","N/A",IF(MOD(COLUMNS($H$151:S$151)-1,$E154)=0,$F154*$D154*$G154,)),)</f>
        <v>0</v>
      </c>
      <c r="T154" s="277">
        <f>IFERROR(IF($B154="N/A","N/A",IF(MOD(COLUMNS($H$151:T$151)-1,$E154)=0,$F154*$D154*$G154,)),)</f>
        <v>0</v>
      </c>
      <c r="U154" s="277">
        <f>IFERROR(IF($B154="N/A","N/A",IF(MOD(COLUMNS($H$151:U$151)-1,$E154)=0,$F154*$D154*$G154,)),)</f>
        <v>0</v>
      </c>
      <c r="V154" s="277">
        <f>IFERROR(IF($B154="N/A","N/A",IF(MOD(COLUMNS($H$151:V$151)-1,$E154)=0,$F154*$D154*$G154,)),)</f>
        <v>0</v>
      </c>
      <c r="W154" s="277">
        <f>IFERROR(IF($B154="N/A","N/A",IF(MOD(COLUMNS($H$151:W$151)-1,$E154)=0,$F154*$D154*$G154,)),)</f>
        <v>140</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eq0023</v>
      </c>
      <c r="C155" s="76" t="str">
        <f>IF($B155="N/A","N/A",INDEX(Equipment_name[],MATCH(B155,equipment_ID,0)))</f>
        <v>Oviball holder</v>
      </c>
      <c r="D155" s="277">
        <f t="shared" si="19"/>
        <v>0.7</v>
      </c>
      <c r="E155" s="94">
        <f t="shared" si="20"/>
        <v>5</v>
      </c>
      <c r="F155" s="94">
        <f t="shared" si="21"/>
        <v>1</v>
      </c>
      <c r="G155" s="92">
        <f t="shared" si="22"/>
        <v>0.5</v>
      </c>
      <c r="H155" s="277">
        <f>IFERROR(IF($B155="N/A","N/A",IF(MOD(COLUMNS(H$151:$H$151)-1,$E155)=0,$F155*$D155*$G155,)),)</f>
        <v>0.35</v>
      </c>
      <c r="I155" s="277">
        <f>IFERROR(IF($B155="N/A","N/A",IF(MOD(COLUMNS($H$151:I$151)-1,$E155)=0,$F155*$D155*$G155,)),)</f>
        <v>0</v>
      </c>
      <c r="J155" s="277">
        <f>IFERROR(IF($B155="N/A","N/A",IF(MOD(COLUMNS($H$151:J$151)-1,$E155)=0,$F155*$D155*$G155,)),)</f>
        <v>0</v>
      </c>
      <c r="K155" s="277">
        <f>IFERROR(IF($B155="N/A","N/A",IF(MOD(COLUMNS($H$151:K$151)-1,$E155)=0,$F155*$D155*$G155,)),)</f>
        <v>0</v>
      </c>
      <c r="L155" s="277">
        <f>IFERROR(IF($B155="N/A","N/A",IF(MOD(COLUMNS($H$151:L$151)-1,$E155)=0,$F155*$D155*$G155,)),)</f>
        <v>0</v>
      </c>
      <c r="M155" s="277">
        <f>IFERROR(IF($B155="N/A","N/A",IF(MOD(COLUMNS($H$151:M$151)-1,$E155)=0,$F155*$D155*$G155,)),)</f>
        <v>0.35</v>
      </c>
      <c r="N155" s="277">
        <f>IFERROR(IF($B155="N/A","N/A",IF(MOD(COLUMNS($H$151:N$151)-1,$E155)=0,$F155*$D155*$G155,)),)</f>
        <v>0</v>
      </c>
      <c r="O155" s="277">
        <f>IFERROR(IF($B155="N/A","N/A",IF(MOD(COLUMNS($H$151:O$151)-1,$E155)=0,$F155*$D155*$G155,)),)</f>
        <v>0</v>
      </c>
      <c r="P155" s="277">
        <f>IFERROR(IF($B155="N/A","N/A",IF(MOD(COLUMNS($H$151:P$151)-1,$E155)=0,$F155*$D155*$G155,)),)</f>
        <v>0</v>
      </c>
      <c r="Q155" s="277">
        <f>IFERROR(IF($B155="N/A","N/A",IF(MOD(COLUMNS($H$151:Q$151)-1,$E155)=0,$F155*$D155*$G155,)),)</f>
        <v>0</v>
      </c>
      <c r="R155" s="277">
        <f>IFERROR(IF($B155="N/A","N/A",IF(MOD(COLUMNS($H$151:R$151)-1,$E155)=0,$F155*$D155*$G155,)),)</f>
        <v>0.35</v>
      </c>
      <c r="S155" s="277">
        <f>IFERROR(IF($B155="N/A","N/A",IF(MOD(COLUMNS($H$151:S$151)-1,$E155)=0,$F155*$D155*$G155,)),)</f>
        <v>0</v>
      </c>
      <c r="T155" s="277">
        <f>IFERROR(IF($B155="N/A","N/A",IF(MOD(COLUMNS($H$151:T$151)-1,$E155)=0,$F155*$D155*$G155,)),)</f>
        <v>0</v>
      </c>
      <c r="U155" s="277">
        <f>IFERROR(IF($B155="N/A","N/A",IF(MOD(COLUMNS($H$151:U$151)-1,$E155)=0,$F155*$D155*$G155,)),)</f>
        <v>0</v>
      </c>
      <c r="V155" s="277">
        <f>IFERROR(IF($B155="N/A","N/A",IF(MOD(COLUMNS($H$151:V$151)-1,$E155)=0,$F155*$D155*$G155,)),)</f>
        <v>0</v>
      </c>
      <c r="W155" s="277">
        <f>IFERROR(IF($B155="N/A","N/A",IF(MOD(COLUMNS($H$151:W$151)-1,$E155)=0,$F155*$D155*$G155,)),)</f>
        <v>0.35</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eq0024</v>
      </c>
      <c r="C156" s="76" t="str">
        <f>IF($B156="N/A","N/A",INDEX(Equipment_name[],MATCH(B156,equipment_ID,0)))</f>
        <v>Egg media</v>
      </c>
      <c r="D156" s="277">
        <f t="shared" si="19"/>
        <v>0.7</v>
      </c>
      <c r="E156" s="94">
        <f t="shared" si="20"/>
        <v>5</v>
      </c>
      <c r="F156" s="94">
        <f t="shared" si="21"/>
        <v>200</v>
      </c>
      <c r="G156" s="92">
        <f t="shared" si="22"/>
        <v>0.5</v>
      </c>
      <c r="H156" s="277">
        <f>IFERROR(IF($B156="N/A","N/A",IF(MOD(COLUMNS(H$151:$H$151)-1,$E156)=0,$F156*$D156*$G156,)),)</f>
        <v>70</v>
      </c>
      <c r="I156" s="277">
        <f>IFERROR(IF($B156="N/A","N/A",IF(MOD(COLUMNS($H$151:I$151)-1,$E156)=0,$F156*$D156*$G156,)),)</f>
        <v>0</v>
      </c>
      <c r="J156" s="277">
        <f>IFERROR(IF($B156="N/A","N/A",IF(MOD(COLUMNS($H$151:J$151)-1,$E156)=0,$F156*$D156*$G156,)),)</f>
        <v>0</v>
      </c>
      <c r="K156" s="277">
        <f>IFERROR(IF($B156="N/A","N/A",IF(MOD(COLUMNS($H$151:K$151)-1,$E156)=0,$F156*$D156*$G156,)),)</f>
        <v>0</v>
      </c>
      <c r="L156" s="277">
        <f>IFERROR(IF($B156="N/A","N/A",IF(MOD(COLUMNS($H$151:L$151)-1,$E156)=0,$F156*$D156*$G156,)),)</f>
        <v>0</v>
      </c>
      <c r="M156" s="277">
        <f>IFERROR(IF($B156="N/A","N/A",IF(MOD(COLUMNS($H$151:M$151)-1,$E156)=0,$F156*$D156*$G156,)),)</f>
        <v>70</v>
      </c>
      <c r="N156" s="277">
        <f>IFERROR(IF($B156="N/A","N/A",IF(MOD(COLUMNS($H$151:N$151)-1,$E156)=0,$F156*$D156*$G156,)),)</f>
        <v>0</v>
      </c>
      <c r="O156" s="277">
        <f>IFERROR(IF($B156="N/A","N/A",IF(MOD(COLUMNS($H$151:O$151)-1,$E156)=0,$F156*$D156*$G156,)),)</f>
        <v>0</v>
      </c>
      <c r="P156" s="277">
        <f>IFERROR(IF($B156="N/A","N/A",IF(MOD(COLUMNS($H$151:P$151)-1,$E156)=0,$F156*$D156*$G156,)),)</f>
        <v>0</v>
      </c>
      <c r="Q156" s="277">
        <f>IFERROR(IF($B156="N/A","N/A",IF(MOD(COLUMNS($H$151:Q$151)-1,$E156)=0,$F156*$D156*$G156,)),)</f>
        <v>0</v>
      </c>
      <c r="R156" s="277">
        <f>IFERROR(IF($B156="N/A","N/A",IF(MOD(COLUMNS($H$151:R$151)-1,$E156)=0,$F156*$D156*$G156,)),)</f>
        <v>70</v>
      </c>
      <c r="S156" s="277">
        <f>IFERROR(IF($B156="N/A","N/A",IF(MOD(COLUMNS($H$151:S$151)-1,$E156)=0,$F156*$D156*$G156,)),)</f>
        <v>0</v>
      </c>
      <c r="T156" s="277">
        <f>IFERROR(IF($B156="N/A","N/A",IF(MOD(COLUMNS($H$151:T$151)-1,$E156)=0,$F156*$D156*$G156,)),)</f>
        <v>0</v>
      </c>
      <c r="U156" s="277">
        <f>IFERROR(IF($B156="N/A","N/A",IF(MOD(COLUMNS($H$151:U$151)-1,$E156)=0,$F156*$D156*$G156,)),)</f>
        <v>0</v>
      </c>
      <c r="V156" s="277">
        <f>IFERROR(IF($B156="N/A","N/A",IF(MOD(COLUMNS($H$151:V$151)-1,$E156)=0,$F156*$D156*$G156,)),)</f>
        <v>0</v>
      </c>
      <c r="W156" s="277">
        <f>IFERROR(IF($B156="N/A","N/A",IF(MOD(COLUMNS($H$151:W$151)-1,$E156)=0,$F156*$D156*$G156,)),)</f>
        <v>70</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eq0025</v>
      </c>
      <c r="C157" s="76" t="str">
        <f>IF($B157="N/A","N/A",INDEX(Equipment_name[],MATCH(B157,equipment_ID,0)))</f>
        <v>Working table</v>
      </c>
      <c r="D157" s="277">
        <f t="shared" si="19"/>
        <v>174.99999999999997</v>
      </c>
      <c r="E157" s="94">
        <f t="shared" si="20"/>
        <v>5</v>
      </c>
      <c r="F157" s="94">
        <f t="shared" si="21"/>
        <v>1</v>
      </c>
      <c r="G157" s="92">
        <f t="shared" si="22"/>
        <v>0.5</v>
      </c>
      <c r="H157" s="277">
        <f>IFERROR(IF($B157="N/A","N/A",IF(MOD(COLUMNS(H$151:$H$151)-1,$E157)=0,$F157*$D157*$G157,)),)</f>
        <v>87.499999999999986</v>
      </c>
      <c r="I157" s="277">
        <f>IFERROR(IF($B157="N/A","N/A",IF(MOD(COLUMNS($H$151:I$151)-1,$E157)=0,$F157*$D157*$G157,)),)</f>
        <v>0</v>
      </c>
      <c r="J157" s="277">
        <f>IFERROR(IF($B157="N/A","N/A",IF(MOD(COLUMNS($H$151:J$151)-1,$E157)=0,$F157*$D157*$G157,)),)</f>
        <v>0</v>
      </c>
      <c r="K157" s="277">
        <f>IFERROR(IF($B157="N/A","N/A",IF(MOD(COLUMNS($H$151:K$151)-1,$E157)=0,$F157*$D157*$G157,)),)</f>
        <v>0</v>
      </c>
      <c r="L157" s="277">
        <f>IFERROR(IF($B157="N/A","N/A",IF(MOD(COLUMNS($H$151:L$151)-1,$E157)=0,$F157*$D157*$G157,)),)</f>
        <v>0</v>
      </c>
      <c r="M157" s="277">
        <f>IFERROR(IF($B157="N/A","N/A",IF(MOD(COLUMNS($H$151:M$151)-1,$E157)=0,$F157*$D157*$G157,)),)</f>
        <v>87.499999999999986</v>
      </c>
      <c r="N157" s="277">
        <f>IFERROR(IF($B157="N/A","N/A",IF(MOD(COLUMNS($H$151:N$151)-1,$E157)=0,$F157*$D157*$G157,)),)</f>
        <v>0</v>
      </c>
      <c r="O157" s="277">
        <f>IFERROR(IF($B157="N/A","N/A",IF(MOD(COLUMNS($H$151:O$151)-1,$E157)=0,$F157*$D157*$G157,)),)</f>
        <v>0</v>
      </c>
      <c r="P157" s="277">
        <f>IFERROR(IF($B157="N/A","N/A",IF(MOD(COLUMNS($H$151:P$151)-1,$E157)=0,$F157*$D157*$G157,)),)</f>
        <v>0</v>
      </c>
      <c r="Q157" s="277">
        <f>IFERROR(IF($B157="N/A","N/A",IF(MOD(COLUMNS($H$151:Q$151)-1,$E157)=0,$F157*$D157*$G157,)),)</f>
        <v>0</v>
      </c>
      <c r="R157" s="277">
        <f>IFERROR(IF($B157="N/A","N/A",IF(MOD(COLUMNS($H$151:R$151)-1,$E157)=0,$F157*$D157*$G157,)),)</f>
        <v>87.499999999999986</v>
      </c>
      <c r="S157" s="277">
        <f>IFERROR(IF($B157="N/A","N/A",IF(MOD(COLUMNS($H$151:S$151)-1,$E157)=0,$F157*$D157*$G157,)),)</f>
        <v>0</v>
      </c>
      <c r="T157" s="277">
        <f>IFERROR(IF($B157="N/A","N/A",IF(MOD(COLUMNS($H$151:T$151)-1,$E157)=0,$F157*$D157*$G157,)),)</f>
        <v>0</v>
      </c>
      <c r="U157" s="277">
        <f>IFERROR(IF($B157="N/A","N/A",IF(MOD(COLUMNS($H$151:U$151)-1,$E157)=0,$F157*$D157*$G157,)),)</f>
        <v>0</v>
      </c>
      <c r="V157" s="277">
        <f>IFERROR(IF($B157="N/A","N/A",IF(MOD(COLUMNS($H$151:V$151)-1,$E157)=0,$F157*$D157*$G157,)),)</f>
        <v>0</v>
      </c>
      <c r="W157" s="277">
        <f>IFERROR(IF($B157="N/A","N/A",IF(MOD(COLUMNS($H$151:W$151)-1,$E157)=0,$F157*$D157*$G157,)),)</f>
        <v>87.499999999999986</v>
      </c>
    </row>
    <row r="158" spans="2:23">
      <c r="B158" s="76" t="str">
        <f t="array" ref="B158">IF(COUNTIFS(INDEX(Equipment_Allocation_New,0,MATCH($C$107,Unit_codes,0)),"&gt;0")&lt;ROWS('2.2-Equipment input'!$X$8:$X14),"N/A",INDEX('2.2-Equipment input'!B:B,SMALL(IF(INDEX(Equipment_Allocation_New,0,MATCH($C$107,Unit_codes,0))&gt;0,ROW(equipment_ID)),ROW('2.2-Equipment input'!B7))))</f>
        <v>eq0032</v>
      </c>
      <c r="C158" s="76" t="str">
        <f>IF($B158="N/A","N/A",INDEX(Equipment_name[],MATCH(B158,equipment_ID,0)))</f>
        <v>Measuring balance (nursery)</v>
      </c>
      <c r="D158" s="277">
        <f t="shared" si="19"/>
        <v>349.99999999999994</v>
      </c>
      <c r="E158" s="94">
        <f t="shared" si="20"/>
        <v>5</v>
      </c>
      <c r="F158" s="94">
        <f t="shared" si="21"/>
        <v>3</v>
      </c>
      <c r="G158" s="92">
        <f t="shared" si="22"/>
        <v>0.1</v>
      </c>
      <c r="H158" s="277">
        <f>IFERROR(IF($B158="N/A","N/A",IF(MOD(COLUMNS(H$151:$H$151)-1,$E158)=0,$F158*$D158*$G158,)),)</f>
        <v>104.99999999999999</v>
      </c>
      <c r="I158" s="277">
        <f>IFERROR(IF($B158="N/A","N/A",IF(MOD(COLUMNS($H$151:I$151)-1,$E158)=0,$F158*$D158*$G158,)),)</f>
        <v>0</v>
      </c>
      <c r="J158" s="277">
        <f>IFERROR(IF($B158="N/A","N/A",IF(MOD(COLUMNS($H$151:J$151)-1,$E158)=0,$F158*$D158*$G158,)),)</f>
        <v>0</v>
      </c>
      <c r="K158" s="277">
        <f>IFERROR(IF($B158="N/A","N/A",IF(MOD(COLUMNS($H$151:K$151)-1,$E158)=0,$F158*$D158*$G158,)),)</f>
        <v>0</v>
      </c>
      <c r="L158" s="277">
        <f>IFERROR(IF($B158="N/A","N/A",IF(MOD(COLUMNS($H$151:L$151)-1,$E158)=0,$F158*$D158*$G158,)),)</f>
        <v>0</v>
      </c>
      <c r="M158" s="277">
        <f>IFERROR(IF($B158="N/A","N/A",IF(MOD(COLUMNS($H$151:M$151)-1,$E158)=0,$F158*$D158*$G158,)),)</f>
        <v>104.99999999999999</v>
      </c>
      <c r="N158" s="277">
        <f>IFERROR(IF($B158="N/A","N/A",IF(MOD(COLUMNS($H$151:N$151)-1,$E158)=0,$F158*$D158*$G158,)),)</f>
        <v>0</v>
      </c>
      <c r="O158" s="277">
        <f>IFERROR(IF($B158="N/A","N/A",IF(MOD(COLUMNS($H$151:O$151)-1,$E158)=0,$F158*$D158*$G158,)),)</f>
        <v>0</v>
      </c>
      <c r="P158" s="277">
        <f>IFERROR(IF($B158="N/A","N/A",IF(MOD(COLUMNS($H$151:P$151)-1,$E158)=0,$F158*$D158*$G158,)),)</f>
        <v>0</v>
      </c>
      <c r="Q158" s="277">
        <f>IFERROR(IF($B158="N/A","N/A",IF(MOD(COLUMNS($H$151:Q$151)-1,$E158)=0,$F158*$D158*$G158,)),)</f>
        <v>0</v>
      </c>
      <c r="R158" s="277">
        <f>IFERROR(IF($B158="N/A","N/A",IF(MOD(COLUMNS($H$151:R$151)-1,$E158)=0,$F158*$D158*$G158,)),)</f>
        <v>104.99999999999999</v>
      </c>
      <c r="S158" s="277">
        <f>IFERROR(IF($B158="N/A","N/A",IF(MOD(COLUMNS($H$151:S$151)-1,$E158)=0,$F158*$D158*$G158,)),)</f>
        <v>0</v>
      </c>
      <c r="T158" s="277">
        <f>IFERROR(IF($B158="N/A","N/A",IF(MOD(COLUMNS($H$151:T$151)-1,$E158)=0,$F158*$D158*$G158,)),)</f>
        <v>0</v>
      </c>
      <c r="U158" s="277">
        <f>IFERROR(IF($B158="N/A","N/A",IF(MOD(COLUMNS($H$151:U$151)-1,$E158)=0,$F158*$D158*$G158,)),)</f>
        <v>0</v>
      </c>
      <c r="V158" s="277">
        <f>IFERROR(IF($B158="N/A","N/A",IF(MOD(COLUMNS($H$151:V$151)-1,$E158)=0,$F158*$D158*$G158,)),)</f>
        <v>0</v>
      </c>
      <c r="W158" s="277">
        <f>IFERROR(IF($B158="N/A","N/A",IF(MOD(COLUMNS($H$151:W$151)-1,$E158)=0,$F158*$D158*$G158,)),)</f>
        <v>104.99999999999999</v>
      </c>
    </row>
    <row r="159" spans="2:23">
      <c r="B159" s="76" t="str">
        <f t="array" ref="B159">IF(COUNTIFS(INDEX(Equipment_Allocation_New,0,MATCH($C$107,Unit_codes,0)),"&gt;0")&lt;ROWS('2.2-Equipment input'!$X$8:$X15),"N/A",INDEX('2.2-Equipment input'!B:B,SMALL(IF(INDEX(Equipment_Allocation_New,0,MATCH($C$107,Unit_codes,0))&gt;0,ROW(equipment_ID)),ROW('2.2-Equipment input'!B8))))</f>
        <v>eq0033</v>
      </c>
      <c r="C159" s="76" t="str">
        <f>IF($B159="N/A","N/A",INDEX(Equipment_name[],MATCH(B159,equipment_ID,0)))</f>
        <v>Precision balance (lab)</v>
      </c>
      <c r="D159" s="277">
        <f t="shared" si="19"/>
        <v>209.99999999999997</v>
      </c>
      <c r="E159" s="94">
        <f t="shared" si="20"/>
        <v>5</v>
      </c>
      <c r="F159" s="94">
        <f t="shared" si="21"/>
        <v>3</v>
      </c>
      <c r="G159" s="92">
        <f t="shared" si="22"/>
        <v>0.5</v>
      </c>
      <c r="H159" s="277">
        <f>IFERROR(IF($B159="N/A","N/A",IF(MOD(COLUMNS(H$151:$H$151)-1,$E159)=0,$F159*$D159*$G159,)),)</f>
        <v>314.99999999999994</v>
      </c>
      <c r="I159" s="277">
        <f>IFERROR(IF($B159="N/A","N/A",IF(MOD(COLUMNS($H$151:I$151)-1,$E159)=0,$F159*$D159*$G159,)),)</f>
        <v>0</v>
      </c>
      <c r="J159" s="277">
        <f>IFERROR(IF($B159="N/A","N/A",IF(MOD(COLUMNS($H$151:J$151)-1,$E159)=0,$F159*$D159*$G159,)),)</f>
        <v>0</v>
      </c>
      <c r="K159" s="277">
        <f>IFERROR(IF($B159="N/A","N/A",IF(MOD(COLUMNS($H$151:K$151)-1,$E159)=0,$F159*$D159*$G159,)),)</f>
        <v>0</v>
      </c>
      <c r="L159" s="277">
        <f>IFERROR(IF($B159="N/A","N/A",IF(MOD(COLUMNS($H$151:L$151)-1,$E159)=0,$F159*$D159*$G159,)),)</f>
        <v>0</v>
      </c>
      <c r="M159" s="277">
        <f>IFERROR(IF($B159="N/A","N/A",IF(MOD(COLUMNS($H$151:M$151)-1,$E159)=0,$F159*$D159*$G159,)),)</f>
        <v>314.99999999999994</v>
      </c>
      <c r="N159" s="277">
        <f>IFERROR(IF($B159="N/A","N/A",IF(MOD(COLUMNS($H$151:N$151)-1,$E159)=0,$F159*$D159*$G159,)),)</f>
        <v>0</v>
      </c>
      <c r="O159" s="277">
        <f>IFERROR(IF($B159="N/A","N/A",IF(MOD(COLUMNS($H$151:O$151)-1,$E159)=0,$F159*$D159*$G159,)),)</f>
        <v>0</v>
      </c>
      <c r="P159" s="277">
        <f>IFERROR(IF($B159="N/A","N/A",IF(MOD(COLUMNS($H$151:P$151)-1,$E159)=0,$F159*$D159*$G159,)),)</f>
        <v>0</v>
      </c>
      <c r="Q159" s="277">
        <f>IFERROR(IF($B159="N/A","N/A",IF(MOD(COLUMNS($H$151:Q$151)-1,$E159)=0,$F159*$D159*$G159,)),)</f>
        <v>0</v>
      </c>
      <c r="R159" s="277">
        <f>IFERROR(IF($B159="N/A","N/A",IF(MOD(COLUMNS($H$151:R$151)-1,$E159)=0,$F159*$D159*$G159,)),)</f>
        <v>314.99999999999994</v>
      </c>
      <c r="S159" s="277">
        <f>IFERROR(IF($B159="N/A","N/A",IF(MOD(COLUMNS($H$151:S$151)-1,$E159)=0,$F159*$D159*$G159,)),)</f>
        <v>0</v>
      </c>
      <c r="T159" s="277">
        <f>IFERROR(IF($B159="N/A","N/A",IF(MOD(COLUMNS($H$151:T$151)-1,$E159)=0,$F159*$D159*$G159,)),)</f>
        <v>0</v>
      </c>
      <c r="U159" s="277">
        <f>IFERROR(IF($B159="N/A","N/A",IF(MOD(COLUMNS($H$151:U$151)-1,$E159)=0,$F159*$D159*$G159,)),)</f>
        <v>0</v>
      </c>
      <c r="V159" s="277">
        <f>IFERROR(IF($B159="N/A","N/A",IF(MOD(COLUMNS($H$151:V$151)-1,$E159)=0,$F159*$D159*$G159,)),)</f>
        <v>0</v>
      </c>
      <c r="W159" s="277">
        <f>IFERROR(IF($B159="N/A","N/A",IF(MOD(COLUMNS($H$151:W$151)-1,$E159)=0,$F159*$D159*$G159,)),)</f>
        <v>314.99999999999994</v>
      </c>
    </row>
    <row r="160" spans="2:23">
      <c r="B160" s="76" t="str">
        <f t="array" ref="B160">IF(COUNTIFS(INDEX(Equipment_Allocation_New,0,MATCH($C$107,Unit_codes,0)),"&gt;0")&lt;ROWS('2.2-Equipment input'!$X$8:$X16),"N/A",INDEX('2.2-Equipment input'!B:B,SMALL(IF(INDEX(Equipment_Allocation_New,0,MATCH($C$107,Unit_codes,0))&gt;0,ROW(equipment_ID)),ROW('2.2-Equipment input'!B9))))</f>
        <v>eq0035</v>
      </c>
      <c r="C160" s="76" t="str">
        <f>IF($B160="N/A","N/A",INDEX(Equipment_name[],MATCH(B160,equipment_ID,0)))</f>
        <v>Mixer (compost)</v>
      </c>
      <c r="D160" s="277">
        <f t="shared" si="19"/>
        <v>560</v>
      </c>
      <c r="E160" s="94">
        <f t="shared" si="20"/>
        <v>5</v>
      </c>
      <c r="F160" s="94">
        <f t="shared" si="21"/>
        <v>1</v>
      </c>
      <c r="G160" s="92">
        <f t="shared" si="22"/>
        <v>0.5</v>
      </c>
      <c r="H160" s="277">
        <f>IFERROR(IF($B160="N/A","N/A",IF(MOD(COLUMNS(H$151:$H$151)-1,$E160)=0,$F160*$D160*$G160,)),)</f>
        <v>280</v>
      </c>
      <c r="I160" s="277">
        <f>IFERROR(IF($B160="N/A","N/A",IF(MOD(COLUMNS($H$151:I$151)-1,$E160)=0,$F160*$D160*$G160,)),)</f>
        <v>0</v>
      </c>
      <c r="J160" s="277">
        <f>IFERROR(IF($B160="N/A","N/A",IF(MOD(COLUMNS($H$151:J$151)-1,$E160)=0,$F160*$D160*$G160,)),)</f>
        <v>0</v>
      </c>
      <c r="K160" s="277">
        <f>IFERROR(IF($B160="N/A","N/A",IF(MOD(COLUMNS($H$151:K$151)-1,$E160)=0,$F160*$D160*$G160,)),)</f>
        <v>0</v>
      </c>
      <c r="L160" s="277">
        <f>IFERROR(IF($B160="N/A","N/A",IF(MOD(COLUMNS($H$151:L$151)-1,$E160)=0,$F160*$D160*$G160,)),)</f>
        <v>0</v>
      </c>
      <c r="M160" s="277">
        <f>IFERROR(IF($B160="N/A","N/A",IF(MOD(COLUMNS($H$151:M$151)-1,$E160)=0,$F160*$D160*$G160,)),)</f>
        <v>280</v>
      </c>
      <c r="N160" s="277">
        <f>IFERROR(IF($B160="N/A","N/A",IF(MOD(COLUMNS($H$151:N$151)-1,$E160)=0,$F160*$D160*$G160,)),)</f>
        <v>0</v>
      </c>
      <c r="O160" s="277">
        <f>IFERROR(IF($B160="N/A","N/A",IF(MOD(COLUMNS($H$151:O$151)-1,$E160)=0,$F160*$D160*$G160,)),)</f>
        <v>0</v>
      </c>
      <c r="P160" s="277">
        <f>IFERROR(IF($B160="N/A","N/A",IF(MOD(COLUMNS($H$151:P$151)-1,$E160)=0,$F160*$D160*$G160,)),)</f>
        <v>0</v>
      </c>
      <c r="Q160" s="277">
        <f>IFERROR(IF($B160="N/A","N/A",IF(MOD(COLUMNS($H$151:Q$151)-1,$E160)=0,$F160*$D160*$G160,)),)</f>
        <v>0</v>
      </c>
      <c r="R160" s="277">
        <f>IFERROR(IF($B160="N/A","N/A",IF(MOD(COLUMNS($H$151:R$151)-1,$E160)=0,$F160*$D160*$G160,)),)</f>
        <v>280</v>
      </c>
      <c r="S160" s="277">
        <f>IFERROR(IF($B160="N/A","N/A",IF(MOD(COLUMNS($H$151:S$151)-1,$E160)=0,$F160*$D160*$G160,)),)</f>
        <v>0</v>
      </c>
      <c r="T160" s="277">
        <f>IFERROR(IF($B160="N/A","N/A",IF(MOD(COLUMNS($H$151:T$151)-1,$E160)=0,$F160*$D160*$G160,)),)</f>
        <v>0</v>
      </c>
      <c r="U160" s="277">
        <f>IFERROR(IF($B160="N/A","N/A",IF(MOD(COLUMNS($H$151:U$151)-1,$E160)=0,$F160*$D160*$G160,)),)</f>
        <v>0</v>
      </c>
      <c r="V160" s="277">
        <f>IFERROR(IF($B160="N/A","N/A",IF(MOD(COLUMNS($H$151:V$151)-1,$E160)=0,$F160*$D160*$G160,)),)</f>
        <v>0</v>
      </c>
      <c r="W160" s="277">
        <f>IFERROR(IF($B160="N/A","N/A",IF(MOD(COLUMNS($H$151:W$151)-1,$E160)=0,$F160*$D160*$G160,)),)</f>
        <v>280</v>
      </c>
    </row>
    <row r="161" spans="2:23">
      <c r="B161" s="76" t="str">
        <f t="array" ref="B161">IF(COUNTIFS(INDEX(Equipment_Allocation_New,0,MATCH($C$107,Unit_codes,0)),"&gt;0")&lt;ROWS('2.2-Equipment input'!$X$8:$X17),"N/A",INDEX('2.2-Equipment input'!B:B,SMALL(IF(INDEX(Equipment_Allocation_New,0,MATCH($C$107,Unit_codes,0))&gt;0,ROW(equipment_ID)),ROW('2.2-Equipment input'!B10))))</f>
        <v>eq0036</v>
      </c>
      <c r="C161" s="76" t="str">
        <f>IF($B161="N/A","N/A",INDEX(Equipment_name[],MATCH(B161,equipment_ID,0)))</f>
        <v>Blower</v>
      </c>
      <c r="D161" s="277">
        <f t="shared" si="19"/>
        <v>0</v>
      </c>
      <c r="E161" s="94">
        <f t="shared" si="20"/>
        <v>0</v>
      </c>
      <c r="F161" s="94">
        <f t="shared" si="21"/>
        <v>19.898611111111109</v>
      </c>
      <c r="G161" s="94">
        <f t="shared" si="22"/>
        <v>0.5</v>
      </c>
      <c r="H161" s="277">
        <f>IFERROR(IF($B161="N/A","N/A",IF(MOD(COLUMNS(H$151:$H$151)-1,$E161)=0,$F161*$D161*$G161,)),)</f>
        <v>0</v>
      </c>
      <c r="I161" s="277">
        <f>IFERROR(IF($B161="N/A","N/A",IF(MOD(COLUMNS($H$151:I$151)-1,$E161)=0,$F161*$D161*$G161,)),)</f>
        <v>0</v>
      </c>
      <c r="J161" s="277">
        <f>IFERROR(IF($B161="N/A","N/A",IF(MOD(COLUMNS($H$151:J$151)-1,$E161)=0,$F161*$D161*$G161,)),)</f>
        <v>0</v>
      </c>
      <c r="K161" s="277">
        <f>IFERROR(IF($B161="N/A","N/A",IF(MOD(COLUMNS($H$151:K$151)-1,$E161)=0,$F161*$D161*$G161,)),)</f>
        <v>0</v>
      </c>
      <c r="L161" s="277">
        <f>IFERROR(IF($B161="N/A","N/A",IF(MOD(COLUMNS($H$151:L$151)-1,$E161)=0,$F161*$D161*$G161,)),)</f>
        <v>0</v>
      </c>
      <c r="M161" s="277">
        <f>IFERROR(IF($B161="N/A","N/A",IF(MOD(COLUMNS($H$151:M$151)-1,$E161)=0,$F161*$D161*$G161,)),)</f>
        <v>0</v>
      </c>
      <c r="N161" s="277">
        <f>IFERROR(IF($B161="N/A","N/A",IF(MOD(COLUMNS($H$151:N$151)-1,$E161)=0,$F161*$D161*$G161,)),)</f>
        <v>0</v>
      </c>
      <c r="O161" s="277">
        <f>IFERROR(IF($B161="N/A","N/A",IF(MOD(COLUMNS($H$151:O$151)-1,$E161)=0,$F161*$D161*$G161,)),)</f>
        <v>0</v>
      </c>
      <c r="P161" s="277">
        <f>IFERROR(IF($B161="N/A","N/A",IF(MOD(COLUMNS($H$151:P$151)-1,$E161)=0,$F161*$D161*$G161,)),)</f>
        <v>0</v>
      </c>
      <c r="Q161" s="277">
        <f>IFERROR(IF($B161="N/A","N/A",IF(MOD(COLUMNS($H$151:Q$151)-1,$E161)=0,$F161*$D161*$G161,)),)</f>
        <v>0</v>
      </c>
      <c r="R161" s="277">
        <f>IFERROR(IF($B161="N/A","N/A",IF(MOD(COLUMNS($H$151:R$151)-1,$E161)=0,$F161*$D161*$G161,)),)</f>
        <v>0</v>
      </c>
      <c r="S161" s="277">
        <f>IFERROR(IF($B161="N/A","N/A",IF(MOD(COLUMNS($H$151:S$151)-1,$E161)=0,$F161*$D161*$G161,)),)</f>
        <v>0</v>
      </c>
      <c r="T161" s="277">
        <f>IFERROR(IF($B161="N/A","N/A",IF(MOD(COLUMNS($H$151:T$151)-1,$E161)=0,$F161*$D161*$G161,)),)</f>
        <v>0</v>
      </c>
      <c r="U161" s="277">
        <f>IFERROR(IF($B161="N/A","N/A",IF(MOD(COLUMNS($H$151:U$151)-1,$E161)=0,$F161*$D161*$G161,)),)</f>
        <v>0</v>
      </c>
      <c r="V161" s="277">
        <f>IFERROR(IF($B161="N/A","N/A",IF(MOD(COLUMNS($H$151:V$151)-1,$E161)=0,$F161*$D161*$G161,)),)</f>
        <v>0</v>
      </c>
      <c r="W161" s="277">
        <f>IFERROR(IF($B161="N/A","N/A",IF(MOD(COLUMNS($H$151:W$151)-1,$E161)=0,$F161*$D161*$G161,)),)</f>
        <v>0</v>
      </c>
    </row>
    <row r="162" spans="2:23">
      <c r="B162" s="76" t="str">
        <f t="array" ref="B162">IF(COUNTIFS(INDEX(Equipment_Allocation_New,0,MATCH($C$107,Unit_codes,0)),"&gt;0")&lt;ROWS('2.2-Equipment input'!$X$8:$X18),"N/A",INDEX('2.2-Equipment input'!B:B,SMALL(IF(INDEX(Equipment_Allocation_New,0,MATCH($C$107,Unit_codes,0))&gt;0,ROW(equipment_ID)),ROW('2.2-Equipment input'!B11))))</f>
        <v>N/A</v>
      </c>
      <c r="C162" s="76" t="str">
        <f>IF($B162="N/A","N/A",INDEX(Equipment_name[],MATCH(B162,equipment_ID,0)))</f>
        <v>N/A</v>
      </c>
      <c r="D162" s="277" t="str">
        <f t="shared" si="19"/>
        <v>N/A</v>
      </c>
      <c r="E162" s="94" t="str">
        <f t="shared" si="20"/>
        <v>N/A</v>
      </c>
      <c r="F162" s="94" t="str">
        <f t="shared" si="21"/>
        <v>N/A</v>
      </c>
      <c r="G162" s="94" t="str">
        <f t="shared" si="22"/>
        <v>N/A</v>
      </c>
      <c r="H162" s="277" t="str">
        <f>IFERROR(IF($B162="N/A","N/A",IF(MOD(COLUMNS(H$151:$H$151)-1,$E162)=0,$F162*$D162*$G162,)),)</f>
        <v>N/A</v>
      </c>
      <c r="I162" s="277" t="str">
        <f>IFERROR(IF($B162="N/A","N/A",IF(MOD(COLUMNS($H$151:I$151)-1,$E162)=0,$F162*$D162*$G162,)),)</f>
        <v>N/A</v>
      </c>
      <c r="J162" s="277" t="str">
        <f>IFERROR(IF($B162="N/A","N/A",IF(MOD(COLUMNS($H$151:J$151)-1,$E162)=0,$F162*$D162*$G162,)),)</f>
        <v>N/A</v>
      </c>
      <c r="K162" s="277" t="str">
        <f>IFERROR(IF($B162="N/A","N/A",IF(MOD(COLUMNS($H$151:K$151)-1,$E162)=0,$F162*$D162*$G162,)),)</f>
        <v>N/A</v>
      </c>
      <c r="L162" s="277" t="str">
        <f>IFERROR(IF($B162="N/A","N/A",IF(MOD(COLUMNS($H$151:L$151)-1,$E162)=0,$F162*$D162*$G162,)),)</f>
        <v>N/A</v>
      </c>
      <c r="M162" s="277" t="str">
        <f>IFERROR(IF($B162="N/A","N/A",IF(MOD(COLUMNS($H$151:M$151)-1,$E162)=0,$F162*$D162*$G162,)),)</f>
        <v>N/A</v>
      </c>
      <c r="N162" s="277" t="str">
        <f>IFERROR(IF($B162="N/A","N/A",IF(MOD(COLUMNS($H$151:N$151)-1,$E162)=0,$F162*$D162*$G162,)),)</f>
        <v>N/A</v>
      </c>
      <c r="O162" s="277" t="str">
        <f>IFERROR(IF($B162="N/A","N/A",IF(MOD(COLUMNS($H$151:O$151)-1,$E162)=0,$F162*$D162*$G162,)),)</f>
        <v>N/A</v>
      </c>
      <c r="P162" s="277" t="str">
        <f>IFERROR(IF($B162="N/A","N/A",IF(MOD(COLUMNS($H$151:P$151)-1,$E162)=0,$F162*$D162*$G162,)),)</f>
        <v>N/A</v>
      </c>
      <c r="Q162" s="277" t="str">
        <f>IFERROR(IF($B162="N/A","N/A",IF(MOD(COLUMNS($H$151:Q$151)-1,$E162)=0,$F162*$D162*$G162,)),)</f>
        <v>N/A</v>
      </c>
      <c r="R162" s="277" t="str">
        <f>IFERROR(IF($B162="N/A","N/A",IF(MOD(COLUMNS($H$151:R$151)-1,$E162)=0,$F162*$D162*$G162,)),)</f>
        <v>N/A</v>
      </c>
      <c r="S162" s="277" t="str">
        <f>IFERROR(IF($B162="N/A","N/A",IF(MOD(COLUMNS($H$151:S$151)-1,$E162)=0,$F162*$D162*$G162,)),)</f>
        <v>N/A</v>
      </c>
      <c r="T162" s="277" t="str">
        <f>IFERROR(IF($B162="N/A","N/A",IF(MOD(COLUMNS($H$151:T$151)-1,$E162)=0,$F162*$D162*$G162,)),)</f>
        <v>N/A</v>
      </c>
      <c r="U162" s="277" t="str">
        <f>IFERROR(IF($B162="N/A","N/A",IF(MOD(COLUMNS($H$151:U$151)-1,$E162)=0,$F162*$D162*$G162,)),)</f>
        <v>N/A</v>
      </c>
      <c r="V162" s="277" t="str">
        <f>IFERROR(IF($B162="N/A","N/A",IF(MOD(COLUMNS($H$151:V$151)-1,$E162)=0,$F162*$D162*$G162,)),)</f>
        <v>N/A</v>
      </c>
      <c r="W162" s="277" t="str">
        <f>IFERROR(IF($B162="N/A","N/A",IF(MOD(COLUMNS($H$151:W$151)-1,$E162)=0,$F162*$D162*$G162,)),)</f>
        <v>N/A</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19"/>
        <v>N/A</v>
      </c>
      <c r="E163" s="94" t="str">
        <f t="shared" si="20"/>
        <v>N/A</v>
      </c>
      <c r="F163" s="94" t="str">
        <f t="shared" si="21"/>
        <v>N/A</v>
      </c>
      <c r="G163" s="94" t="str">
        <f t="shared" si="22"/>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19"/>
        <v>N/A</v>
      </c>
      <c r="E164" s="94" t="str">
        <f t="shared" si="20"/>
        <v>N/A</v>
      </c>
      <c r="F164" s="94" t="str">
        <f t="shared" si="21"/>
        <v>N/A</v>
      </c>
      <c r="G164" s="94" t="str">
        <f t="shared" si="22"/>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19"/>
        <v>N/A</v>
      </c>
      <c r="E165" s="94" t="str">
        <f t="shared" si="20"/>
        <v>N/A</v>
      </c>
      <c r="F165" s="94" t="str">
        <f t="shared" si="21"/>
        <v>N/A</v>
      </c>
      <c r="G165" s="94" t="str">
        <f t="shared" si="22"/>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19"/>
        <v>N/A</v>
      </c>
      <c r="E166" s="94" t="str">
        <f t="shared" si="20"/>
        <v>N/A</v>
      </c>
      <c r="F166" s="94" t="str">
        <f t="shared" si="21"/>
        <v>N/A</v>
      </c>
      <c r="G166" s="94" t="str">
        <f t="shared" si="22"/>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19"/>
        <v>N/A</v>
      </c>
      <c r="E167" s="94" t="str">
        <f t="shared" si="20"/>
        <v>N/A</v>
      </c>
      <c r="F167" s="94" t="str">
        <f t="shared" si="21"/>
        <v>N/A</v>
      </c>
      <c r="G167" s="94" t="str">
        <f t="shared" si="22"/>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19"/>
        <v>N/A</v>
      </c>
      <c r="E168" s="94" t="str">
        <f t="shared" si="20"/>
        <v>N/A</v>
      </c>
      <c r="F168" s="94" t="str">
        <f t="shared" si="21"/>
        <v>N/A</v>
      </c>
      <c r="G168" s="94" t="str">
        <f t="shared" si="22"/>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19"/>
        <v>N/A</v>
      </c>
      <c r="E169" s="94" t="str">
        <f t="shared" si="20"/>
        <v>N/A</v>
      </c>
      <c r="F169" s="94" t="str">
        <f t="shared" si="21"/>
        <v>N/A</v>
      </c>
      <c r="G169" s="94" t="str">
        <f t="shared" si="22"/>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19"/>
        <v>N/A</v>
      </c>
      <c r="E170" s="94" t="str">
        <f t="shared" si="20"/>
        <v>N/A</v>
      </c>
      <c r="F170" s="94" t="str">
        <f t="shared" si="21"/>
        <v>N/A</v>
      </c>
      <c r="G170" s="94" t="str">
        <f t="shared" si="22"/>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19"/>
        <v>N/A</v>
      </c>
      <c r="E171" s="94" t="str">
        <f t="shared" si="20"/>
        <v>N/A</v>
      </c>
      <c r="F171" s="94" t="str">
        <f t="shared" si="21"/>
        <v>N/A</v>
      </c>
      <c r="G171" s="94" t="str">
        <f t="shared" si="22"/>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94" t="str">
        <f t="shared" si="21"/>
        <v>N/A</v>
      </c>
      <c r="G172" s="94"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94" t="str">
        <f t="shared" si="21"/>
        <v>N/A</v>
      </c>
      <c r="G173" s="94"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94" t="str">
        <f t="shared" si="21"/>
        <v>N/A</v>
      </c>
      <c r="G174" s="94"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94" t="str">
        <f t="shared" si="21"/>
        <v>N/A</v>
      </c>
      <c r="G175" s="94"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94" t="str">
        <f t="shared" si="21"/>
        <v>N/A</v>
      </c>
      <c r="G176" s="94"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94" t="str">
        <f t="shared" si="21"/>
        <v>N/A</v>
      </c>
      <c r="G177" s="94"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94" t="str">
        <f t="shared" si="21"/>
        <v>N/A</v>
      </c>
      <c r="G178" s="94"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94" t="str">
        <f t="shared" si="21"/>
        <v>N/A</v>
      </c>
      <c r="G179" s="94"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94" t="str">
        <f t="shared" si="21"/>
        <v>N/A</v>
      </c>
      <c r="G180" s="94"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94" t="str">
        <f t="shared" si="21"/>
        <v>N/A</v>
      </c>
      <c r="G181" s="94"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94" t="str">
        <f t="shared" si="21"/>
        <v>N/A</v>
      </c>
      <c r="G182" s="94"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94" t="str">
        <f t="shared" si="21"/>
        <v>N/A</v>
      </c>
      <c r="G183" s="94"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94" t="str">
        <f t="shared" si="21"/>
        <v>N/A</v>
      </c>
      <c r="G184" s="94"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94" t="str">
        <f t="shared" si="21"/>
        <v>N/A</v>
      </c>
      <c r="G185" s="94"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94" t="str">
        <f t="shared" si="21"/>
        <v>N/A</v>
      </c>
      <c r="G186" s="94"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94" t="str">
        <f t="shared" si="21"/>
        <v>N/A</v>
      </c>
      <c r="G187" s="94"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94" t="str">
        <f t="shared" si="21"/>
        <v>N/A</v>
      </c>
      <c r="G188" s="94"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94" t="str">
        <f t="shared" si="21"/>
        <v>N/A</v>
      </c>
      <c r="G189" s="94"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PGdOYdkAnkIDJu+gZ6UkfdnSGqC8ko0bqeuC5QJMOIRdNwZKQHZbWT2/v1efjuQlrBja6x7jpVx05goTUOEnRA==" saltValue="Shkjntb9Xp/nymY0WaROhw==" spinCount="100000" sheet="1" objects="1" scenarios="1"/>
  <mergeCells count="7">
    <mergeCell ref="C80:D80"/>
    <mergeCell ref="B43:D43"/>
    <mergeCell ref="B2:F2"/>
    <mergeCell ref="B33:D33"/>
    <mergeCell ref="C48:D48"/>
    <mergeCell ref="C49:D49"/>
    <mergeCell ref="C79:D79"/>
  </mergeCells>
  <conditionalFormatting sqref="B110:C147">
    <cfRule type="containsText" dxfId="382" priority="101" operator="containsText" text="N/A">
      <formula>NOT(ISERROR(SEARCH("N/A",B110)))</formula>
    </cfRule>
  </conditionalFormatting>
  <conditionalFormatting sqref="E110:E147">
    <cfRule type="containsText" dxfId="381" priority="100" operator="containsText" text="N/A">
      <formula>NOT(ISERROR(SEARCH("N/A",E110)))</formula>
    </cfRule>
  </conditionalFormatting>
  <conditionalFormatting sqref="B52:B74 E52:E74">
    <cfRule type="containsText" dxfId="380" priority="99" operator="containsText" text="N/A">
      <formula>NOT(ISERROR(SEARCH("N/A",B52)))</formula>
    </cfRule>
  </conditionalFormatting>
  <conditionalFormatting sqref="C52:C74">
    <cfRule type="containsText" dxfId="379" priority="98" operator="containsText" text="N/A">
      <formula>NOT(ISERROR(SEARCH("N/A",C52)))</formula>
    </cfRule>
  </conditionalFormatting>
  <conditionalFormatting sqref="F52:F74">
    <cfRule type="containsText" dxfId="378" priority="96" operator="containsText" text="N/A">
      <formula>NOT(ISERROR(SEARCH("N/A",F52)))</formula>
    </cfRule>
  </conditionalFormatting>
  <conditionalFormatting sqref="B83:B103 E83:E103">
    <cfRule type="containsText" dxfId="377" priority="95" operator="containsText" text="N/A">
      <formula>NOT(ISERROR(SEARCH("N/A",B83)))</formula>
    </cfRule>
  </conditionalFormatting>
  <conditionalFormatting sqref="C83:C103">
    <cfRule type="containsText" dxfId="376" priority="94" operator="containsText" text="N/A">
      <formula>NOT(ISERROR(SEARCH("N/A",C83)))</formula>
    </cfRule>
  </conditionalFormatting>
  <conditionalFormatting sqref="E20:E31">
    <cfRule type="containsText" dxfId="375" priority="73" operator="containsText" text="N/A">
      <formula>NOT(ISERROR(SEARCH("N/A",E20)))</formula>
    </cfRule>
  </conditionalFormatting>
  <conditionalFormatting sqref="F83:F103">
    <cfRule type="containsText" dxfId="374" priority="92" operator="containsText" text="N/A">
      <formula>NOT(ISERROR(SEARCH("N/A",F83)))</formula>
    </cfRule>
  </conditionalFormatting>
  <conditionalFormatting sqref="B20:D31">
    <cfRule type="containsText" dxfId="373" priority="91" operator="containsText" text="N/A">
      <formula>NOT(ISERROR(SEARCH("N/A",B20)))</formula>
    </cfRule>
  </conditionalFormatting>
  <conditionalFormatting sqref="G110:G147">
    <cfRule type="containsText" dxfId="372" priority="90" operator="containsText" text="N/A">
      <formula>NOT(ISERROR(SEARCH("N/A",G110)))</formula>
    </cfRule>
  </conditionalFormatting>
  <conditionalFormatting sqref="I110:I147">
    <cfRule type="containsText" dxfId="371" priority="89" operator="containsText" text="N/A">
      <formula>NOT(ISERROR(SEARCH("N/A",I110)))</formula>
    </cfRule>
  </conditionalFormatting>
  <conditionalFormatting sqref="K110:K147">
    <cfRule type="containsText" dxfId="370" priority="88" operator="containsText" text="N/A">
      <formula>NOT(ISERROR(SEARCH("N/A",K110)))</formula>
    </cfRule>
  </conditionalFormatting>
  <conditionalFormatting sqref="F110:F147">
    <cfRule type="containsText" dxfId="369" priority="87" operator="containsText" text="N/A">
      <formula>NOT(ISERROR(SEARCH("N/A",F110)))</formula>
    </cfRule>
  </conditionalFormatting>
  <conditionalFormatting sqref="B152:B189">
    <cfRule type="containsText" dxfId="368" priority="85" operator="containsText" text="N/A">
      <formula>NOT(ISERROR(SEARCH("N/A",B152)))</formula>
    </cfRule>
  </conditionalFormatting>
  <conditionalFormatting sqref="C152:C189">
    <cfRule type="containsText" dxfId="367" priority="84" operator="containsText" text="N/A">
      <formula>NOT(ISERROR(SEARCH("N/A",C152)))</formula>
    </cfRule>
  </conditionalFormatting>
  <conditionalFormatting sqref="F152:F189">
    <cfRule type="containsText" dxfId="366" priority="83" operator="containsText" text="N/A">
      <formula>NOT(ISERROR(SEARCH("N/A",F152)))</formula>
    </cfRule>
  </conditionalFormatting>
  <conditionalFormatting sqref="E152:E189">
    <cfRule type="containsText" dxfId="365" priority="81" operator="containsText" text="N/A">
      <formula>NOT(ISERROR(SEARCH("N/A",E152)))</formula>
    </cfRule>
  </conditionalFormatting>
  <conditionalFormatting sqref="O110:O147">
    <cfRule type="containsText" dxfId="364" priority="72" operator="containsText" text="N/A">
      <formula>NOT(ISERROR(SEARCH("N/A",O110)))</formula>
    </cfRule>
  </conditionalFormatting>
  <conditionalFormatting sqref="H153:W189 I152:W152">
    <cfRule type="containsText" dxfId="363" priority="78" operator="containsText" text="N/A">
      <formula>NOT(ISERROR(SEARCH("N/A",H152)))</formula>
    </cfRule>
  </conditionalFormatting>
  <conditionalFormatting sqref="G152:G189">
    <cfRule type="containsText" dxfId="362" priority="75" operator="containsText" text="N/A">
      <formula>NOT(ISERROR(SEARCH("N/A",G152)))</formula>
    </cfRule>
  </conditionalFormatting>
  <conditionalFormatting sqref="F39:F41">
    <cfRule type="expression" dxfId="361" priority="66">
      <formula>IF(INDIRECT("General_Currency_Selection")="CHF",TRUE)</formula>
    </cfRule>
    <cfRule type="expression" dxfId="360" priority="67">
      <formula>IF(INDIRECT("General_Currency_Selection")="EUR",TRUE)</formula>
    </cfRule>
    <cfRule type="expression" dxfId="359" priority="68">
      <formula>IF(INDIRECT("General_Currency_Selection")="USD",TRUE)</formula>
    </cfRule>
  </conditionalFormatting>
  <conditionalFormatting sqref="E39:E41">
    <cfRule type="expression" dxfId="358" priority="63">
      <formula>IF(INDIRECT("General_Currency_Selection")="CHF",TRUE)</formula>
    </cfRule>
    <cfRule type="expression" dxfId="357" priority="64">
      <formula>IF(INDIRECT("General_Currency_Selection")="EUR",TRUE)</formula>
    </cfRule>
    <cfRule type="expression" dxfId="356" priority="65">
      <formula>IF(INDIRECT("General_Currency_Selection")="USD",TRUE)</formula>
    </cfRule>
  </conditionalFormatting>
  <conditionalFormatting sqref="E43:F43">
    <cfRule type="expression" dxfId="355" priority="60">
      <formula>IF(INDIRECT("General_Currency_Selection")="CHF",TRUE)</formula>
    </cfRule>
    <cfRule type="expression" dxfId="354" priority="61">
      <formula>IF(INDIRECT("General_Currency_Selection")="EUR",TRUE)</formula>
    </cfRule>
    <cfRule type="expression" dxfId="353" priority="62">
      <formula>IF(INDIRECT("General_Currency_Selection")="USD",TRUE)</formula>
    </cfRule>
  </conditionalFormatting>
  <conditionalFormatting sqref="G35">
    <cfRule type="expression" dxfId="352" priority="57">
      <formula>IF(INDIRECT("General_Currency_Selection")="CHF",TRUE)</formula>
    </cfRule>
    <cfRule type="expression" dxfId="351" priority="58">
      <formula>IF(INDIRECT("General_Currency_Selection")="EUR",TRUE)</formula>
    </cfRule>
    <cfRule type="expression" dxfId="350" priority="59">
      <formula>IF(INDIRECT("General_Currency_Selection")="USD",TRUE)</formula>
    </cfRule>
  </conditionalFormatting>
  <conditionalFormatting sqref="G15">
    <cfRule type="expression" dxfId="349" priority="54">
      <formula>IF(INDIRECT("General_Currency_Selection")="CHF",TRUE)</formula>
    </cfRule>
    <cfRule type="expression" dxfId="348" priority="55">
      <formula>IF(INDIRECT("General_Currency_Selection")="EUR",TRUE)</formula>
    </cfRule>
    <cfRule type="expression" dxfId="347" priority="56">
      <formula>IF(INDIRECT("General_Currency_Selection")="USD",TRUE)</formula>
    </cfRule>
  </conditionalFormatting>
  <conditionalFormatting sqref="G45">
    <cfRule type="expression" dxfId="346" priority="51">
      <formula>IF(INDIRECT("General_Currency_Selection")="CHF",TRUE)</formula>
    </cfRule>
    <cfRule type="expression" dxfId="345" priority="52">
      <formula>IF(INDIRECT("General_Currency_Selection")="EUR",TRUE)</formula>
    </cfRule>
    <cfRule type="expression" dxfId="344" priority="53">
      <formula>IF(INDIRECT("General_Currency_Selection")="USD",TRUE)</formula>
    </cfRule>
  </conditionalFormatting>
  <conditionalFormatting sqref="F20:F31">
    <cfRule type="expression" dxfId="343" priority="48">
      <formula>IF(INDIRECT("General_Currency_Selection")="CHF",TRUE)</formula>
    </cfRule>
    <cfRule type="expression" dxfId="342" priority="49">
      <formula>IF(INDIRECT("General_Currency_Selection")="EUR",TRUE)</formula>
    </cfRule>
    <cfRule type="expression" dxfId="341" priority="50">
      <formula>IF(INDIRECT("General_Currency_Selection")="USD",TRUE)</formula>
    </cfRule>
  </conditionalFormatting>
  <conditionalFormatting sqref="E33">
    <cfRule type="expression" dxfId="340" priority="45">
      <formula>IF(INDIRECT("General_Currency_Selection")="CHF",TRUE)</formula>
    </cfRule>
    <cfRule type="expression" dxfId="339" priority="46">
      <formula>IF(INDIRECT("General_Currency_Selection")="EUR",TRUE)</formula>
    </cfRule>
    <cfRule type="expression" dxfId="338" priority="47">
      <formula>IF(INDIRECT("General_Currency_Selection")="USD",TRUE)</formula>
    </cfRule>
  </conditionalFormatting>
  <conditionalFormatting sqref="D52:D74">
    <cfRule type="expression" dxfId="337" priority="42">
      <formula>IF(INDIRECT("General_Currency_Selection")="CHF",TRUE)</formula>
    </cfRule>
    <cfRule type="expression" dxfId="336" priority="43">
      <formula>IF(INDIRECT("General_Currency_Selection")="EUR",TRUE)</formula>
    </cfRule>
    <cfRule type="expression" dxfId="335" priority="44">
      <formula>IF(INDIRECT("General_Currency_Selection")="USD",TRUE)</formula>
    </cfRule>
  </conditionalFormatting>
  <conditionalFormatting sqref="G52:G74">
    <cfRule type="expression" dxfId="334" priority="39">
      <formula>IF(INDIRECT("General_Currency_Selection")="CHF",TRUE)</formula>
    </cfRule>
    <cfRule type="expression" dxfId="333" priority="40">
      <formula>IF(INDIRECT("General_Currency_Selection")="EUR",TRUE)</formula>
    </cfRule>
    <cfRule type="expression" dxfId="332" priority="41">
      <formula>IF(INDIRECT("General_Currency_Selection")="USD",TRUE)</formula>
    </cfRule>
  </conditionalFormatting>
  <conditionalFormatting sqref="G76">
    <cfRule type="expression" dxfId="331" priority="36">
      <formula>IF(INDIRECT("General_Currency_Selection")="CHF",TRUE)</formula>
    </cfRule>
    <cfRule type="expression" dxfId="330" priority="37">
      <formula>IF(INDIRECT("General_Currency_Selection")="EUR",TRUE)</formula>
    </cfRule>
    <cfRule type="expression" dxfId="329" priority="38">
      <formula>IF(INDIRECT("General_Currency_Selection")="USD",TRUE)</formula>
    </cfRule>
  </conditionalFormatting>
  <conditionalFormatting sqref="D83:D103">
    <cfRule type="expression" dxfId="328" priority="33">
      <formula>IF(INDIRECT("General_Currency_Selection")="CHF",TRUE)</formula>
    </cfRule>
    <cfRule type="expression" dxfId="327" priority="34">
      <formula>IF(INDIRECT("General_Currency_Selection")="EUR",TRUE)</formula>
    </cfRule>
    <cfRule type="expression" dxfId="326" priority="35">
      <formula>IF(INDIRECT("General_Currency_Selection")="USD",TRUE)</formula>
    </cfRule>
  </conditionalFormatting>
  <conditionalFormatting sqref="G83:G103">
    <cfRule type="expression" dxfId="325" priority="30">
      <formula>IF(INDIRECT("General_Currency_Selection")="CHF",TRUE)</formula>
    </cfRule>
    <cfRule type="expression" dxfId="324" priority="31">
      <formula>IF(INDIRECT("General_Currency_Selection")="EUR",TRUE)</formula>
    </cfRule>
    <cfRule type="expression" dxfId="323" priority="32">
      <formula>IF(INDIRECT("General_Currency_Selection")="USD",TRUE)</formula>
    </cfRule>
  </conditionalFormatting>
  <conditionalFormatting sqref="G105">
    <cfRule type="expression" dxfId="322" priority="27">
      <formula>IF(INDIRECT("General_Currency_Selection")="CHF",TRUE)</formula>
    </cfRule>
    <cfRule type="expression" dxfId="321" priority="28">
      <formula>IF(INDIRECT("General_Currency_Selection")="EUR",TRUE)</formula>
    </cfRule>
    <cfRule type="expression" dxfId="320" priority="29">
      <formula>IF(INDIRECT("General_Currency_Selection")="USD",TRUE)</formula>
    </cfRule>
  </conditionalFormatting>
  <conditionalFormatting sqref="D110:D147">
    <cfRule type="expression" dxfId="319" priority="24">
      <formula>IF(INDIRECT("General_Currency_Selection")="CHF",TRUE)</formula>
    </cfRule>
    <cfRule type="expression" dxfId="318" priority="25">
      <formula>IF(INDIRECT("General_Currency_Selection")="EUR",TRUE)</formula>
    </cfRule>
    <cfRule type="expression" dxfId="317" priority="26">
      <formula>IF(INDIRECT("General_Currency_Selection")="USD",TRUE)</formula>
    </cfRule>
  </conditionalFormatting>
  <conditionalFormatting sqref="N110:N147">
    <cfRule type="expression" dxfId="316" priority="21">
      <formula>IF(INDIRECT("General_Currency_Selection")="CHF",TRUE)</formula>
    </cfRule>
    <cfRule type="expression" dxfId="315" priority="22">
      <formula>IF(INDIRECT("General_Currency_Selection")="EUR",TRUE)</formula>
    </cfRule>
    <cfRule type="expression" dxfId="314" priority="23">
      <formula>IF(INDIRECT("General_Currency_Selection")="USD",TRUE)</formula>
    </cfRule>
  </conditionalFormatting>
  <conditionalFormatting sqref="D152:D189">
    <cfRule type="expression" dxfId="313" priority="18">
      <formula>IF(INDIRECT("General_Currency_Selection")="CHF",TRUE)</formula>
    </cfRule>
    <cfRule type="expression" dxfId="312" priority="19">
      <formula>IF(INDIRECT("General_Currency_Selection")="EUR",TRUE)</formula>
    </cfRule>
    <cfRule type="expression" dxfId="311" priority="20">
      <formula>IF(INDIRECT("General_Currency_Selection")="USD",TRUE)</formula>
    </cfRule>
  </conditionalFormatting>
  <conditionalFormatting sqref="H149:W149">
    <cfRule type="expression" dxfId="310" priority="15">
      <formula>IF(INDIRECT("General_Currency_Selection")="CHF",TRUE)</formula>
    </cfRule>
    <cfRule type="expression" dxfId="309" priority="16">
      <formula>IF(INDIRECT("General_Currency_Selection")="EUR",TRUE)</formula>
    </cfRule>
    <cfRule type="expression" dxfId="308" priority="17">
      <formula>IF(INDIRECT("General_Currency_Selection")="USD",TRUE)</formula>
    </cfRule>
  </conditionalFormatting>
  <conditionalFormatting sqref="H152:W189">
    <cfRule type="expression" dxfId="307" priority="12">
      <formula>IF(INDIRECT("General_Currency_Selection")="CHF",TRUE)</formula>
    </cfRule>
    <cfRule type="expression" dxfId="306" priority="13">
      <formula>IF(INDIRECT("General_Currency_Selection")="EUR",TRUE)</formula>
    </cfRule>
    <cfRule type="expression" dxfId="305" priority="14">
      <formula>IF(INDIRECT("General_Currency_Selection")="USD",TRUE)</formula>
    </cfRule>
  </conditionalFormatting>
  <conditionalFormatting sqref="H110:H147">
    <cfRule type="expression" dxfId="304" priority="7">
      <formula>IF(INDIRECT("General_Currency_Selection")="CHF",TRUE)</formula>
    </cfRule>
    <cfRule type="expression" dxfId="303" priority="8">
      <formula>IF(INDIRECT("General_Currency_Selection")="EUR",TRUE)</formula>
    </cfRule>
    <cfRule type="expression" dxfId="302" priority="9">
      <formula>IF(INDIRECT("General_Currency_Selection")="USD",TRUE)</formula>
    </cfRule>
  </conditionalFormatting>
  <conditionalFormatting sqref="J110:J147">
    <cfRule type="expression" dxfId="301" priority="4">
      <formula>IF(INDIRECT("General_Currency_Selection")="CHF",TRUE)</formula>
    </cfRule>
    <cfRule type="expression" dxfId="300" priority="5">
      <formula>IF(INDIRECT("General_Currency_Selection")="EUR",TRUE)</formula>
    </cfRule>
    <cfRule type="expression" dxfId="299" priority="6">
      <formula>IF(INDIRECT("General_Currency_Selection")="USD",TRUE)</formula>
    </cfRule>
  </conditionalFormatting>
  <conditionalFormatting sqref="L110:L147">
    <cfRule type="expression" dxfId="298" priority="1">
      <formula>IF(INDIRECT("General_Currency_Selection")="CHF",TRUE)</formula>
    </cfRule>
    <cfRule type="expression" dxfId="297" priority="2">
      <formula>IF(INDIRECT("General_Currency_Selection")="EUR",TRUE)</formula>
    </cfRule>
    <cfRule type="expression" dxfId="296" priority="3">
      <formula>IF(INDIRECT("General_Currency_Selection")="USD",TRUE)</formula>
    </cfRule>
  </conditionalFormatting>
  <dataValidations disablePrompts="1" count="2">
    <dataValidation type="list" allowBlank="1" showInputMessage="1" showErrorMessage="1" sqref="C48 C79">
      <formula1>Staff_categories</formula1>
    </dataValidation>
    <dataValidation type="list" allowBlank="1" showInputMessage="1" showErrorMessage="1" sqref="C49 C80 C107 C17 C37">
      <formula1>Unit_codes</formula1>
    </dataValidation>
  </dataValidation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B1:W189"/>
  <sheetViews>
    <sheetView zoomScale="70" zoomScaleNormal="70" workbookViewId="0">
      <selection activeCell="H8" sqref="H8"/>
    </sheetView>
  </sheetViews>
  <sheetFormatPr defaultColWidth="11.140625" defaultRowHeight="15"/>
  <cols>
    <col min="1" max="1" width="0.85546875" style="12" customWidth="1"/>
    <col min="2" max="2" width="13.85546875" style="12" customWidth="1"/>
    <col min="3" max="4" width="18.42578125" style="12" customWidth="1"/>
    <col min="5" max="5" width="17.85546875" style="12" customWidth="1"/>
    <col min="6" max="6" width="27.85546875" style="12" customWidth="1"/>
    <col min="7" max="23" width="16.5703125" style="12" customWidth="1"/>
    <col min="24" max="16384" width="11.140625" style="12"/>
  </cols>
  <sheetData>
    <row r="1" spans="2:16" ht="21">
      <c r="B1" s="1" t="s">
        <v>277</v>
      </c>
      <c r="C1" s="6"/>
      <c r="D1" s="6"/>
      <c r="E1" s="6"/>
      <c r="F1" s="6"/>
      <c r="G1" s="6"/>
    </row>
    <row r="2" spans="2:16" ht="15.75" thickBot="1">
      <c r="B2" s="914"/>
      <c r="C2" s="915"/>
      <c r="D2" s="915"/>
      <c r="E2" s="915"/>
      <c r="F2" s="916"/>
    </row>
    <row r="3" spans="2:16" ht="18.75">
      <c r="B3" s="2" t="s">
        <v>0</v>
      </c>
      <c r="C3" s="110"/>
      <c r="D3" s="61"/>
      <c r="E3" s="61"/>
      <c r="F3" s="61"/>
      <c r="G3" s="61"/>
      <c r="H3" s="61"/>
      <c r="I3" s="61"/>
      <c r="J3" s="61"/>
      <c r="K3" s="61"/>
      <c r="L3" s="61"/>
      <c r="M3" s="61"/>
      <c r="N3" s="61"/>
      <c r="O3" s="61"/>
      <c r="P3" s="61"/>
    </row>
    <row r="4" spans="2:16" ht="15.75">
      <c r="B4" s="67" t="s">
        <v>1</v>
      </c>
    </row>
    <row r="5" spans="2:16" ht="15.75">
      <c r="B5" s="67"/>
    </row>
    <row r="6" spans="2:16" ht="15.75">
      <c r="B6" s="67"/>
    </row>
    <row r="7" spans="2:16" ht="15.75">
      <c r="B7" s="67"/>
    </row>
    <row r="8" spans="2:16" ht="15.75">
      <c r="B8" s="67"/>
    </row>
    <row r="12" spans="2:16" ht="15.75">
      <c r="B12" s="105" t="s">
        <v>70</v>
      </c>
      <c r="C12" s="105" t="s">
        <v>71</v>
      </c>
      <c r="E12" s="67" t="s">
        <v>74</v>
      </c>
    </row>
    <row r="13" spans="2:16">
      <c r="B13" s="119" t="s">
        <v>278</v>
      </c>
      <c r="C13" s="120">
        <f>'4.1-Settings Database'!M22</f>
        <v>291.65168310395092</v>
      </c>
      <c r="E13" s="63" t="s">
        <v>148</v>
      </c>
      <c r="F13" s="63"/>
      <c r="G13" s="63"/>
      <c r="H13" s="63"/>
      <c r="I13" s="63"/>
      <c r="J13" s="63"/>
      <c r="K13" s="63"/>
      <c r="L13" s="63"/>
      <c r="M13" s="63"/>
      <c r="N13" s="63"/>
      <c r="O13" s="63"/>
    </row>
    <row r="14" spans="2:16" ht="15.75" thickBot="1"/>
    <row r="15" spans="2:16" ht="18.75">
      <c r="B15" s="2" t="s">
        <v>73</v>
      </c>
      <c r="C15" s="110"/>
      <c r="D15" s="61"/>
      <c r="E15" s="61"/>
      <c r="F15" s="108" t="s">
        <v>128</v>
      </c>
      <c r="G15" s="288">
        <f>E33*C13*1000</f>
        <v>0</v>
      </c>
      <c r="H15" s="61"/>
      <c r="I15" s="61"/>
      <c r="J15" s="61"/>
      <c r="K15" s="61"/>
      <c r="L15" s="61"/>
      <c r="M15" s="61"/>
      <c r="N15" s="61"/>
      <c r="O15" s="61"/>
      <c r="P15" s="61"/>
    </row>
    <row r="16" spans="2:16" ht="15.75">
      <c r="B16" s="67" t="s">
        <v>441</v>
      </c>
    </row>
    <row r="17" spans="2:14">
      <c r="B17" s="105" t="s">
        <v>78</v>
      </c>
      <c r="C17" s="86" t="s">
        <v>534</v>
      </c>
      <c r="I17" s="24"/>
      <c r="J17" s="247"/>
      <c r="K17" s="31"/>
      <c r="L17" s="31"/>
      <c r="M17" s="247"/>
      <c r="N17" s="24"/>
    </row>
    <row r="18" spans="2:14">
      <c r="H18" s="24"/>
      <c r="I18" s="24"/>
      <c r="J18" s="31"/>
      <c r="K18" s="248"/>
      <c r="L18" s="96"/>
      <c r="M18" s="80"/>
      <c r="N18" s="24"/>
    </row>
    <row r="19" spans="2:14">
      <c r="B19" s="115" t="s">
        <v>416</v>
      </c>
      <c r="C19" s="115" t="s">
        <v>417</v>
      </c>
      <c r="D19" s="105" t="s">
        <v>917</v>
      </c>
      <c r="E19" s="105" t="s">
        <v>109</v>
      </c>
      <c r="F19" s="105" t="s">
        <v>649</v>
      </c>
      <c r="H19" s="249"/>
      <c r="I19" s="24"/>
      <c r="J19" s="114"/>
      <c r="K19" s="114"/>
      <c r="L19" s="96"/>
      <c r="M19" s="80"/>
      <c r="N19" s="24"/>
    </row>
    <row r="20" spans="2:14">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93" t="str">
        <f t="shared" ref="E20:E31" si="2">IF($B20="N/A","N/A",INDEX(Material_Unit_Price,MATCH($B20,Material_Code,0)))</f>
        <v>N/A</v>
      </c>
      <c r="F20" s="277" t="str">
        <f>IFERROR(E20*D20,"")</f>
        <v/>
      </c>
      <c r="H20" s="249"/>
      <c r="I20" s="24"/>
      <c r="J20" s="114"/>
      <c r="K20" s="114"/>
      <c r="L20" s="96"/>
      <c r="M20" s="80"/>
      <c r="N20" s="24"/>
    </row>
    <row r="21" spans="2:14">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93" t="str">
        <f t="shared" si="2"/>
        <v>N/A</v>
      </c>
      <c r="F21" s="277" t="str">
        <f t="shared" ref="F21:F31" si="3">IFERROR(E21*D21,"")</f>
        <v/>
      </c>
      <c r="H21" s="249"/>
      <c r="I21" s="24"/>
      <c r="J21" s="114"/>
      <c r="K21" s="114"/>
      <c r="L21" s="96"/>
      <c r="M21" s="80"/>
      <c r="N21" s="24"/>
    </row>
    <row r="22" spans="2:14">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93" t="str">
        <f t="shared" si="2"/>
        <v>N/A</v>
      </c>
      <c r="F22" s="277" t="str">
        <f t="shared" si="3"/>
        <v/>
      </c>
      <c r="H22" s="249"/>
      <c r="I22" s="24"/>
      <c r="J22" s="114"/>
      <c r="K22" s="114"/>
      <c r="L22" s="96"/>
      <c r="M22" s="80"/>
      <c r="N22" s="24"/>
    </row>
    <row r="23" spans="2:14">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c r="H23" s="249"/>
      <c r="I23" s="24"/>
      <c r="J23" s="114"/>
      <c r="K23" s="114"/>
      <c r="L23" s="96"/>
      <c r="M23" s="80"/>
      <c r="N23" s="24"/>
    </row>
    <row r="24" spans="2:14">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c r="H24" s="249"/>
      <c r="I24" s="24"/>
      <c r="J24" s="114"/>
      <c r="K24" s="114"/>
      <c r="L24" s="96"/>
      <c r="M24" s="80"/>
      <c r="N24" s="24"/>
    </row>
    <row r="25" spans="2:14">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c r="H25" s="249"/>
      <c r="I25" s="24"/>
      <c r="J25" s="114"/>
      <c r="K25" s="114"/>
      <c r="L25" s="96"/>
      <c r="M25" s="80"/>
      <c r="N25" s="24"/>
    </row>
    <row r="26" spans="2:14">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c r="H26" s="249"/>
      <c r="I26" s="24"/>
      <c r="J26" s="114"/>
      <c r="K26" s="114"/>
      <c r="L26" s="96"/>
      <c r="M26" s="80"/>
      <c r="N26" s="24"/>
    </row>
    <row r="27" spans="2:14">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c r="G27" s="113"/>
      <c r="H27" s="24"/>
      <c r="I27" s="24"/>
      <c r="J27" s="114"/>
      <c r="K27" s="114"/>
      <c r="L27" s="96"/>
      <c r="M27" s="80"/>
      <c r="N27" s="24"/>
    </row>
    <row r="28" spans="2:14">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c r="G28" s="113"/>
      <c r="H28" s="24"/>
      <c r="I28" s="24"/>
      <c r="J28" s="114"/>
      <c r="K28" s="114"/>
      <c r="L28" s="96"/>
      <c r="M28" s="80"/>
      <c r="N28" s="24"/>
    </row>
    <row r="29" spans="2:14">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c r="G29" s="113"/>
      <c r="I29" s="24"/>
      <c r="J29" s="114"/>
      <c r="K29" s="114"/>
      <c r="L29" s="96"/>
      <c r="M29" s="80"/>
      <c r="N29" s="24"/>
    </row>
    <row r="30" spans="2:14">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c r="G30" s="113"/>
      <c r="I30" s="24"/>
      <c r="J30" s="114"/>
      <c r="K30" s="114"/>
      <c r="L30" s="96"/>
      <c r="M30" s="80"/>
      <c r="N30" s="24"/>
    </row>
    <row r="31" spans="2:14">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c r="G31" s="113"/>
      <c r="J31" s="114"/>
      <c r="K31" s="114"/>
      <c r="L31" s="96"/>
      <c r="M31" s="80"/>
    </row>
    <row r="32" spans="2:14">
      <c r="B32" s="81"/>
      <c r="C32" s="81"/>
      <c r="D32" s="81"/>
      <c r="E32" s="82"/>
      <c r="J32" s="24"/>
      <c r="K32" s="24"/>
      <c r="L32" s="24"/>
      <c r="M32" s="24"/>
    </row>
    <row r="33" spans="2:16">
      <c r="B33" s="909" t="s">
        <v>188</v>
      </c>
      <c r="C33" s="909"/>
      <c r="D33" s="909"/>
      <c r="E33" s="289">
        <f>SUM(F20:F31)</f>
        <v>0</v>
      </c>
    </row>
    <row r="34" spans="2:16" ht="15.75" thickBot="1"/>
    <row r="35" spans="2:16" ht="18.75">
      <c r="B35" s="2" t="s">
        <v>144</v>
      </c>
      <c r="C35" s="110"/>
      <c r="D35" s="61"/>
      <c r="E35" s="61"/>
      <c r="F35" s="108" t="s">
        <v>187</v>
      </c>
      <c r="G35" s="288">
        <f>F43</f>
        <v>0</v>
      </c>
      <c r="H35" s="61"/>
      <c r="I35" s="61"/>
      <c r="J35" s="61"/>
      <c r="K35" s="61"/>
      <c r="L35" s="61"/>
      <c r="M35" s="61"/>
      <c r="N35" s="61"/>
      <c r="O35" s="61"/>
      <c r="P35" s="61"/>
    </row>
    <row r="36" spans="2:16" ht="15.75">
      <c r="B36" s="67" t="s">
        <v>541</v>
      </c>
      <c r="C36" s="24"/>
      <c r="D36" s="24"/>
      <c r="E36" s="24"/>
    </row>
    <row r="37" spans="2:16">
      <c r="B37" s="32"/>
      <c r="C37" s="138"/>
      <c r="D37" s="24"/>
      <c r="E37" s="24"/>
      <c r="I37" s="24"/>
      <c r="J37" s="24"/>
      <c r="K37" s="24"/>
      <c r="L37" s="24"/>
      <c r="M37" s="24"/>
      <c r="N37" s="24"/>
    </row>
    <row r="38" spans="2:16" ht="15.75" customHeight="1">
      <c r="C38" s="97" t="s">
        <v>527</v>
      </c>
      <c r="D38" s="97" t="s">
        <v>78</v>
      </c>
      <c r="E38" s="97" t="s">
        <v>648</v>
      </c>
      <c r="F38" s="97" t="s">
        <v>647</v>
      </c>
      <c r="I38" s="24"/>
      <c r="J38" s="114"/>
      <c r="K38" s="96"/>
      <c r="L38" s="121"/>
      <c r="M38" s="24"/>
      <c r="N38" s="917"/>
    </row>
    <row r="39" spans="2:16">
      <c r="B39" s="105" t="str">
        <f>INDEX(Equipment_Utility_Spec_List,2)</f>
        <v>Water</v>
      </c>
      <c r="C39" s="141">
        <f>SUMPRODUCT($F$110:$F$147,$G$110:$G$147,$M$110:$M$147)</f>
        <v>0</v>
      </c>
      <c r="D39" s="140" t="s">
        <v>528</v>
      </c>
      <c r="E39" s="277">
        <f>SUMIF($B$110:$B$147,("&lt;&gt;N/A"),$H$110:$H$147)</f>
        <v>0</v>
      </c>
      <c r="F39" s="277">
        <f>E39*Staff_Days_Operation</f>
        <v>0</v>
      </c>
      <c r="I39" s="24"/>
      <c r="J39" s="114"/>
      <c r="K39" s="96"/>
      <c r="L39" s="121"/>
      <c r="M39" s="24"/>
      <c r="N39" s="917"/>
    </row>
    <row r="40" spans="2:16">
      <c r="B40" s="105" t="str">
        <f>INDEX(Equipment_Utility_Spec_List,3)</f>
        <v>Electricity</v>
      </c>
      <c r="C40" s="141">
        <f>SUMPRODUCT($F$110:$F$147,$I$110:$I$147,$M$110:$M$147)</f>
        <v>0</v>
      </c>
      <c r="D40" s="140" t="s">
        <v>530</v>
      </c>
      <c r="E40" s="277">
        <f>SUMIF($B$110:$B$147,("&lt;&gt;N/A"),$J$110:$J$147)</f>
        <v>0</v>
      </c>
      <c r="F40" s="277">
        <f>E40*Staff_Days_Operation</f>
        <v>0</v>
      </c>
      <c r="I40" s="24"/>
      <c r="J40" s="122"/>
      <c r="K40" s="121"/>
      <c r="L40" s="121"/>
      <c r="M40" s="24"/>
      <c r="N40" s="170"/>
    </row>
    <row r="41" spans="2:16">
      <c r="B41" s="105" t="str">
        <f>INDEX(Equipment_Utility_Spec_List,4)</f>
        <v>Fuel</v>
      </c>
      <c r="C41" s="141">
        <f>SUMPRODUCT($F$110:$F$147,$K$110:$K$147,$M$110:$M$147)</f>
        <v>0</v>
      </c>
      <c r="D41" s="140" t="s">
        <v>529</v>
      </c>
      <c r="E41" s="277">
        <f>SUMIF($B$110:$B$147,("&lt;&gt;N/A"),$L$110:$L$147)</f>
        <v>0</v>
      </c>
      <c r="F41" s="277">
        <f>E41*Staff_Days_Operation</f>
        <v>0</v>
      </c>
      <c r="I41" s="24"/>
      <c r="J41" s="122"/>
      <c r="K41" s="121"/>
      <c r="L41" s="121"/>
      <c r="M41" s="24"/>
      <c r="N41" s="24"/>
    </row>
    <row r="42" spans="2:16">
      <c r="B42" s="8"/>
      <c r="C42" s="122"/>
      <c r="D42" s="24"/>
      <c r="E42" s="139"/>
      <c r="I42" s="24"/>
      <c r="J42" s="24"/>
      <c r="K42" s="24"/>
      <c r="L42" s="250"/>
      <c r="M42" s="24"/>
      <c r="N42" s="24"/>
    </row>
    <row r="43" spans="2:16">
      <c r="B43" s="908" t="s">
        <v>452</v>
      </c>
      <c r="C43" s="908"/>
      <c r="D43" s="908"/>
      <c r="E43" s="277">
        <f>SUM(E39:E41)</f>
        <v>0</v>
      </c>
      <c r="F43" s="277">
        <f>SUM(F39:F41)</f>
        <v>0</v>
      </c>
      <c r="I43" s="918"/>
      <c r="J43" s="918"/>
      <c r="K43" s="918"/>
      <c r="L43" s="121"/>
      <c r="M43" s="24"/>
      <c r="N43" s="24"/>
    </row>
    <row r="44" spans="2:16" ht="15.75" thickBot="1">
      <c r="F44" s="62"/>
      <c r="G44" s="62"/>
    </row>
    <row r="45" spans="2:16" ht="18.75">
      <c r="B45" s="117" t="s">
        <v>3</v>
      </c>
      <c r="C45" s="118"/>
      <c r="D45" s="85"/>
      <c r="E45" s="85"/>
      <c r="F45" s="148" t="s">
        <v>129</v>
      </c>
      <c r="G45" s="288">
        <f>SUM(G52:G74)</f>
        <v>0</v>
      </c>
      <c r="H45" s="85"/>
      <c r="I45" s="85"/>
      <c r="J45" s="85"/>
      <c r="K45" s="85"/>
      <c r="L45" s="85"/>
      <c r="M45" s="85"/>
      <c r="N45" s="85"/>
      <c r="O45" s="85"/>
      <c r="P45" s="85"/>
    </row>
    <row r="46" spans="2:16" ht="15.75">
      <c r="B46" s="67" t="s">
        <v>80</v>
      </c>
    </row>
    <row r="47" spans="2:16" ht="15.75">
      <c r="B47" s="67" t="s">
        <v>81</v>
      </c>
    </row>
    <row r="48" spans="2:16">
      <c r="B48" s="105" t="s">
        <v>77</v>
      </c>
      <c r="C48" s="907" t="s">
        <v>68</v>
      </c>
      <c r="D48" s="907"/>
      <c r="I48" s="88"/>
    </row>
    <row r="49" spans="2:9">
      <c r="B49" s="105" t="s">
        <v>78</v>
      </c>
      <c r="C49" s="907" t="s">
        <v>534</v>
      </c>
      <c r="D49" s="907"/>
      <c r="I49" s="89"/>
    </row>
    <row r="51" spans="2:9" ht="15.75">
      <c r="B51" s="97" t="s">
        <v>211</v>
      </c>
      <c r="C51" s="97" t="s">
        <v>5</v>
      </c>
      <c r="D51" s="97" t="s">
        <v>79</v>
      </c>
      <c r="E51" s="98" t="s">
        <v>233</v>
      </c>
      <c r="F51" s="97" t="s">
        <v>121</v>
      </c>
      <c r="G51" s="97" t="s">
        <v>122</v>
      </c>
    </row>
    <row r="52" spans="2:9" ht="14.45" customHeight="1">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N/A</v>
      </c>
      <c r="C52" s="77" t="str">
        <f>IF($B52="N/A","N/A",INDEX(Staff_position[],MATCH(B52,Staff_Position_ID,0)))</f>
        <v>N/A</v>
      </c>
      <c r="D52" s="277" t="str">
        <f>IF($B52="N/A","N/A",INDEX(Staff_net_salary[],MATCH(B52,Staff_Position_ID,0)))</f>
        <v>N/A</v>
      </c>
      <c r="E52" s="91" t="str">
        <f t="shared" ref="E52:E74" si="4">IF($B52="N/A","N/A",INDEX(Staff_number_of_employees,MATCH(B52,Staff_Position_ID,0)))</f>
        <v>N/A</v>
      </c>
      <c r="F52" s="92" t="str">
        <f t="shared" ref="F52" si="5">IFERROR(INDEX(Staff_Position_Allocation,MATCH(B52,Staff_Position_ID),MATCH($C$49,Unit_codes,0)),"")</f>
        <v/>
      </c>
      <c r="G52" s="277" t="str">
        <f>IFERROR(D52*E52*F52,"")</f>
        <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4"/>
        <v>N/A</v>
      </c>
      <c r="F53" s="92" t="str">
        <f t="shared" ref="F53" si="6">IFERROR(INDEX(Staff_Position_Allocation,MATCH(B53,Staff_Position_ID),MATCH($C$49,Unit_codes,0)),"")</f>
        <v/>
      </c>
      <c r="G53" s="277" t="str">
        <f t="shared" ref="G53:G74" si="7">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ref="F54" si="8">IFERROR(INDEX(Staff_Position_Allocation,MATCH(B54,Staff_Position_ID),MATCH($C$49,Unit_codes,0)),"")</f>
        <v/>
      </c>
      <c r="G54" s="277" t="str">
        <f t="shared" si="7"/>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ref="F55" si="9">IFERROR(INDEX(Staff_Position_Allocation,MATCH(B55,Staff_Position_ID),MATCH($C$49,Unit_codes,0)),"")</f>
        <v/>
      </c>
      <c r="G55" s="277" t="str">
        <f t="shared" si="7"/>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4"/>
        <v>N/A</v>
      </c>
      <c r="F56" s="92" t="str">
        <f t="shared" ref="F56" si="10">IFERROR(INDEX(Staff_Position_Allocation,MATCH(B56,Staff_Position_ID),MATCH($C$49,Unit_codes,0)),"")</f>
        <v/>
      </c>
      <c r="G56" s="277" t="str">
        <f t="shared" si="7"/>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4"/>
        <v>N/A</v>
      </c>
      <c r="F57" s="92" t="str">
        <f t="shared" ref="F57" si="11">IFERROR(INDEX(Staff_Position_Allocation,MATCH(B57,Staff_Position_ID),MATCH($C$49,Unit_codes,0)),"")</f>
        <v/>
      </c>
      <c r="G57" s="277" t="str">
        <f t="shared" si="7"/>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4"/>
        <v>N/A</v>
      </c>
      <c r="F58" s="92" t="str">
        <f t="shared" ref="F58" si="12">IFERROR(INDEX(Staff_Position_Allocation,MATCH(B58,Staff_Position_ID),MATCH($C$49,Unit_codes,0)),"")</f>
        <v/>
      </c>
      <c r="G58" s="277" t="str">
        <f t="shared" si="7"/>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4"/>
        <v>N/A</v>
      </c>
      <c r="F59" s="92" t="str">
        <f t="shared" ref="F59" si="13">IFERROR(INDEX(Staff_Position_Allocation,MATCH(B59,Staff_Position_ID),MATCH($C$49,Unit_codes,0)),"")</f>
        <v/>
      </c>
      <c r="G59" s="277" t="str">
        <f t="shared" si="7"/>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4"/>
        <v>N/A</v>
      </c>
      <c r="F60" s="92" t="str">
        <f t="shared" ref="F60" si="14">IFERROR(INDEX(Staff_Position_Allocation,MATCH(B60,Staff_Position_ID),MATCH($C$49,Unit_codes,0)),"")</f>
        <v/>
      </c>
      <c r="G60" s="277" t="str">
        <f t="shared" si="7"/>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4"/>
        <v>N/A</v>
      </c>
      <c r="F61" s="92" t="str">
        <f t="shared" ref="F61" si="15">IFERROR(INDEX(Staff_Position_Allocation,MATCH(B61,Staff_Position_ID),MATCH($C$49,Unit_codes,0)),"")</f>
        <v/>
      </c>
      <c r="G61" s="277" t="str">
        <f t="shared" si="7"/>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4"/>
        <v>N/A</v>
      </c>
      <c r="F62" s="92" t="str">
        <f t="shared" ref="F62" si="16">IFERROR(INDEX(Staff_Position_Allocation,MATCH(B62,Staff_Position_ID),MATCH($C$49,Unit_codes,0)),"")</f>
        <v/>
      </c>
      <c r="G62" s="277" t="str">
        <f t="shared" si="7"/>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4"/>
        <v>N/A</v>
      </c>
      <c r="F63" s="92" t="str">
        <f t="shared" ref="F63" si="17">IFERROR(INDEX(Staff_Position_Allocation,MATCH(B63,Staff_Position_ID),MATCH($C$49,Unit_codes,0)),"")</f>
        <v/>
      </c>
      <c r="G63" s="277" t="str">
        <f t="shared" si="7"/>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4"/>
        <v>N/A</v>
      </c>
      <c r="F64" s="92" t="str">
        <f t="shared" ref="F64" si="18">IFERROR(INDEX(Staff_Position_Allocation,MATCH(B64,Staff_Position_ID),MATCH($C$49,Unit_codes,0)),"")</f>
        <v/>
      </c>
      <c r="G64" s="277" t="str">
        <f t="shared" si="7"/>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4"/>
        <v>N/A</v>
      </c>
      <c r="F65" s="92" t="str">
        <f t="shared" ref="F65" si="19">IFERROR(INDEX(Staff_Position_Allocation,MATCH(B65,Staff_Position_ID),MATCH($C$49,Unit_codes,0)),"")</f>
        <v/>
      </c>
      <c r="G65" s="277" t="str">
        <f t="shared" si="7"/>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4"/>
        <v>N/A</v>
      </c>
      <c r="F66" s="92" t="str">
        <f t="shared" ref="F66" si="20">IFERROR(INDEX(Staff_Position_Allocation,MATCH(B66,Staff_Position_ID),MATCH($C$49,Unit_codes,0)),"")</f>
        <v/>
      </c>
      <c r="G66" s="277" t="str">
        <f t="shared" si="7"/>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4"/>
        <v>N/A</v>
      </c>
      <c r="F67" s="92" t="str">
        <f t="shared" ref="F67" si="21">IFERROR(INDEX(Staff_Position_Allocation,MATCH(B67,Staff_Position_ID),MATCH($C$49,Unit_codes,0)),"")</f>
        <v/>
      </c>
      <c r="G67" s="277" t="str">
        <f t="shared" si="7"/>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4"/>
        <v>N/A</v>
      </c>
      <c r="F68" s="92" t="str">
        <f t="shared" ref="F68" si="22">IFERROR(INDEX(Staff_Position_Allocation,MATCH(B68,Staff_Position_ID),MATCH($C$49,Unit_codes,0)),"")</f>
        <v/>
      </c>
      <c r="G68" s="277" t="str">
        <f t="shared" si="7"/>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4"/>
        <v>N/A</v>
      </c>
      <c r="F69" s="92" t="str">
        <f t="shared" ref="F69" si="23">IFERROR(INDEX(Staff_Position_Allocation,MATCH(B69,Staff_Position_ID),MATCH($C$49,Unit_codes,0)),"")</f>
        <v/>
      </c>
      <c r="G69" s="277" t="str">
        <f t="shared" si="7"/>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4"/>
        <v>N/A</v>
      </c>
      <c r="F70" s="92" t="str">
        <f t="shared" ref="F70" si="24">IFERROR(INDEX(Staff_Position_Allocation,MATCH(B70,Staff_Position_ID),MATCH($C$49,Unit_codes,0)),"")</f>
        <v/>
      </c>
      <c r="G70" s="277" t="str">
        <f t="shared" si="7"/>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4"/>
        <v>N/A</v>
      </c>
      <c r="F71" s="92" t="str">
        <f t="shared" ref="F71" si="25">IFERROR(INDEX(Staff_Position_Allocation,MATCH(B71,Staff_Position_ID),MATCH($C$49,Unit_codes,0)),"")</f>
        <v/>
      </c>
      <c r="G71" s="277" t="str">
        <f t="shared" si="7"/>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4"/>
        <v>N/A</v>
      </c>
      <c r="F72" s="92" t="str">
        <f t="shared" ref="F72" si="26">IFERROR(INDEX(Staff_Position_Allocation,MATCH(B72,Staff_Position_ID),MATCH($C$49,Unit_codes,0)),"")</f>
        <v/>
      </c>
      <c r="G72" s="277" t="str">
        <f t="shared" si="7"/>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4"/>
        <v>N/A</v>
      </c>
      <c r="F73" s="92" t="str">
        <f t="shared" ref="F73" si="27">IFERROR(INDEX(Staff_Position_Allocation,MATCH(B73,Staff_Position_ID),MATCH($C$49,Unit_codes,0)),"")</f>
        <v/>
      </c>
      <c r="G73" s="277" t="str">
        <f t="shared" si="7"/>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4"/>
        <v>N/A</v>
      </c>
      <c r="F74" s="92" t="str">
        <f t="shared" ref="F74" si="28">IFERROR(INDEX(Staff_Position_Allocation,MATCH(B74,Staff_Position_ID),MATCH($C$49,Unit_codes,0)),"")</f>
        <v/>
      </c>
      <c r="G74" s="277" t="str">
        <f t="shared" si="7"/>
        <v/>
      </c>
    </row>
    <row r="75" spans="2:16" ht="15.75" thickBot="1">
      <c r="F75" s="150"/>
      <c r="G75" s="150"/>
    </row>
    <row r="76" spans="2:16" ht="30.75">
      <c r="B76" s="111" t="s">
        <v>83</v>
      </c>
      <c r="C76" s="112"/>
      <c r="D76" s="85"/>
      <c r="E76" s="85"/>
      <c r="F76" s="148" t="s">
        <v>123</v>
      </c>
      <c r="G76" s="288">
        <f>SUM(G83:G103)</f>
        <v>0</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534</v>
      </c>
      <c r="D80" s="907"/>
    </row>
    <row r="82" spans="2:7" ht="15.75">
      <c r="B82" s="97" t="s">
        <v>211</v>
      </c>
      <c r="C82" s="97" t="s">
        <v>5</v>
      </c>
      <c r="D82" s="97" t="s">
        <v>79</v>
      </c>
      <c r="E82" s="98" t="s">
        <v>233</v>
      </c>
      <c r="F82" s="97" t="s">
        <v>121</v>
      </c>
      <c r="G82" s="97"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N/A</v>
      </c>
      <c r="C83" s="77" t="str">
        <f>IF($B83="N/A","N/A",INDEX(Staff_position[],MATCH(B83,Staff_Position_ID,0)))</f>
        <v>N/A</v>
      </c>
      <c r="D83" s="277" t="str">
        <f>IF($B83="N/A","N/A",INDEX(Staff_net_salary[],MATCH(B83,Staff_Position_ID,0)))</f>
        <v>N/A</v>
      </c>
      <c r="E83" s="91" t="str">
        <f t="shared" ref="E83:E103" si="29">IF($B83="N/A","N/A",INDEX(Staff_number_of_employees,MATCH(B83,Staff_Position_ID,0)))</f>
        <v>N/A</v>
      </c>
      <c r="F83" s="92" t="str">
        <f t="shared" ref="F83" si="30">IFERROR(INDEX(Staff_Position_Allocation,MATCH(B83,Staff_Position_ID),MATCH($C$80,Unit_codes,0)),"")</f>
        <v/>
      </c>
      <c r="G83" s="277" t="str">
        <f>IFERROR(D83*E83*F83,"")</f>
        <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N/A</v>
      </c>
      <c r="C84" s="77" t="str">
        <f>IF($B84="N/A","N/A",INDEX(Staff_position[],MATCH(B84,Staff_Position_ID,0)))</f>
        <v>N/A</v>
      </c>
      <c r="D84" s="277" t="str">
        <f>IF($B84="N/A","N/A",INDEX(Staff_net_salary[],MATCH(B84,Staff_Position_ID,0)))</f>
        <v>N/A</v>
      </c>
      <c r="E84" s="91" t="str">
        <f t="shared" si="29"/>
        <v>N/A</v>
      </c>
      <c r="F84" s="92" t="str">
        <f t="shared" ref="F84" si="31">IFERROR(INDEX(Staff_Position_Allocation,MATCH(B84,Staff_Position_ID),MATCH($C$80,Unit_codes,0)),"")</f>
        <v/>
      </c>
      <c r="G84" s="277" t="str">
        <f t="shared" ref="G84:G103" si="32">IFERROR(D84*E84*F84,"")</f>
        <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29"/>
        <v>N/A</v>
      </c>
      <c r="F85" s="92" t="str">
        <f t="shared" ref="F85" si="33">IFERROR(INDEX(Staff_Position_Allocation,MATCH(B85,Staff_Position_ID),MATCH($C$80,Unit_codes,0)),"")</f>
        <v/>
      </c>
      <c r="G85" s="277" t="str">
        <f t="shared" si="32"/>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29"/>
        <v>N/A</v>
      </c>
      <c r="F86" s="92" t="str">
        <f t="shared" ref="F86" si="34">IFERROR(INDEX(Staff_Position_Allocation,MATCH(B86,Staff_Position_ID),MATCH($C$80,Unit_codes,0)),"")</f>
        <v/>
      </c>
      <c r="G86" s="277" t="str">
        <f t="shared" si="32"/>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29"/>
        <v>N/A</v>
      </c>
      <c r="F87" s="92" t="str">
        <f t="shared" ref="F87" si="35">IFERROR(INDEX(Staff_Position_Allocation,MATCH(B87,Staff_Position_ID),MATCH($C$80,Unit_codes,0)),"")</f>
        <v/>
      </c>
      <c r="G87" s="277" t="str">
        <f t="shared" si="32"/>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29"/>
        <v>N/A</v>
      </c>
      <c r="F88" s="92" t="str">
        <f t="shared" ref="F88" si="36">IFERROR(INDEX(Staff_Position_Allocation,MATCH(B88,Staff_Position_ID),MATCH($C$80,Unit_codes,0)),"")</f>
        <v/>
      </c>
      <c r="G88" s="277" t="str">
        <f t="shared" si="32"/>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29"/>
        <v>N/A</v>
      </c>
      <c r="F89" s="92" t="str">
        <f t="shared" ref="F89" si="37">IFERROR(INDEX(Staff_Position_Allocation,MATCH(B89,Staff_Position_ID),MATCH($C$80,Unit_codes,0)),"")</f>
        <v/>
      </c>
      <c r="G89" s="277" t="str">
        <f t="shared" si="32"/>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29"/>
        <v>N/A</v>
      </c>
      <c r="F90" s="92" t="str">
        <f t="shared" ref="F90" si="38">IFERROR(INDEX(Staff_Position_Allocation,MATCH(B90,Staff_Position_ID),MATCH($C$80,Unit_codes,0)),"")</f>
        <v/>
      </c>
      <c r="G90" s="277" t="str">
        <f t="shared" si="32"/>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29"/>
        <v>N/A</v>
      </c>
      <c r="F91" s="92" t="str">
        <f t="shared" ref="F91" si="39">IFERROR(INDEX(Staff_Position_Allocation,MATCH(B91,Staff_Position_ID),MATCH($C$80,Unit_codes,0)),"")</f>
        <v/>
      </c>
      <c r="G91" s="277" t="str">
        <f t="shared" si="32"/>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29"/>
        <v>N/A</v>
      </c>
      <c r="F92" s="92" t="str">
        <f t="shared" ref="F92" si="40">IFERROR(INDEX(Staff_Position_Allocation,MATCH(B92,Staff_Position_ID),MATCH($C$80,Unit_codes,0)),"")</f>
        <v/>
      </c>
      <c r="G92" s="277" t="str">
        <f t="shared" si="32"/>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29"/>
        <v>N/A</v>
      </c>
      <c r="F93" s="92" t="str">
        <f t="shared" ref="F93" si="41">IFERROR(INDEX(Staff_Position_Allocation,MATCH(B93,Staff_Position_ID),MATCH($C$80,Unit_codes,0)),"")</f>
        <v/>
      </c>
      <c r="G93" s="277" t="str">
        <f t="shared" si="32"/>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29"/>
        <v>N/A</v>
      </c>
      <c r="F94" s="92" t="str">
        <f t="shared" ref="F94" si="42">IFERROR(INDEX(Staff_Position_Allocation,MATCH(B94,Staff_Position_ID),MATCH($C$80,Unit_codes,0)),"")</f>
        <v/>
      </c>
      <c r="G94" s="277" t="str">
        <f t="shared" si="32"/>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29"/>
        <v>N/A</v>
      </c>
      <c r="F95" s="92" t="str">
        <f t="shared" ref="F95" si="43">IFERROR(INDEX(Staff_Position_Allocation,MATCH(B95,Staff_Position_ID),MATCH($C$80,Unit_codes,0)),"")</f>
        <v/>
      </c>
      <c r="G95" s="277" t="str">
        <f t="shared" si="32"/>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29"/>
        <v>N/A</v>
      </c>
      <c r="F96" s="92" t="str">
        <f t="shared" ref="F96" si="44">IFERROR(INDEX(Staff_Position_Allocation,MATCH(B96,Staff_Position_ID),MATCH($C$80,Unit_codes,0)),"")</f>
        <v/>
      </c>
      <c r="G96" s="277" t="str">
        <f t="shared" si="32"/>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29"/>
        <v>N/A</v>
      </c>
      <c r="F97" s="92" t="str">
        <f t="shared" ref="F97" si="45">IFERROR(INDEX(Staff_Position_Allocation,MATCH(B97,Staff_Position_ID),MATCH($C$80,Unit_codes,0)),"")</f>
        <v/>
      </c>
      <c r="G97" s="277" t="str">
        <f t="shared" si="32"/>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29"/>
        <v>N/A</v>
      </c>
      <c r="F98" s="92" t="str">
        <f t="shared" ref="F98" si="46">IFERROR(INDEX(Staff_Position_Allocation,MATCH(B98,Staff_Position_ID),MATCH($C$80,Unit_codes,0)),"")</f>
        <v/>
      </c>
      <c r="G98" s="277" t="str">
        <f t="shared" si="32"/>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29"/>
        <v>N/A</v>
      </c>
      <c r="F99" s="92" t="str">
        <f t="shared" ref="F99" si="47">IFERROR(INDEX(Staff_Position_Allocation,MATCH(B99,Staff_Position_ID),MATCH($C$80,Unit_codes,0)),"")</f>
        <v/>
      </c>
      <c r="G99" s="277" t="str">
        <f t="shared" si="32"/>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29"/>
        <v>N/A</v>
      </c>
      <c r="F100" s="92" t="str">
        <f t="shared" ref="F100" si="48">IFERROR(INDEX(Staff_Position_Allocation,MATCH(B100,Staff_Position_ID),MATCH($C$80,Unit_codes,0)),"")</f>
        <v/>
      </c>
      <c r="G100" s="277" t="str">
        <f t="shared" si="32"/>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29"/>
        <v>N/A</v>
      </c>
      <c r="F101" s="92" t="str">
        <f t="shared" ref="F101" si="49">IFERROR(INDEX(Staff_Position_Allocation,MATCH(B101,Staff_Position_ID),MATCH($C$80,Unit_codes,0)),"")</f>
        <v/>
      </c>
      <c r="G101" s="277" t="str">
        <f t="shared" si="32"/>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29"/>
        <v>N/A</v>
      </c>
      <c r="F102" s="92" t="str">
        <f t="shared" ref="F102" si="50">IFERROR(INDEX(Staff_Position_Allocation,MATCH(B102,Staff_Position_ID),MATCH($C$80,Unit_codes,0)),"")</f>
        <v/>
      </c>
      <c r="G102" s="277" t="str">
        <f t="shared" si="32"/>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29"/>
        <v>N/A</v>
      </c>
      <c r="F103" s="92" t="str">
        <f t="shared" ref="F103" si="51">IFERROR(INDEX(Staff_Position_Allocation,MATCH(B103,Staff_Position_ID),MATCH($C$80,Unit_codes,0)),"")</f>
        <v/>
      </c>
      <c r="G103" s="277" t="str">
        <f t="shared" si="32"/>
        <v/>
      </c>
    </row>
    <row r="104" spans="2:16" ht="15.75" thickBot="1">
      <c r="E104" s="150"/>
      <c r="F104" s="150"/>
      <c r="G104" s="150"/>
    </row>
    <row r="105" spans="2:16" ht="45">
      <c r="B105" s="2" t="s">
        <v>2</v>
      </c>
      <c r="C105" s="110"/>
      <c r="D105" s="61"/>
      <c r="F105" s="152" t="s">
        <v>153</v>
      </c>
      <c r="G105" s="288">
        <f>SUMIF(B110:B147,("&lt;&gt;N/A"),N110:N147)</f>
        <v>0</v>
      </c>
      <c r="H105" s="61"/>
      <c r="I105" s="61"/>
      <c r="J105" s="61"/>
      <c r="K105" s="61"/>
      <c r="L105" s="61"/>
      <c r="M105" s="61"/>
      <c r="N105" s="61"/>
      <c r="O105" s="61"/>
      <c r="P105" s="61"/>
    </row>
    <row r="106" spans="2:16" ht="15.75">
      <c r="B106" s="67" t="s">
        <v>82</v>
      </c>
    </row>
    <row r="107" spans="2:16">
      <c r="B107" s="105" t="s">
        <v>78</v>
      </c>
      <c r="C107" s="86" t="s">
        <v>534</v>
      </c>
    </row>
    <row r="109" spans="2:16" ht="45">
      <c r="B109" s="97" t="s">
        <v>84</v>
      </c>
      <c r="C109" s="97" t="s">
        <v>53</v>
      </c>
      <c r="D109" s="99" t="s">
        <v>152</v>
      </c>
      <c r="E109" s="97" t="s">
        <v>50</v>
      </c>
      <c r="F109" s="99" t="s">
        <v>514</v>
      </c>
      <c r="G109" s="99" t="s">
        <v>451</v>
      </c>
      <c r="H109" s="99" t="s">
        <v>515</v>
      </c>
      <c r="I109" s="99" t="s">
        <v>519</v>
      </c>
      <c r="J109" s="99" t="s">
        <v>516</v>
      </c>
      <c r="K109" s="99" t="s">
        <v>518</v>
      </c>
      <c r="L109" s="99" t="s">
        <v>517</v>
      </c>
      <c r="M109" s="100" t="s">
        <v>183</v>
      </c>
      <c r="N109" s="101" t="s">
        <v>154</v>
      </c>
      <c r="O109" s="101"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N/A</v>
      </c>
      <c r="C110" s="76" t="str">
        <f>IF($B110="N/A","N/A",INDEX(Equipment_name[],MATCH(B110,equipment_ID,0)))</f>
        <v>N/A</v>
      </c>
      <c r="D110" s="277" t="str">
        <f t="shared" ref="D110:D147" si="52">IF($B110="N/A","N/A",INDEX(Equipment_Depreciation,MATCH(B110,equipment_ID,0)))</f>
        <v>N/A</v>
      </c>
      <c r="E110" s="94" t="str">
        <f t="shared" ref="E110:E147" si="53">IF($B110="N/A","N/A",INDEX(Equipment_Quantity_New,MATCH(B110,equipment_ID,0)))</f>
        <v>N/A</v>
      </c>
      <c r="F110" s="137" t="str">
        <f>IF($B110="N/A","",IF(INDEX(Equipment_Utility_Decision,MATCH($B110,equipment_ID,0))='4.2-Settings Internal'!$B$32,INDEX(Equipment_Utility_Run,MATCH($B110,equipment_ID,0)),""))</f>
        <v/>
      </c>
      <c r="G110" s="137" t="str">
        <f>IF($B110="N/A","",IF(INDEX(Equipment_Utility_Decision,MATCH($B110,equipment_ID,0))='4.2-Settings Internal'!$B$32,INDEX(Equipment_Utility_Water,MATCH($B110,equipment_ID,0)),""))</f>
        <v/>
      </c>
      <c r="H110" s="277" t="str">
        <f t="shared" ref="H110:H147" si="54">IFERROR($E110*$F110*G110*$M110*General_Water_Price,"")</f>
        <v/>
      </c>
      <c r="I110" s="137" t="str">
        <f>IF($B110="N/A","",IF(INDEX(Equipment_Utility_Decision,MATCH($B110,equipment_ID,0))='4.2-Settings Internal'!$B$32,INDEX(Equipment_Utility_Electricity,MATCH($B110,equipment_ID,0)),""))</f>
        <v/>
      </c>
      <c r="J110" s="277" t="str">
        <f t="shared" ref="J110:J147" si="55">IFERROR($E110*$F110*I110*$M110*General_Electricity_Price,"")</f>
        <v/>
      </c>
      <c r="K110" s="137" t="str">
        <f>IF($B110="N/A","",IF(INDEX(Equipment_Utility_Decision,MATCH($B110,equipment_ID,0))=INDEX(Yes_No_Choice[],1),INDEX(Equipment_Utility_Fuel,MATCH($B110,equipment_ID,0)),""))</f>
        <v/>
      </c>
      <c r="L110" s="277" t="str">
        <f t="shared" ref="L110:L147" si="56">IFERROR($E110*$F110*$K110*$M110*INDEX(General_Utilities,MATCH(INDEX(Equipment_Utility_Fuel_Selection,MATCH($B110,equipment_ID,0)),General_Utilities_Type,0),4),"")</f>
        <v/>
      </c>
      <c r="M110" s="95" t="str">
        <f t="shared" ref="M110:M147" si="57">IFERROR(INDEX(Equipment_Allocation_New,MATCH(B110,equipment_ID,0),MATCH($C$107,Unit_codes,0)),"")</f>
        <v/>
      </c>
      <c r="N110" s="277" t="str">
        <f t="shared" ref="N110:N147" si="58">IFERROR($D110*E110*M110,"")</f>
        <v/>
      </c>
      <c r="O110" s="137" t="str">
        <f t="shared" ref="O110:O147" si="59">IF($B110="N/A","",IF(INDEX(Equipment_Space_Selection,MATCH(B110,equipment_ID,0))="Yes",INDEX(Equipment_Space_Footprint,MATCH(B110,equipment_ID,0))*INDEX(Equipment_Quantity_New,MATCH(B110,equipment_ID,0))*M110,""))</f>
        <v/>
      </c>
    </row>
    <row r="111" spans="2:16">
      <c r="B111" s="76" t="str">
        <f t="array" ref="B111">IF(COUNTIFS(INDEX(Equipment_Allocation_New,0,MATCH($C$107,Unit_codes,0)),"&gt;0")&lt;ROWS('2.2-Equipment input'!$X$8:$X9),"N/A",INDEX('2.2-Equipment input'!B:B,SMALL(IF(INDEX(Equipment_Allocation_New,0,MATCH($C$107,Unit_codes,0))&gt;0,ROW(equipment_ID)),ROW('2.2-Equipment input'!B2))))</f>
        <v>N/A</v>
      </c>
      <c r="C111" s="76" t="str">
        <f>IF($B111="N/A","N/A",INDEX(Equipment_name[],MATCH(B111,equipment_ID,0)))</f>
        <v>N/A</v>
      </c>
      <c r="D111" s="277" t="str">
        <f t="shared" si="52"/>
        <v>N/A</v>
      </c>
      <c r="E111" s="94" t="str">
        <f t="shared" si="53"/>
        <v>N/A</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54"/>
        <v/>
      </c>
      <c r="I111" s="137" t="str">
        <f>IF($B111="N/A","",IF(INDEX(Equipment_Utility_Decision,MATCH($B111,equipment_ID,0))='4.2-Settings Internal'!$B$32,INDEX(Equipment_Utility_Electricity,MATCH($B111,equipment_ID,0)),""))</f>
        <v/>
      </c>
      <c r="J111" s="277" t="str">
        <f t="shared" si="55"/>
        <v/>
      </c>
      <c r="K111" s="137" t="str">
        <f>IF($B111="N/A","",IF(INDEX(Equipment_Utility_Decision,MATCH($B111,equipment_ID,0))=INDEX(Yes_No_Choice[],1),INDEX(Equipment_Utility_Fuel,MATCH($B111,equipment_ID,0)),""))</f>
        <v/>
      </c>
      <c r="L111" s="277" t="str">
        <f t="shared" si="56"/>
        <v/>
      </c>
      <c r="M111" s="95" t="str">
        <f t="shared" si="57"/>
        <v/>
      </c>
      <c r="N111" s="277" t="str">
        <f t="shared" si="58"/>
        <v/>
      </c>
      <c r="O111" s="137" t="str">
        <f t="shared" si="59"/>
        <v/>
      </c>
    </row>
    <row r="112" spans="2:16">
      <c r="B112" s="76" t="str">
        <f t="array" ref="B112">IF(COUNTIFS(INDEX(Equipment_Allocation_New,0,MATCH($C$107,Unit_codes,0)),"&gt;0")&lt;ROWS('2.2-Equipment input'!$X$8:$X10),"N/A",INDEX('2.2-Equipment input'!B:B,SMALL(IF(INDEX(Equipment_Allocation_New,0,MATCH($C$107,Unit_codes,0))&gt;0,ROW(equipment_ID)),ROW('2.2-Equipment input'!B4))))</f>
        <v>N/A</v>
      </c>
      <c r="C112" s="76" t="str">
        <f>IF($B112="N/A","N/A",INDEX(Equipment_name[],MATCH(B112,equipment_ID,0)))</f>
        <v>N/A</v>
      </c>
      <c r="D112" s="277" t="str">
        <f t="shared" si="52"/>
        <v>N/A</v>
      </c>
      <c r="E112" s="94" t="str">
        <f t="shared" si="53"/>
        <v>N/A</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54"/>
        <v/>
      </c>
      <c r="I112" s="137" t="str">
        <f>IF($B112="N/A","",IF(INDEX(Equipment_Utility_Decision,MATCH($B112,equipment_ID,0))='4.2-Settings Internal'!$B$32,INDEX(Equipment_Utility_Electricity,MATCH($B112,equipment_ID,0)),""))</f>
        <v/>
      </c>
      <c r="J112" s="277" t="str">
        <f t="shared" si="55"/>
        <v/>
      </c>
      <c r="K112" s="137" t="str">
        <f>IF($B112="N/A","",IF(INDEX(Equipment_Utility_Decision,MATCH($B112,equipment_ID,0))=INDEX(Yes_No_Choice[],1),INDEX(Equipment_Utility_Fuel,MATCH($B112,equipment_ID,0)),""))</f>
        <v/>
      </c>
      <c r="L112" s="277" t="str">
        <f t="shared" si="56"/>
        <v/>
      </c>
      <c r="M112" s="95" t="str">
        <f t="shared" si="57"/>
        <v/>
      </c>
      <c r="N112" s="277" t="str">
        <f t="shared" si="58"/>
        <v/>
      </c>
      <c r="O112" s="137" t="str">
        <f t="shared" si="59"/>
        <v/>
      </c>
    </row>
    <row r="113" spans="2:15">
      <c r="B113" s="76" t="str">
        <f t="array" ref="B113">IF(COUNTIFS(INDEX(Equipment_Allocation_New,0,MATCH($C$107,Unit_codes,0)),"&gt;0")&lt;ROWS('2.2-Equipment input'!$X$8:$X11),"N/A",INDEX('2.2-Equipment input'!B:B,SMALL(IF(INDEX(Equipment_Allocation_New,0,MATCH($C$107,Unit_codes,0))&gt;0,ROW(equipment_ID)),ROW('2.2-Equipment input'!B5))))</f>
        <v>N/A</v>
      </c>
      <c r="C113" s="76" t="str">
        <f>IF($B113="N/A","N/A",INDEX(Equipment_name[],MATCH(B113,equipment_ID,0)))</f>
        <v>N/A</v>
      </c>
      <c r="D113" s="277" t="str">
        <f t="shared" si="52"/>
        <v>N/A</v>
      </c>
      <c r="E113" s="94" t="str">
        <f t="shared" si="53"/>
        <v>N/A</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54"/>
        <v/>
      </c>
      <c r="I113" s="137" t="str">
        <f>IF($B113="N/A","",IF(INDEX(Equipment_Utility_Decision,MATCH($B113,equipment_ID,0))='4.2-Settings Internal'!$B$32,INDEX(Equipment_Utility_Electricity,MATCH($B113,equipment_ID,0)),""))</f>
        <v/>
      </c>
      <c r="J113" s="277" t="str">
        <f t="shared" si="55"/>
        <v/>
      </c>
      <c r="K113" s="137" t="str">
        <f>IF($B113="N/A","",IF(INDEX(Equipment_Utility_Decision,MATCH($B113,equipment_ID,0))=INDEX(Yes_No_Choice[],1),INDEX(Equipment_Utility_Fuel,MATCH($B113,equipment_ID,0)),""))</f>
        <v/>
      </c>
      <c r="L113" s="277" t="str">
        <f t="shared" si="56"/>
        <v/>
      </c>
      <c r="M113" s="95" t="str">
        <f t="shared" si="57"/>
        <v/>
      </c>
      <c r="N113" s="277" t="str">
        <f t="shared" si="58"/>
        <v/>
      </c>
      <c r="O113" s="137" t="str">
        <f t="shared" si="59"/>
        <v/>
      </c>
    </row>
    <row r="114" spans="2:15">
      <c r="B114" s="76" t="str">
        <f t="array" ref="B114">IF(COUNTIFS(INDEX(Equipment_Allocation_New,0,MATCH($C$107,Unit_codes,0)),"&gt;0")&lt;ROWS('2.2-Equipment input'!$X$8:$X12),"N/A",INDEX('2.2-Equipment input'!B:B,SMALL(IF(INDEX(Equipment_Allocation_New,0,MATCH($C$107,Unit_codes,0))&gt;0,ROW(equipment_ID)),ROW('2.2-Equipment input'!B6))))</f>
        <v>N/A</v>
      </c>
      <c r="C114" s="76" t="str">
        <f>IF($B114="N/A","N/A",INDEX(Equipment_name[],MATCH(B114,equipment_ID,0)))</f>
        <v>N/A</v>
      </c>
      <c r="D114" s="277" t="str">
        <f t="shared" si="52"/>
        <v>N/A</v>
      </c>
      <c r="E114" s="94" t="str">
        <f t="shared" si="53"/>
        <v>N/A</v>
      </c>
      <c r="F114" s="137" t="str">
        <f>IF($B114="N/A","",IF(INDEX(Equipment_Utility_Decision,MATCH($B114,equipment_ID,0))='4.2-Settings Internal'!$B$32,INDEX(Equipment_Utility_Run,MATCH($B114,equipment_ID,0)),""))</f>
        <v/>
      </c>
      <c r="G114" s="137" t="str">
        <f>IF($B114="N/A","",IF(INDEX(Equipment_Utility_Decision,MATCH($B114,equipment_ID,0))='4.2-Settings Internal'!$B$32,INDEX(Equipment_Utility_Water,MATCH($B114,equipment_ID,0)),""))</f>
        <v/>
      </c>
      <c r="H114" s="277" t="str">
        <f t="shared" si="54"/>
        <v/>
      </c>
      <c r="I114" s="137" t="str">
        <f>IF($B114="N/A","",IF(INDEX(Equipment_Utility_Decision,MATCH($B114,equipment_ID,0))='4.2-Settings Internal'!$B$32,INDEX(Equipment_Utility_Electricity,MATCH($B114,equipment_ID,0)),""))</f>
        <v/>
      </c>
      <c r="J114" s="277" t="str">
        <f t="shared" si="55"/>
        <v/>
      </c>
      <c r="K114" s="137" t="str">
        <f>IF($B114="N/A","",IF(INDEX(Equipment_Utility_Decision,MATCH($B114,equipment_ID,0))=INDEX(Yes_No_Choice[],1),INDEX(Equipment_Utility_Fuel,MATCH($B114,equipment_ID,0)),""))</f>
        <v/>
      </c>
      <c r="L114" s="277" t="str">
        <f t="shared" si="56"/>
        <v/>
      </c>
      <c r="M114" s="95" t="str">
        <f t="shared" si="57"/>
        <v/>
      </c>
      <c r="N114" s="277" t="str">
        <f t="shared" si="58"/>
        <v/>
      </c>
      <c r="O114" s="137" t="str">
        <f t="shared" si="59"/>
        <v/>
      </c>
    </row>
    <row r="115" spans="2:15">
      <c r="B115" s="76" t="str">
        <f t="array" ref="B115">IF(COUNTIFS(INDEX(Equipment_Allocation_New,0,MATCH($C$107,Unit_codes,0)),"&gt;0")&lt;ROWS('2.2-Equipment input'!$X$8:$X13),"N/A",INDEX('2.2-Equipment input'!B:B,SMALL(IF(INDEX(Equipment_Allocation_New,0,MATCH($C$107,Unit_codes,0))&gt;0,ROW(equipment_ID)),ROW('2.2-Equipment input'!B7))))</f>
        <v>N/A</v>
      </c>
      <c r="C115" s="76" t="str">
        <f>IF($B115="N/A","N/A",INDEX(Equipment_name[],MATCH(B115,equipment_ID,0)))</f>
        <v>N/A</v>
      </c>
      <c r="D115" s="277" t="str">
        <f t="shared" si="52"/>
        <v>N/A</v>
      </c>
      <c r="E115" s="94" t="str">
        <f t="shared" si="53"/>
        <v>N/A</v>
      </c>
      <c r="F115" s="137" t="str">
        <f>IF($B115="N/A","",IF(INDEX(Equipment_Utility_Decision,MATCH($B115,equipment_ID,0))='4.2-Settings Internal'!$B$32,INDEX(Equipment_Utility_Run,MATCH($B115,equipment_ID,0)),""))</f>
        <v/>
      </c>
      <c r="G115" s="137" t="str">
        <f>IF($B115="N/A","",IF(INDEX(Equipment_Utility_Decision,MATCH($B115,equipment_ID,0))='4.2-Settings Internal'!$B$32,INDEX(Equipment_Utility_Water,MATCH($B115,equipment_ID,0)),""))</f>
        <v/>
      </c>
      <c r="H115" s="277" t="str">
        <f t="shared" si="54"/>
        <v/>
      </c>
      <c r="I115" s="137" t="str">
        <f>IF($B115="N/A","",IF(INDEX(Equipment_Utility_Decision,MATCH($B115,equipment_ID,0))='4.2-Settings Internal'!$B$32,INDEX(Equipment_Utility_Electricity,MATCH($B115,equipment_ID,0)),""))</f>
        <v/>
      </c>
      <c r="J115" s="277" t="str">
        <f t="shared" si="55"/>
        <v/>
      </c>
      <c r="K115" s="137" t="str">
        <f>IF($B115="N/A","",IF(INDEX(Equipment_Utility_Decision,MATCH($B115,equipment_ID,0))=INDEX(Yes_No_Choice[],1),INDEX(Equipment_Utility_Fuel,MATCH($B115,equipment_ID,0)),""))</f>
        <v/>
      </c>
      <c r="L115" s="277" t="str">
        <f t="shared" si="56"/>
        <v/>
      </c>
      <c r="M115" s="95" t="str">
        <f t="shared" si="57"/>
        <v/>
      </c>
      <c r="N115" s="277" t="str">
        <f t="shared" si="58"/>
        <v/>
      </c>
      <c r="O115" s="137" t="str">
        <f t="shared" si="59"/>
        <v/>
      </c>
    </row>
    <row r="116" spans="2:15">
      <c r="B116" s="76" t="str">
        <f t="array" ref="B116">IF(COUNTIFS(INDEX(Equipment_Allocation_New,0,MATCH($C$107,Unit_codes,0)),"&gt;0")&lt;ROWS('2.2-Equipment input'!$X$8:$X14),"N/A",INDEX('2.2-Equipment input'!B:B,SMALL(IF(INDEX(Equipment_Allocation_New,0,MATCH($C$107,Unit_codes,0))&gt;0,ROW(equipment_ID)),ROW('2.2-Equipment input'!B8))))</f>
        <v>N/A</v>
      </c>
      <c r="C116" s="76" t="str">
        <f>IF($B116="N/A","N/A",INDEX(Equipment_name[],MATCH(B116,equipment_ID,0)))</f>
        <v>N/A</v>
      </c>
      <c r="D116" s="277" t="str">
        <f t="shared" si="52"/>
        <v>N/A</v>
      </c>
      <c r="E116" s="94" t="str">
        <f t="shared" si="53"/>
        <v>N/A</v>
      </c>
      <c r="F116" s="137" t="str">
        <f>IF($B116="N/A","",IF(INDEX(Equipment_Utility_Decision,MATCH($B116,equipment_ID,0))='4.2-Settings Internal'!$B$32,INDEX(Equipment_Utility_Run,MATCH($B116,equipment_ID,0)),""))</f>
        <v/>
      </c>
      <c r="G116" s="137" t="str">
        <f>IF($B116="N/A","",IF(INDEX(Equipment_Utility_Decision,MATCH($B116,equipment_ID,0))='4.2-Settings Internal'!$B$32,INDEX(Equipment_Utility_Water,MATCH($B116,equipment_ID,0)),""))</f>
        <v/>
      </c>
      <c r="H116" s="277" t="str">
        <f t="shared" si="54"/>
        <v/>
      </c>
      <c r="I116" s="137" t="str">
        <f>IF($B116="N/A","",IF(INDEX(Equipment_Utility_Decision,MATCH($B116,equipment_ID,0))='4.2-Settings Internal'!$B$32,INDEX(Equipment_Utility_Electricity,MATCH($B116,equipment_ID,0)),""))</f>
        <v/>
      </c>
      <c r="J116" s="277" t="str">
        <f t="shared" si="55"/>
        <v/>
      </c>
      <c r="K116" s="137" t="str">
        <f>IF($B116="N/A","",IF(INDEX(Equipment_Utility_Decision,MATCH($B116,equipment_ID,0))=INDEX(Yes_No_Choice[],1),INDEX(Equipment_Utility_Fuel,MATCH($B116,equipment_ID,0)),""))</f>
        <v/>
      </c>
      <c r="L116" s="277" t="str">
        <f t="shared" si="56"/>
        <v/>
      </c>
      <c r="M116" s="95" t="str">
        <f t="shared" si="57"/>
        <v/>
      </c>
      <c r="N116" s="277" t="str">
        <f t="shared" si="58"/>
        <v/>
      </c>
      <c r="O116" s="137" t="str">
        <f t="shared" si="59"/>
        <v/>
      </c>
    </row>
    <row r="117" spans="2:15">
      <c r="B117" s="76" t="str">
        <f t="array" ref="B117">IF(COUNTIFS(INDEX(Equipment_Allocation_New,0,MATCH($C$107,Unit_codes,0)),"&gt;0")&lt;ROWS('2.2-Equipment input'!$X$8:$X15),"N/A",INDEX('2.2-Equipment input'!B:B,SMALL(IF(INDEX(Equipment_Allocation_New,0,MATCH($C$107,Unit_codes,0))&gt;0,ROW(equipment_ID)),ROW('2.2-Equipment input'!B9))))</f>
        <v>N/A</v>
      </c>
      <c r="C117" s="76" t="str">
        <f>IF($B117="N/A","N/A",INDEX(Equipment_name[],MATCH(B117,equipment_ID,0)))</f>
        <v>N/A</v>
      </c>
      <c r="D117" s="277" t="str">
        <f t="shared" si="52"/>
        <v>N/A</v>
      </c>
      <c r="E117" s="94" t="str">
        <f t="shared" si="53"/>
        <v>N/A</v>
      </c>
      <c r="F117" s="137" t="str">
        <f>IF($B117="N/A","",IF(INDEX(Equipment_Utility_Decision,MATCH($B117,equipment_ID,0))='4.2-Settings Internal'!$B$32,INDEX(Equipment_Utility_Run,MATCH($B117,equipment_ID,0)),""))</f>
        <v/>
      </c>
      <c r="G117" s="137" t="str">
        <f>IF($B117="N/A","",IF(INDEX(Equipment_Utility_Decision,MATCH($B117,equipment_ID,0))='4.2-Settings Internal'!$B$32,INDEX(Equipment_Utility_Water,MATCH($B117,equipment_ID,0)),""))</f>
        <v/>
      </c>
      <c r="H117" s="277" t="str">
        <f t="shared" si="54"/>
        <v/>
      </c>
      <c r="I117" s="137" t="str">
        <f>IF($B117="N/A","",IF(INDEX(Equipment_Utility_Decision,MATCH($B117,equipment_ID,0))='4.2-Settings Internal'!$B$32,INDEX(Equipment_Utility_Electricity,MATCH($B117,equipment_ID,0)),""))</f>
        <v/>
      </c>
      <c r="J117" s="277" t="str">
        <f t="shared" si="55"/>
        <v/>
      </c>
      <c r="K117" s="137" t="str">
        <f>IF($B117="N/A","",IF(INDEX(Equipment_Utility_Decision,MATCH($B117,equipment_ID,0))=INDEX(Yes_No_Choice[],1),INDEX(Equipment_Utility_Fuel,MATCH($B117,equipment_ID,0)),""))</f>
        <v/>
      </c>
      <c r="L117" s="277" t="str">
        <f t="shared" si="56"/>
        <v/>
      </c>
      <c r="M117" s="95" t="str">
        <f t="shared" si="57"/>
        <v/>
      </c>
      <c r="N117" s="277" t="str">
        <f t="shared" si="58"/>
        <v/>
      </c>
      <c r="O117" s="137" t="str">
        <f t="shared" si="59"/>
        <v/>
      </c>
    </row>
    <row r="118" spans="2:15">
      <c r="B118" s="76" t="str">
        <f t="array" ref="B118">IF(COUNTIFS(INDEX(Equipment_Allocation_New,0,MATCH($C$107,Unit_codes,0)),"&gt;0")&lt;ROWS('2.2-Equipment input'!$X$8:$X16),"N/A",INDEX('2.2-Equipment input'!B:B,SMALL(IF(INDEX(Equipment_Allocation_New,0,MATCH($C$107,Unit_codes,0))&gt;0,ROW(equipment_ID)),ROW('2.2-Equipment input'!B10))))</f>
        <v>N/A</v>
      </c>
      <c r="C118" s="76" t="str">
        <f>IF($B118="N/A","N/A",INDEX(Equipment_name[],MATCH(B118,equipment_ID,0)))</f>
        <v>N/A</v>
      </c>
      <c r="D118" s="277" t="str">
        <f t="shared" si="52"/>
        <v>N/A</v>
      </c>
      <c r="E118" s="94" t="str">
        <f t="shared" si="53"/>
        <v>N/A</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54"/>
        <v/>
      </c>
      <c r="I118" s="137" t="str">
        <f>IF($B118="N/A","",IF(INDEX(Equipment_Utility_Decision,MATCH($B118,equipment_ID,0))='4.2-Settings Internal'!$B$32,INDEX(Equipment_Utility_Electricity,MATCH($B118,equipment_ID,0)),""))</f>
        <v/>
      </c>
      <c r="J118" s="277" t="str">
        <f t="shared" si="55"/>
        <v/>
      </c>
      <c r="K118" s="137" t="str">
        <f>IF($B118="N/A","",IF(INDEX(Equipment_Utility_Decision,MATCH($B118,equipment_ID,0))=INDEX(Yes_No_Choice[],1),INDEX(Equipment_Utility_Fuel,MATCH($B118,equipment_ID,0)),""))</f>
        <v/>
      </c>
      <c r="L118" s="277" t="str">
        <f t="shared" si="56"/>
        <v/>
      </c>
      <c r="M118" s="95" t="str">
        <f t="shared" si="57"/>
        <v/>
      </c>
      <c r="N118" s="277" t="str">
        <f t="shared" si="58"/>
        <v/>
      </c>
      <c r="O118" s="137" t="str">
        <f t="shared" si="59"/>
        <v/>
      </c>
    </row>
    <row r="119" spans="2:15">
      <c r="B119" s="76" t="str">
        <f t="array" ref="B119">IF(COUNTIFS(INDEX(Equipment_Allocation_New,0,MATCH($C$107,Unit_codes,0)),"&gt;0")&lt;ROWS('2.2-Equipment input'!$X$8:$X17),"N/A",INDEX('2.2-Equipment input'!B:B,SMALL(IF(INDEX(Equipment_Allocation_New,0,MATCH($C$107,Unit_codes,0))&gt;0,ROW(equipment_ID)),ROW('2.2-Equipment input'!B11))))</f>
        <v>N/A</v>
      </c>
      <c r="C119" s="76" t="str">
        <f>IF($B119="N/A","N/A",INDEX(Equipment_name[],MATCH(B119,equipment_ID,0)))</f>
        <v>N/A</v>
      </c>
      <c r="D119" s="277" t="str">
        <f t="shared" si="52"/>
        <v>N/A</v>
      </c>
      <c r="E119" s="94" t="str">
        <f t="shared" si="53"/>
        <v>N/A</v>
      </c>
      <c r="F119" s="137" t="str">
        <f>IF($B119="N/A","",IF(INDEX(Equipment_Utility_Decision,MATCH($B119,equipment_ID,0))='4.2-Settings Internal'!$B$32,INDEX(Equipment_Utility_Run,MATCH($B119,equipment_ID,0)),""))</f>
        <v/>
      </c>
      <c r="G119" s="137" t="str">
        <f>IF($B119="N/A","",IF(INDEX(Equipment_Utility_Decision,MATCH($B119,equipment_ID,0))='4.2-Settings Internal'!$B$32,INDEX(Equipment_Utility_Water,MATCH($B119,equipment_ID,0)),""))</f>
        <v/>
      </c>
      <c r="H119" s="277" t="str">
        <f t="shared" si="54"/>
        <v/>
      </c>
      <c r="I119" s="137" t="str">
        <f>IF($B119="N/A","",IF(INDEX(Equipment_Utility_Decision,MATCH($B119,equipment_ID,0))='4.2-Settings Internal'!$B$32,INDEX(Equipment_Utility_Electricity,MATCH($B119,equipment_ID,0)),""))</f>
        <v/>
      </c>
      <c r="J119" s="277" t="str">
        <f t="shared" si="55"/>
        <v/>
      </c>
      <c r="K119" s="137" t="str">
        <f>IF($B119="N/A","",IF(INDEX(Equipment_Utility_Decision,MATCH($B119,equipment_ID,0))=INDEX(Yes_No_Choice[],1),INDEX(Equipment_Utility_Fuel,MATCH($B119,equipment_ID,0)),""))</f>
        <v/>
      </c>
      <c r="L119" s="277" t="str">
        <f t="shared" si="56"/>
        <v/>
      </c>
      <c r="M119" s="95" t="str">
        <f t="shared" si="57"/>
        <v/>
      </c>
      <c r="N119" s="277" t="str">
        <f t="shared" si="58"/>
        <v/>
      </c>
      <c r="O119" s="137" t="str">
        <f t="shared" si="59"/>
        <v/>
      </c>
    </row>
    <row r="120" spans="2:15">
      <c r="B120" s="76" t="str">
        <f t="array" ref="B120">IF(COUNTIFS(INDEX(Equipment_Allocation_New,0,MATCH($C$107,Unit_codes,0)),"&gt;0")&lt;ROWS('2.2-Equipment input'!$X$8:$X18),"N/A",INDEX('2.2-Equipment input'!B:B,SMALL(IF(INDEX(Equipment_Allocation_New,0,MATCH($C$107,Unit_codes,0))&gt;0,ROW(equipment_ID)),ROW('2.2-Equipment input'!B12))))</f>
        <v>N/A</v>
      </c>
      <c r="C120" s="76" t="str">
        <f>IF($B120="N/A","N/A",INDEX(Equipment_name[],MATCH(B120,equipment_ID,0)))</f>
        <v>N/A</v>
      </c>
      <c r="D120" s="277" t="str">
        <f t="shared" si="52"/>
        <v>N/A</v>
      </c>
      <c r="E120" s="94" t="str">
        <f t="shared" si="53"/>
        <v>N/A</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54"/>
        <v/>
      </c>
      <c r="I120" s="137" t="str">
        <f>IF($B120="N/A","",IF(INDEX(Equipment_Utility_Decision,MATCH($B120,equipment_ID,0))='4.2-Settings Internal'!$B$32,INDEX(Equipment_Utility_Electricity,MATCH($B120,equipment_ID,0)),""))</f>
        <v/>
      </c>
      <c r="J120" s="277" t="str">
        <f t="shared" si="55"/>
        <v/>
      </c>
      <c r="K120" s="137" t="str">
        <f>IF($B120="N/A","",IF(INDEX(Equipment_Utility_Decision,MATCH($B120,equipment_ID,0))=INDEX(Yes_No_Choice[],1),INDEX(Equipment_Utility_Fuel,MATCH($B120,equipment_ID,0)),""))</f>
        <v/>
      </c>
      <c r="L120" s="277" t="str">
        <f t="shared" si="56"/>
        <v/>
      </c>
      <c r="M120" s="95" t="str">
        <f t="shared" si="57"/>
        <v/>
      </c>
      <c r="N120" s="277" t="str">
        <f t="shared" si="58"/>
        <v/>
      </c>
      <c r="O120" s="137" t="str">
        <f t="shared" si="59"/>
        <v/>
      </c>
    </row>
    <row r="121" spans="2:15">
      <c r="B121" s="76" t="str">
        <f t="array" ref="B121">IF(COUNTIFS(INDEX(Equipment_Allocation_New,0,MATCH($C$107,Unit_codes,0)),"&gt;0")&lt;ROWS('2.2-Equipment input'!$X$8:$X19),"N/A",INDEX('2.2-Equipment input'!B:B,SMALL(IF(INDEX(Equipment_Allocation_New,0,MATCH($C$107,Unit_codes,0))&gt;0,ROW(equipment_ID)),ROW('2.2-Equipment input'!B13))))</f>
        <v>N/A</v>
      </c>
      <c r="C121" s="76" t="str">
        <f>IF($B121="N/A","N/A",INDEX(Equipment_name[],MATCH(B121,equipment_ID,0)))</f>
        <v>N/A</v>
      </c>
      <c r="D121" s="277" t="str">
        <f t="shared" si="52"/>
        <v>N/A</v>
      </c>
      <c r="E121" s="94" t="str">
        <f t="shared" si="53"/>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54"/>
        <v/>
      </c>
      <c r="I121" s="137" t="str">
        <f>IF($B121="N/A","",IF(INDEX(Equipment_Utility_Decision,MATCH($B121,equipment_ID,0))='4.2-Settings Internal'!$B$32,INDEX(Equipment_Utility_Electricity,MATCH($B121,equipment_ID,0)),""))</f>
        <v/>
      </c>
      <c r="J121" s="277" t="str">
        <f t="shared" si="55"/>
        <v/>
      </c>
      <c r="K121" s="137" t="str">
        <f>IF($B121="N/A","",IF(INDEX(Equipment_Utility_Decision,MATCH($B121,equipment_ID,0))=INDEX(Yes_No_Choice[],1),INDEX(Equipment_Utility_Fuel,MATCH($B121,equipment_ID,0)),""))</f>
        <v/>
      </c>
      <c r="L121" s="277" t="str">
        <f t="shared" si="56"/>
        <v/>
      </c>
      <c r="M121" s="95" t="str">
        <f t="shared" si="57"/>
        <v/>
      </c>
      <c r="N121" s="277" t="str">
        <f t="shared" si="58"/>
        <v/>
      </c>
      <c r="O121" s="137" t="str">
        <f t="shared" si="59"/>
        <v/>
      </c>
    </row>
    <row r="122" spans="2:15">
      <c r="B122" s="76" t="str">
        <f t="array" ref="B122">IF(COUNTIFS(INDEX(Equipment_Allocation_New,0,MATCH($C$107,Unit_codes,0)),"&gt;0")&lt;ROWS('2.2-Equipment input'!$X$8:$X20),"N/A",INDEX('2.2-Equipment input'!B:B,SMALL(IF(INDEX(Equipment_Allocation_New,0,MATCH($C$107,Unit_codes,0))&gt;0,ROW(equipment_ID)),ROW('2.2-Equipment input'!B14))))</f>
        <v>N/A</v>
      </c>
      <c r="C122" s="76" t="str">
        <f>IF($B122="N/A","N/A",INDEX(Equipment_name[],MATCH(B122,equipment_ID,0)))</f>
        <v>N/A</v>
      </c>
      <c r="D122" s="277" t="str">
        <f t="shared" si="52"/>
        <v>N/A</v>
      </c>
      <c r="E122" s="94" t="str">
        <f t="shared" si="53"/>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54"/>
        <v/>
      </c>
      <c r="I122" s="137" t="str">
        <f>IF($B122="N/A","",IF(INDEX(Equipment_Utility_Decision,MATCH($B122,equipment_ID,0))='4.2-Settings Internal'!$B$32,INDEX(Equipment_Utility_Electricity,MATCH($B122,equipment_ID,0)),""))</f>
        <v/>
      </c>
      <c r="J122" s="277" t="str">
        <f t="shared" si="55"/>
        <v/>
      </c>
      <c r="K122" s="137" t="str">
        <f>IF($B122="N/A","",IF(INDEX(Equipment_Utility_Decision,MATCH($B122,equipment_ID,0))=INDEX(Yes_No_Choice[],1),INDEX(Equipment_Utility_Fuel,MATCH($B122,equipment_ID,0)),""))</f>
        <v/>
      </c>
      <c r="L122" s="277" t="str">
        <f t="shared" si="56"/>
        <v/>
      </c>
      <c r="M122" s="95" t="str">
        <f t="shared" si="57"/>
        <v/>
      </c>
      <c r="N122" s="277" t="str">
        <f t="shared" si="58"/>
        <v/>
      </c>
      <c r="O122" s="137" t="str">
        <f t="shared" si="59"/>
        <v/>
      </c>
    </row>
    <row r="123" spans="2:15">
      <c r="B123" s="76" t="str">
        <f t="array" ref="B123">IF(COUNTIFS(INDEX(Equipment_Allocation_New,0,MATCH($C$107,Unit_codes,0)),"&gt;0")&lt;ROWS('2.2-Equipment input'!$X$8:$X21),"N/A",INDEX('2.2-Equipment input'!B:B,SMALL(IF(INDEX(Equipment_Allocation_New,0,MATCH($C$107,Unit_codes,0))&gt;0,ROW(equipment_ID)),ROW('2.2-Equipment input'!B15))))</f>
        <v>N/A</v>
      </c>
      <c r="C123" s="76" t="str">
        <f>IF($B123="N/A","N/A",INDEX(Equipment_name[],MATCH(B123,equipment_ID,0)))</f>
        <v>N/A</v>
      </c>
      <c r="D123" s="277" t="str">
        <f t="shared" si="52"/>
        <v>N/A</v>
      </c>
      <c r="E123" s="94" t="str">
        <f t="shared" si="53"/>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54"/>
        <v/>
      </c>
      <c r="I123" s="137" t="str">
        <f>IF($B123="N/A","",IF(INDEX(Equipment_Utility_Decision,MATCH($B123,equipment_ID,0))='4.2-Settings Internal'!$B$32,INDEX(Equipment_Utility_Electricity,MATCH($B123,equipment_ID,0)),""))</f>
        <v/>
      </c>
      <c r="J123" s="277" t="str">
        <f t="shared" si="55"/>
        <v/>
      </c>
      <c r="K123" s="137" t="str">
        <f>IF($B123="N/A","",IF(INDEX(Equipment_Utility_Decision,MATCH($B123,equipment_ID,0))=INDEX(Yes_No_Choice[],1),INDEX(Equipment_Utility_Fuel,MATCH($B123,equipment_ID,0)),""))</f>
        <v/>
      </c>
      <c r="L123" s="277" t="str">
        <f t="shared" si="56"/>
        <v/>
      </c>
      <c r="M123" s="95" t="str">
        <f t="shared" si="57"/>
        <v/>
      </c>
      <c r="N123" s="277" t="str">
        <f t="shared" si="58"/>
        <v/>
      </c>
      <c r="O123" s="137" t="str">
        <f t="shared" si="59"/>
        <v/>
      </c>
    </row>
    <row r="124" spans="2:15">
      <c r="B124" s="76" t="str">
        <f t="array" ref="B124">IF(COUNTIFS(INDEX(Equipment_Allocation_New,0,MATCH($C$107,Unit_codes,0)),"&gt;0")&lt;ROWS('2.2-Equipment input'!$X$8:$X22),"N/A",INDEX('2.2-Equipment input'!B:B,SMALL(IF(INDEX(Equipment_Allocation_New,0,MATCH($C$107,Unit_codes,0))&gt;0,ROW(equipment_ID)),ROW('2.2-Equipment input'!B16))))</f>
        <v>N/A</v>
      </c>
      <c r="C124" s="76" t="str">
        <f>IF($B124="N/A","N/A",INDEX(Equipment_name[],MATCH(B124,equipment_ID,0)))</f>
        <v>N/A</v>
      </c>
      <c r="D124" s="277" t="str">
        <f t="shared" si="52"/>
        <v>N/A</v>
      </c>
      <c r="E124" s="94" t="str">
        <f t="shared" si="53"/>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54"/>
        <v/>
      </c>
      <c r="I124" s="137" t="str">
        <f>IF($B124="N/A","",IF(INDEX(Equipment_Utility_Decision,MATCH($B124,equipment_ID,0))='4.2-Settings Internal'!$B$32,INDEX(Equipment_Utility_Electricity,MATCH($B124,equipment_ID,0)),""))</f>
        <v/>
      </c>
      <c r="J124" s="277" t="str">
        <f t="shared" si="55"/>
        <v/>
      </c>
      <c r="K124" s="137" t="str">
        <f>IF($B124="N/A","",IF(INDEX(Equipment_Utility_Decision,MATCH($B124,equipment_ID,0))=INDEX(Yes_No_Choice[],1),INDEX(Equipment_Utility_Fuel,MATCH($B124,equipment_ID,0)),""))</f>
        <v/>
      </c>
      <c r="L124" s="277" t="str">
        <f t="shared" si="56"/>
        <v/>
      </c>
      <c r="M124" s="95" t="str">
        <f t="shared" si="57"/>
        <v/>
      </c>
      <c r="N124" s="277" t="str">
        <f t="shared" si="58"/>
        <v/>
      </c>
      <c r="O124" s="137" t="str">
        <f t="shared" si="59"/>
        <v/>
      </c>
    </row>
    <row r="125" spans="2:15">
      <c r="B125" s="76" t="str">
        <f t="array" ref="B125">IF(COUNTIFS(INDEX(Equipment_Allocation_New,0,MATCH($C$107,Unit_codes,0)),"&gt;0")&lt;ROWS('2.2-Equipment input'!$X$8:$X23),"N/A",INDEX('2.2-Equipment input'!B:B,SMALL(IF(INDEX(Equipment_Allocation_New,0,MATCH($C$107,Unit_codes,0))&gt;0,ROW(equipment_ID)),ROW('2.2-Equipment input'!B17))))</f>
        <v>N/A</v>
      </c>
      <c r="C125" s="76" t="str">
        <f>IF($B125="N/A","N/A",INDEX(Equipment_name[],MATCH(B125,equipment_ID,0)))</f>
        <v>N/A</v>
      </c>
      <c r="D125" s="277" t="str">
        <f t="shared" si="52"/>
        <v>N/A</v>
      </c>
      <c r="E125" s="94" t="str">
        <f t="shared" si="53"/>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54"/>
        <v/>
      </c>
      <c r="I125" s="137" t="str">
        <f>IF($B125="N/A","",IF(INDEX(Equipment_Utility_Decision,MATCH($B125,equipment_ID,0))='4.2-Settings Internal'!$B$32,INDEX(Equipment_Utility_Electricity,MATCH($B125,equipment_ID,0)),""))</f>
        <v/>
      </c>
      <c r="J125" s="277" t="str">
        <f t="shared" si="55"/>
        <v/>
      </c>
      <c r="K125" s="137" t="str">
        <f>IF($B125="N/A","",IF(INDEX(Equipment_Utility_Decision,MATCH($B125,equipment_ID,0))=INDEX(Yes_No_Choice[],1),INDEX(Equipment_Utility_Fuel,MATCH($B125,equipment_ID,0)),""))</f>
        <v/>
      </c>
      <c r="L125" s="277" t="str">
        <f t="shared" si="56"/>
        <v/>
      </c>
      <c r="M125" s="95" t="str">
        <f t="shared" si="57"/>
        <v/>
      </c>
      <c r="N125" s="277" t="str">
        <f t="shared" si="58"/>
        <v/>
      </c>
      <c r="O125" s="137" t="str">
        <f t="shared" si="59"/>
        <v/>
      </c>
    </row>
    <row r="126" spans="2:15">
      <c r="B126" s="76" t="str">
        <f t="array" ref="B126">IF(COUNTIFS(INDEX(Equipment_Allocation_New,0,MATCH($C$107,Unit_codes,0)),"&gt;0")&lt;ROWS('2.2-Equipment input'!$X$8:$X24),"N/A",INDEX('2.2-Equipment input'!B:B,SMALL(IF(INDEX(Equipment_Allocation_New,0,MATCH($C$107,Unit_codes,0))&gt;0,ROW(equipment_ID)),ROW('2.2-Equipment input'!B18))))</f>
        <v>N/A</v>
      </c>
      <c r="C126" s="76" t="str">
        <f>IF($B126="N/A","N/A",INDEX(Equipment_name[],MATCH(B126,equipment_ID,0)))</f>
        <v>N/A</v>
      </c>
      <c r="D126" s="277" t="str">
        <f t="shared" si="52"/>
        <v>N/A</v>
      </c>
      <c r="E126" s="94" t="str">
        <f t="shared" si="53"/>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54"/>
        <v/>
      </c>
      <c r="I126" s="137" t="str">
        <f>IF($B126="N/A","",IF(INDEX(Equipment_Utility_Decision,MATCH($B126,equipment_ID,0))='4.2-Settings Internal'!$B$32,INDEX(Equipment_Utility_Electricity,MATCH($B126,equipment_ID,0)),""))</f>
        <v/>
      </c>
      <c r="J126" s="277" t="str">
        <f t="shared" si="55"/>
        <v/>
      </c>
      <c r="K126" s="137" t="str">
        <f>IF($B126="N/A","",IF(INDEX(Equipment_Utility_Decision,MATCH($B126,equipment_ID,0))=INDEX(Yes_No_Choice[],1),INDEX(Equipment_Utility_Fuel,MATCH($B126,equipment_ID,0)),""))</f>
        <v/>
      </c>
      <c r="L126" s="277" t="str">
        <f t="shared" si="56"/>
        <v/>
      </c>
      <c r="M126" s="95" t="str">
        <f t="shared" si="57"/>
        <v/>
      </c>
      <c r="N126" s="277" t="str">
        <f t="shared" si="58"/>
        <v/>
      </c>
      <c r="O126" s="137" t="str">
        <f t="shared" si="59"/>
        <v/>
      </c>
    </row>
    <row r="127" spans="2:15">
      <c r="B127" s="76" t="str">
        <f t="array" ref="B127">IF(COUNTIFS(INDEX(Equipment_Allocation_New,0,MATCH($C$107,Unit_codes,0)),"&gt;0")&lt;ROWS('2.2-Equipment input'!$X$8:$X25),"N/A",INDEX('2.2-Equipment input'!B:B,SMALL(IF(INDEX(Equipment_Allocation_New,0,MATCH($C$107,Unit_codes,0))&gt;0,ROW(equipment_ID)),ROW('2.2-Equipment input'!B19))))</f>
        <v>N/A</v>
      </c>
      <c r="C127" s="76" t="str">
        <f>IF($B127="N/A","N/A",INDEX(Equipment_name[],MATCH(B127,equipment_ID,0)))</f>
        <v>N/A</v>
      </c>
      <c r="D127" s="277" t="str">
        <f t="shared" si="52"/>
        <v>N/A</v>
      </c>
      <c r="E127" s="94" t="str">
        <f t="shared" si="53"/>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54"/>
        <v/>
      </c>
      <c r="I127" s="137" t="str">
        <f>IF($B127="N/A","",IF(INDEX(Equipment_Utility_Decision,MATCH($B127,equipment_ID,0))='4.2-Settings Internal'!$B$32,INDEX(Equipment_Utility_Electricity,MATCH($B127,equipment_ID,0)),""))</f>
        <v/>
      </c>
      <c r="J127" s="277" t="str">
        <f t="shared" si="55"/>
        <v/>
      </c>
      <c r="K127" s="137" t="str">
        <f>IF($B127="N/A","",IF(INDEX(Equipment_Utility_Decision,MATCH($B127,equipment_ID,0))=INDEX(Yes_No_Choice[],1),INDEX(Equipment_Utility_Fuel,MATCH($B127,equipment_ID,0)),""))</f>
        <v/>
      </c>
      <c r="L127" s="277" t="str">
        <f t="shared" si="56"/>
        <v/>
      </c>
      <c r="M127" s="95" t="str">
        <f t="shared" si="57"/>
        <v/>
      </c>
      <c r="N127" s="277" t="str">
        <f t="shared" si="58"/>
        <v/>
      </c>
      <c r="O127" s="137" t="str">
        <f t="shared" si="59"/>
        <v/>
      </c>
    </row>
    <row r="128" spans="2:15">
      <c r="B128" s="76" t="str">
        <f t="array" ref="B128">IF(COUNTIFS(INDEX(Equipment_Allocation_New,0,MATCH($C$107,Unit_codes,0)),"&gt;0")&lt;ROWS('2.2-Equipment input'!$X$8:$X26),"N/A",INDEX('2.2-Equipment input'!B:B,SMALL(IF(INDEX(Equipment_Allocation_New,0,MATCH($C$107,Unit_codes,0))&gt;0,ROW(equipment_ID)),ROW('2.2-Equipment input'!B20))))</f>
        <v>N/A</v>
      </c>
      <c r="C128" s="76" t="str">
        <f>IF($B128="N/A","N/A",INDEX(Equipment_name[],MATCH(B128,equipment_ID,0)))</f>
        <v>N/A</v>
      </c>
      <c r="D128" s="277" t="str">
        <f t="shared" si="52"/>
        <v>N/A</v>
      </c>
      <c r="E128" s="94" t="str">
        <f t="shared" si="53"/>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54"/>
        <v/>
      </c>
      <c r="I128" s="137" t="str">
        <f>IF($B128="N/A","",IF(INDEX(Equipment_Utility_Decision,MATCH($B128,equipment_ID,0))='4.2-Settings Internal'!$B$32,INDEX(Equipment_Utility_Electricity,MATCH($B128,equipment_ID,0)),""))</f>
        <v/>
      </c>
      <c r="J128" s="277" t="str">
        <f t="shared" si="55"/>
        <v/>
      </c>
      <c r="K128" s="137" t="str">
        <f>IF($B128="N/A","",IF(INDEX(Equipment_Utility_Decision,MATCH($B128,equipment_ID,0))=INDEX(Yes_No_Choice[],1),INDEX(Equipment_Utility_Fuel,MATCH($B128,equipment_ID,0)),""))</f>
        <v/>
      </c>
      <c r="L128" s="277" t="str">
        <f t="shared" si="56"/>
        <v/>
      </c>
      <c r="M128" s="95" t="str">
        <f t="shared" si="57"/>
        <v/>
      </c>
      <c r="N128" s="277" t="str">
        <f t="shared" si="58"/>
        <v/>
      </c>
      <c r="O128" s="137" t="str">
        <f t="shared" si="59"/>
        <v/>
      </c>
    </row>
    <row r="129" spans="2:15">
      <c r="B129" s="76" t="str">
        <f t="array" ref="B129">IF(COUNTIFS(INDEX(Equipment_Allocation_New,0,MATCH($C$107,Unit_codes,0)),"&gt;0")&lt;ROWS('2.2-Equipment input'!$X$8:$X27),"N/A",INDEX('2.2-Equipment input'!B:B,SMALL(IF(INDEX(Equipment_Allocation_New,0,MATCH($C$107,Unit_codes,0))&gt;0,ROW(equipment_ID)),ROW('2.2-Equipment input'!B21))))</f>
        <v>N/A</v>
      </c>
      <c r="C129" s="76" t="str">
        <f>IF($B129="N/A","N/A",INDEX(Equipment_name[],MATCH(B129,equipment_ID,0)))</f>
        <v>N/A</v>
      </c>
      <c r="D129" s="277" t="str">
        <f t="shared" si="52"/>
        <v>N/A</v>
      </c>
      <c r="E129" s="94" t="str">
        <f t="shared" si="53"/>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54"/>
        <v/>
      </c>
      <c r="I129" s="137" t="str">
        <f>IF($B129="N/A","",IF(INDEX(Equipment_Utility_Decision,MATCH($B129,equipment_ID,0))='4.2-Settings Internal'!$B$32,INDEX(Equipment_Utility_Electricity,MATCH($B129,equipment_ID,0)),""))</f>
        <v/>
      </c>
      <c r="J129" s="277" t="str">
        <f t="shared" si="55"/>
        <v/>
      </c>
      <c r="K129" s="137" t="str">
        <f>IF($B129="N/A","",IF(INDEX(Equipment_Utility_Decision,MATCH($B129,equipment_ID,0))=INDEX(Yes_No_Choice[],1),INDEX(Equipment_Utility_Fuel,MATCH($B129,equipment_ID,0)),""))</f>
        <v/>
      </c>
      <c r="L129" s="277" t="str">
        <f t="shared" si="56"/>
        <v/>
      </c>
      <c r="M129" s="95" t="str">
        <f t="shared" si="57"/>
        <v/>
      </c>
      <c r="N129" s="277" t="str">
        <f t="shared" si="58"/>
        <v/>
      </c>
      <c r="O129" s="137" t="str">
        <f t="shared" si="59"/>
        <v/>
      </c>
    </row>
    <row r="130" spans="2:15">
      <c r="B130" s="76" t="str">
        <f t="array" ref="B130">IF(COUNTIFS(INDEX(Equipment_Allocation_New,0,MATCH($C$107,Unit_codes,0)),"&gt;0")&lt;ROWS('2.2-Equipment input'!$X$8:$X28),"N/A",INDEX('2.2-Equipment input'!B:B,SMALL(IF(INDEX(Equipment_Allocation_New,0,MATCH($C$107,Unit_codes,0))&gt;0,ROW(equipment_ID)),ROW('2.2-Equipment input'!B22))))</f>
        <v>N/A</v>
      </c>
      <c r="C130" s="76" t="str">
        <f>IF($B130="N/A","N/A",INDEX(Equipment_name[],MATCH(B130,equipment_ID,0)))</f>
        <v>N/A</v>
      </c>
      <c r="D130" s="277" t="str">
        <f t="shared" si="52"/>
        <v>N/A</v>
      </c>
      <c r="E130" s="94" t="str">
        <f t="shared" si="53"/>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54"/>
        <v/>
      </c>
      <c r="I130" s="137" t="str">
        <f>IF($B130="N/A","",IF(INDEX(Equipment_Utility_Decision,MATCH($B130,equipment_ID,0))='4.2-Settings Internal'!$B$32,INDEX(Equipment_Utility_Electricity,MATCH($B130,equipment_ID,0)),""))</f>
        <v/>
      </c>
      <c r="J130" s="277" t="str">
        <f t="shared" si="55"/>
        <v/>
      </c>
      <c r="K130" s="137" t="str">
        <f>IF($B130="N/A","",IF(INDEX(Equipment_Utility_Decision,MATCH($B130,equipment_ID,0))=INDEX(Yes_No_Choice[],1),INDEX(Equipment_Utility_Fuel,MATCH($B130,equipment_ID,0)),""))</f>
        <v/>
      </c>
      <c r="L130" s="277" t="str">
        <f t="shared" si="56"/>
        <v/>
      </c>
      <c r="M130" s="95" t="str">
        <f t="shared" si="57"/>
        <v/>
      </c>
      <c r="N130" s="277" t="str">
        <f t="shared" si="58"/>
        <v/>
      </c>
      <c r="O130" s="137" t="str">
        <f t="shared" si="59"/>
        <v/>
      </c>
    </row>
    <row r="131" spans="2:15">
      <c r="B131" s="76" t="str">
        <f t="array" ref="B131">IF(COUNTIFS(INDEX(Equipment_Allocation_New,0,MATCH($C$107,Unit_codes,0)),"&gt;0")&lt;ROWS('2.2-Equipment input'!$X$8:$X29),"N/A",INDEX('2.2-Equipment input'!B:B,SMALL(IF(INDEX(Equipment_Allocation_New,0,MATCH($C$107,Unit_codes,0))&gt;0,ROW(equipment_ID)),ROW('2.2-Equipment input'!B23))))</f>
        <v>N/A</v>
      </c>
      <c r="C131" s="76" t="str">
        <f>IF($B131="N/A","N/A",INDEX(Equipment_name[],MATCH(B131,equipment_ID,0)))</f>
        <v>N/A</v>
      </c>
      <c r="D131" s="277" t="str">
        <f t="shared" si="52"/>
        <v>N/A</v>
      </c>
      <c r="E131" s="94" t="str">
        <f t="shared" si="53"/>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54"/>
        <v/>
      </c>
      <c r="I131" s="137" t="str">
        <f>IF($B131="N/A","",IF(INDEX(Equipment_Utility_Decision,MATCH($B131,equipment_ID,0))='4.2-Settings Internal'!$B$32,INDEX(Equipment_Utility_Electricity,MATCH($B131,equipment_ID,0)),""))</f>
        <v/>
      </c>
      <c r="J131" s="277" t="str">
        <f t="shared" si="55"/>
        <v/>
      </c>
      <c r="K131" s="137" t="str">
        <f>IF($B131="N/A","",IF(INDEX(Equipment_Utility_Decision,MATCH($B131,equipment_ID,0))=INDEX(Yes_No_Choice[],1),INDEX(Equipment_Utility_Fuel,MATCH($B131,equipment_ID,0)),""))</f>
        <v/>
      </c>
      <c r="L131" s="277" t="str">
        <f t="shared" si="56"/>
        <v/>
      </c>
      <c r="M131" s="95" t="str">
        <f t="shared" si="57"/>
        <v/>
      </c>
      <c r="N131" s="277" t="str">
        <f t="shared" si="58"/>
        <v/>
      </c>
      <c r="O131" s="137" t="str">
        <f t="shared" si="59"/>
        <v/>
      </c>
    </row>
    <row r="132" spans="2:15">
      <c r="B132" s="76" t="str">
        <f t="array" ref="B132">IF(COUNTIFS(INDEX(Equipment_Allocation_New,0,MATCH($C$107,Unit_codes,0)),"&gt;0")&lt;ROWS('2.2-Equipment input'!$X$8:$X30),"N/A",INDEX('2.2-Equipment input'!B:B,SMALL(IF(INDEX(Equipment_Allocation_New,0,MATCH($C$107,Unit_codes,0))&gt;0,ROW(equipment_ID)),ROW('2.2-Equipment input'!B24))))</f>
        <v>N/A</v>
      </c>
      <c r="C132" s="76" t="str">
        <f>IF($B132="N/A","N/A",INDEX(Equipment_name[],MATCH(B132,equipment_ID,0)))</f>
        <v>N/A</v>
      </c>
      <c r="D132" s="277" t="str">
        <f t="shared" si="52"/>
        <v>N/A</v>
      </c>
      <c r="E132" s="94" t="str">
        <f t="shared" si="53"/>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54"/>
        <v/>
      </c>
      <c r="I132" s="137" t="str">
        <f>IF($B132="N/A","",IF(INDEX(Equipment_Utility_Decision,MATCH($B132,equipment_ID,0))='4.2-Settings Internal'!$B$32,INDEX(Equipment_Utility_Electricity,MATCH($B132,equipment_ID,0)),""))</f>
        <v/>
      </c>
      <c r="J132" s="277" t="str">
        <f t="shared" si="55"/>
        <v/>
      </c>
      <c r="K132" s="137" t="str">
        <f>IF($B132="N/A","",IF(INDEX(Equipment_Utility_Decision,MATCH($B132,equipment_ID,0))=INDEX(Yes_No_Choice[],1),INDEX(Equipment_Utility_Fuel,MATCH($B132,equipment_ID,0)),""))</f>
        <v/>
      </c>
      <c r="L132" s="277" t="str">
        <f t="shared" si="56"/>
        <v/>
      </c>
      <c r="M132" s="95" t="str">
        <f t="shared" si="57"/>
        <v/>
      </c>
      <c r="N132" s="277" t="str">
        <f t="shared" si="58"/>
        <v/>
      </c>
      <c r="O132" s="137" t="str">
        <f t="shared" si="59"/>
        <v/>
      </c>
    </row>
    <row r="133" spans="2:15">
      <c r="B133" s="76" t="str">
        <f t="array" ref="B133">IF(COUNTIFS(INDEX(Equipment_Allocation_New,0,MATCH($C$107,Unit_codes,0)),"&gt;0")&lt;ROWS('2.2-Equipment input'!$X$8:$X31),"N/A",INDEX('2.2-Equipment input'!B:B,SMALL(IF(INDEX(Equipment_Allocation_New,0,MATCH($C$107,Unit_codes,0))&gt;0,ROW(equipment_ID)),ROW('2.2-Equipment input'!B25))))</f>
        <v>N/A</v>
      </c>
      <c r="C133" s="76" t="str">
        <f>IF($B133="N/A","N/A",INDEX(Equipment_name[],MATCH(B133,equipment_ID,0)))</f>
        <v>N/A</v>
      </c>
      <c r="D133" s="277" t="str">
        <f t="shared" si="52"/>
        <v>N/A</v>
      </c>
      <c r="E133" s="94" t="str">
        <f t="shared" si="53"/>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54"/>
        <v/>
      </c>
      <c r="I133" s="137" t="str">
        <f>IF($B133="N/A","",IF(INDEX(Equipment_Utility_Decision,MATCH($B133,equipment_ID,0))='4.2-Settings Internal'!$B$32,INDEX(Equipment_Utility_Electricity,MATCH($B133,equipment_ID,0)),""))</f>
        <v/>
      </c>
      <c r="J133" s="277" t="str">
        <f t="shared" si="55"/>
        <v/>
      </c>
      <c r="K133" s="137" t="str">
        <f>IF($B133="N/A","",IF(INDEX(Equipment_Utility_Decision,MATCH($B133,equipment_ID,0))=INDEX(Yes_No_Choice[],1),INDEX(Equipment_Utility_Fuel,MATCH($B133,equipment_ID,0)),""))</f>
        <v/>
      </c>
      <c r="L133" s="277" t="str">
        <f t="shared" si="56"/>
        <v/>
      </c>
      <c r="M133" s="95" t="str">
        <f t="shared" si="57"/>
        <v/>
      </c>
      <c r="N133" s="277" t="str">
        <f t="shared" si="58"/>
        <v/>
      </c>
      <c r="O133" s="137" t="str">
        <f t="shared" si="59"/>
        <v/>
      </c>
    </row>
    <row r="134" spans="2:15">
      <c r="B134" s="76" t="str">
        <f t="array" ref="B134">IF(COUNTIFS(INDEX(Equipment_Allocation_New,0,MATCH($C$107,Unit_codes,0)),"&gt;0")&lt;ROWS('2.2-Equipment input'!$X$8:$X32),"N/A",INDEX('2.2-Equipment input'!B:B,SMALL(IF(INDEX(Equipment_Allocation_New,0,MATCH($C$107,Unit_codes,0))&gt;0,ROW(equipment_ID)),ROW('2.2-Equipment input'!B26))))</f>
        <v>N/A</v>
      </c>
      <c r="C134" s="76" t="str">
        <f>IF($B134="N/A","N/A",INDEX(Equipment_name[],MATCH(B134,equipment_ID,0)))</f>
        <v>N/A</v>
      </c>
      <c r="D134" s="277" t="str">
        <f t="shared" si="52"/>
        <v>N/A</v>
      </c>
      <c r="E134" s="94" t="str">
        <f t="shared" si="53"/>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54"/>
        <v/>
      </c>
      <c r="I134" s="137" t="str">
        <f>IF($B134="N/A","",IF(INDEX(Equipment_Utility_Decision,MATCH($B134,equipment_ID,0))='4.2-Settings Internal'!$B$32,INDEX(Equipment_Utility_Electricity,MATCH($B134,equipment_ID,0)),""))</f>
        <v/>
      </c>
      <c r="J134" s="277" t="str">
        <f t="shared" si="55"/>
        <v/>
      </c>
      <c r="K134" s="137" t="str">
        <f>IF($B134="N/A","",IF(INDEX(Equipment_Utility_Decision,MATCH($B134,equipment_ID,0))=INDEX(Yes_No_Choice[],1),INDEX(Equipment_Utility_Fuel,MATCH($B134,equipment_ID,0)),""))</f>
        <v/>
      </c>
      <c r="L134" s="277" t="str">
        <f t="shared" si="56"/>
        <v/>
      </c>
      <c r="M134" s="95" t="str">
        <f t="shared" si="57"/>
        <v/>
      </c>
      <c r="N134" s="277" t="str">
        <f t="shared" si="58"/>
        <v/>
      </c>
      <c r="O134" s="137" t="str">
        <f t="shared" si="59"/>
        <v/>
      </c>
    </row>
    <row r="135" spans="2:15">
      <c r="B135" s="76" t="str">
        <f t="array" ref="B135">IF(COUNTIFS(INDEX(Equipment_Allocation_New,0,MATCH($C$107,Unit_codes,0)),"&gt;0")&lt;ROWS('2.2-Equipment input'!$X$8:$X33),"N/A",INDEX('2.2-Equipment input'!B:B,SMALL(IF(INDEX(Equipment_Allocation_New,0,MATCH($C$107,Unit_codes,0))&gt;0,ROW(equipment_ID)),ROW('2.2-Equipment input'!B27))))</f>
        <v>N/A</v>
      </c>
      <c r="C135" s="76" t="str">
        <f>IF($B135="N/A","N/A",INDEX(Equipment_name[],MATCH(B135,equipment_ID,0)))</f>
        <v>N/A</v>
      </c>
      <c r="D135" s="277" t="str">
        <f t="shared" si="52"/>
        <v>N/A</v>
      </c>
      <c r="E135" s="94" t="str">
        <f t="shared" si="53"/>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54"/>
        <v/>
      </c>
      <c r="I135" s="137" t="str">
        <f>IF($B135="N/A","",IF(INDEX(Equipment_Utility_Decision,MATCH($B135,equipment_ID,0))='4.2-Settings Internal'!$B$32,INDEX(Equipment_Utility_Electricity,MATCH($B135,equipment_ID,0)),""))</f>
        <v/>
      </c>
      <c r="J135" s="277" t="str">
        <f t="shared" si="55"/>
        <v/>
      </c>
      <c r="K135" s="137" t="str">
        <f>IF($B135="N/A","",IF(INDEX(Equipment_Utility_Decision,MATCH($B135,equipment_ID,0))=INDEX(Yes_No_Choice[],1),INDEX(Equipment_Utility_Fuel,MATCH($B135,equipment_ID,0)),""))</f>
        <v/>
      </c>
      <c r="L135" s="277" t="str">
        <f t="shared" si="56"/>
        <v/>
      </c>
      <c r="M135" s="95" t="str">
        <f t="shared" si="57"/>
        <v/>
      </c>
      <c r="N135" s="277" t="str">
        <f t="shared" si="58"/>
        <v/>
      </c>
      <c r="O135" s="137" t="str">
        <f t="shared" si="59"/>
        <v/>
      </c>
    </row>
    <row r="136" spans="2:15">
      <c r="B136" s="76" t="str">
        <f t="array" ref="B136">IF(COUNTIFS(INDEX(Equipment_Allocation_New,0,MATCH($C$107,Unit_codes,0)),"&gt;0")&lt;ROWS('2.2-Equipment input'!$X$8:$X34),"N/A",INDEX('2.2-Equipment input'!B:B,SMALL(IF(INDEX(Equipment_Allocation_New,0,MATCH($C$107,Unit_codes,0))&gt;0,ROW(equipment_ID)),ROW('2.2-Equipment input'!B28))))</f>
        <v>N/A</v>
      </c>
      <c r="C136" s="76" t="str">
        <f>IF($B136="N/A","N/A",INDEX(Equipment_name[],MATCH(B136,equipment_ID,0)))</f>
        <v>N/A</v>
      </c>
      <c r="D136" s="277" t="str">
        <f t="shared" si="52"/>
        <v>N/A</v>
      </c>
      <c r="E136" s="94" t="str">
        <f t="shared" si="53"/>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54"/>
        <v/>
      </c>
      <c r="I136" s="137" t="str">
        <f>IF($B136="N/A","",IF(INDEX(Equipment_Utility_Decision,MATCH($B136,equipment_ID,0))='4.2-Settings Internal'!$B$32,INDEX(Equipment_Utility_Electricity,MATCH($B136,equipment_ID,0)),""))</f>
        <v/>
      </c>
      <c r="J136" s="277" t="str">
        <f t="shared" si="55"/>
        <v/>
      </c>
      <c r="K136" s="137" t="str">
        <f>IF($B136="N/A","",IF(INDEX(Equipment_Utility_Decision,MATCH($B136,equipment_ID,0))=INDEX(Yes_No_Choice[],1),INDEX(Equipment_Utility_Fuel,MATCH($B136,equipment_ID,0)),""))</f>
        <v/>
      </c>
      <c r="L136" s="277" t="str">
        <f t="shared" si="56"/>
        <v/>
      </c>
      <c r="M136" s="95" t="str">
        <f t="shared" si="57"/>
        <v/>
      </c>
      <c r="N136" s="277" t="str">
        <f t="shared" si="58"/>
        <v/>
      </c>
      <c r="O136" s="137" t="str">
        <f t="shared" si="59"/>
        <v/>
      </c>
    </row>
    <row r="137" spans="2:15">
      <c r="B137" s="76" t="str">
        <f t="array" ref="B137">IF(COUNTIFS(INDEX(Equipment_Allocation_New,0,MATCH($C$107,Unit_codes,0)),"&gt;0")&lt;ROWS('2.2-Equipment input'!$X$8:$X35),"N/A",INDEX('2.2-Equipment input'!B:B,SMALL(IF(INDEX(Equipment_Allocation_New,0,MATCH($C$107,Unit_codes,0))&gt;0,ROW(equipment_ID)),ROW('2.2-Equipment input'!B29))))</f>
        <v>N/A</v>
      </c>
      <c r="C137" s="76" t="str">
        <f>IF($B137="N/A","N/A",INDEX(Equipment_name[],MATCH(B137,equipment_ID,0)))</f>
        <v>N/A</v>
      </c>
      <c r="D137" s="277" t="str">
        <f t="shared" si="52"/>
        <v>N/A</v>
      </c>
      <c r="E137" s="94" t="str">
        <f t="shared" si="53"/>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54"/>
        <v/>
      </c>
      <c r="I137" s="137" t="str">
        <f>IF($B137="N/A","",IF(INDEX(Equipment_Utility_Decision,MATCH($B137,equipment_ID,0))='4.2-Settings Internal'!$B$32,INDEX(Equipment_Utility_Electricity,MATCH($B137,equipment_ID,0)),""))</f>
        <v/>
      </c>
      <c r="J137" s="277" t="str">
        <f t="shared" si="55"/>
        <v/>
      </c>
      <c r="K137" s="137" t="str">
        <f>IF($B137="N/A","",IF(INDEX(Equipment_Utility_Decision,MATCH($B137,equipment_ID,0))=INDEX(Yes_No_Choice[],1),INDEX(Equipment_Utility_Fuel,MATCH($B137,equipment_ID,0)),""))</f>
        <v/>
      </c>
      <c r="L137" s="277" t="str">
        <f t="shared" si="56"/>
        <v/>
      </c>
      <c r="M137" s="95" t="str">
        <f t="shared" si="57"/>
        <v/>
      </c>
      <c r="N137" s="277" t="str">
        <f t="shared" si="58"/>
        <v/>
      </c>
      <c r="O137" s="137" t="str">
        <f t="shared" si="59"/>
        <v/>
      </c>
    </row>
    <row r="138" spans="2:15">
      <c r="B138" s="76" t="str">
        <f t="array" ref="B138">IF(COUNTIFS(INDEX(Equipment_Allocation_New,0,MATCH($C$107,Unit_codes,0)),"&gt;0")&lt;ROWS('2.2-Equipment input'!$X$8:$X36),"N/A",INDEX('2.2-Equipment input'!B:B,SMALL(IF(INDEX(Equipment_Allocation_New,0,MATCH($C$107,Unit_codes,0))&gt;0,ROW(equipment_ID)),ROW('2.2-Equipment input'!B30))))</f>
        <v>N/A</v>
      </c>
      <c r="C138" s="76" t="str">
        <f>IF($B138="N/A","N/A",INDEX(Equipment_name[],MATCH(B138,equipment_ID,0)))</f>
        <v>N/A</v>
      </c>
      <c r="D138" s="277" t="str">
        <f t="shared" si="52"/>
        <v>N/A</v>
      </c>
      <c r="E138" s="94" t="str">
        <f t="shared" si="53"/>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54"/>
        <v/>
      </c>
      <c r="I138" s="137" t="str">
        <f>IF($B138="N/A","",IF(INDEX(Equipment_Utility_Decision,MATCH($B138,equipment_ID,0))='4.2-Settings Internal'!$B$32,INDEX(Equipment_Utility_Electricity,MATCH($B138,equipment_ID,0)),""))</f>
        <v/>
      </c>
      <c r="J138" s="277" t="str">
        <f t="shared" si="55"/>
        <v/>
      </c>
      <c r="K138" s="137" t="str">
        <f>IF($B138="N/A","",IF(INDEX(Equipment_Utility_Decision,MATCH($B138,equipment_ID,0))=INDEX(Yes_No_Choice[],1),INDEX(Equipment_Utility_Fuel,MATCH($B138,equipment_ID,0)),""))</f>
        <v/>
      </c>
      <c r="L138" s="277" t="str">
        <f t="shared" si="56"/>
        <v/>
      </c>
      <c r="M138" s="95" t="str">
        <f t="shared" si="57"/>
        <v/>
      </c>
      <c r="N138" s="277" t="str">
        <f t="shared" si="58"/>
        <v/>
      </c>
      <c r="O138" s="137" t="str">
        <f t="shared" si="59"/>
        <v/>
      </c>
    </row>
    <row r="139" spans="2:15">
      <c r="B139" s="76" t="str">
        <f t="array" ref="B139">IF(COUNTIFS(INDEX(Equipment_Allocation_New,0,MATCH($C$107,Unit_codes,0)),"&gt;0")&lt;ROWS('2.2-Equipment input'!$X$8:$X37),"N/A",INDEX('2.2-Equipment input'!B:B,SMALL(IF(INDEX(Equipment_Allocation_New,0,MATCH($C$107,Unit_codes,0))&gt;0,ROW(equipment_ID)),ROW('2.2-Equipment input'!B31))))</f>
        <v>N/A</v>
      </c>
      <c r="C139" s="76" t="str">
        <f>IF($B139="N/A","N/A",INDEX(Equipment_name[],MATCH(B139,equipment_ID,0)))</f>
        <v>N/A</v>
      </c>
      <c r="D139" s="277" t="str">
        <f t="shared" si="52"/>
        <v>N/A</v>
      </c>
      <c r="E139" s="94" t="str">
        <f t="shared" si="53"/>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54"/>
        <v/>
      </c>
      <c r="I139" s="137" t="str">
        <f>IF($B139="N/A","",IF(INDEX(Equipment_Utility_Decision,MATCH($B139,equipment_ID,0))='4.2-Settings Internal'!$B$32,INDEX(Equipment_Utility_Electricity,MATCH($B139,equipment_ID,0)),""))</f>
        <v/>
      </c>
      <c r="J139" s="277" t="str">
        <f t="shared" si="55"/>
        <v/>
      </c>
      <c r="K139" s="137" t="str">
        <f>IF($B139="N/A","",IF(INDEX(Equipment_Utility_Decision,MATCH($B139,equipment_ID,0))=INDEX(Yes_No_Choice[],1),INDEX(Equipment_Utility_Fuel,MATCH($B139,equipment_ID,0)),""))</f>
        <v/>
      </c>
      <c r="L139" s="277" t="str">
        <f t="shared" si="56"/>
        <v/>
      </c>
      <c r="M139" s="95" t="str">
        <f t="shared" si="57"/>
        <v/>
      </c>
      <c r="N139" s="277" t="str">
        <f t="shared" si="58"/>
        <v/>
      </c>
      <c r="O139" s="137" t="str">
        <f t="shared" si="59"/>
        <v/>
      </c>
    </row>
    <row r="140" spans="2:15">
      <c r="B140" s="76" t="str">
        <f t="array" ref="B140">IF(COUNTIFS(INDEX(Equipment_Allocation_New,0,MATCH($C$107,Unit_codes,0)),"&gt;0")&lt;ROWS('2.2-Equipment input'!$X$8:$X38),"N/A",INDEX('2.2-Equipment input'!B:B,SMALL(IF(INDEX(Equipment_Allocation_New,0,MATCH($C$107,Unit_codes,0))&gt;0,ROW(equipment_ID)),ROW('2.2-Equipment input'!B32))))</f>
        <v>N/A</v>
      </c>
      <c r="C140" s="76" t="str">
        <f>IF($B140="N/A","N/A",INDEX(Equipment_name[],MATCH(B140,equipment_ID,0)))</f>
        <v>N/A</v>
      </c>
      <c r="D140" s="277" t="str">
        <f t="shared" si="52"/>
        <v>N/A</v>
      </c>
      <c r="E140" s="94" t="str">
        <f t="shared" si="53"/>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54"/>
        <v/>
      </c>
      <c r="I140" s="137" t="str">
        <f>IF($B140="N/A","",IF(INDEX(Equipment_Utility_Decision,MATCH($B140,equipment_ID,0))='4.2-Settings Internal'!$B$32,INDEX(Equipment_Utility_Electricity,MATCH($B140,equipment_ID,0)),""))</f>
        <v/>
      </c>
      <c r="J140" s="277" t="str">
        <f t="shared" si="55"/>
        <v/>
      </c>
      <c r="K140" s="137" t="str">
        <f>IF($B140="N/A","",IF(INDEX(Equipment_Utility_Decision,MATCH($B140,equipment_ID,0))=INDEX(Yes_No_Choice[],1),INDEX(Equipment_Utility_Fuel,MATCH($B140,equipment_ID,0)),""))</f>
        <v/>
      </c>
      <c r="L140" s="277" t="str">
        <f t="shared" si="56"/>
        <v/>
      </c>
      <c r="M140" s="95" t="str">
        <f t="shared" si="57"/>
        <v/>
      </c>
      <c r="N140" s="277" t="str">
        <f t="shared" si="58"/>
        <v/>
      </c>
      <c r="O140" s="137" t="str">
        <f t="shared" si="59"/>
        <v/>
      </c>
    </row>
    <row r="141" spans="2:15">
      <c r="B141" s="76" t="str">
        <f t="array" ref="B141">IF(COUNTIFS(INDEX(Equipment_Allocation_New,0,MATCH($C$107,Unit_codes,0)),"&gt;0")&lt;ROWS('2.2-Equipment input'!$X$8:$X39),"N/A",INDEX('2.2-Equipment input'!B:B,SMALL(IF(INDEX(Equipment_Allocation_New,0,MATCH($C$107,Unit_codes,0))&gt;0,ROW(equipment_ID)),ROW('2.2-Equipment input'!B33))))</f>
        <v>N/A</v>
      </c>
      <c r="C141" s="76" t="str">
        <f>IF($B141="N/A","N/A",INDEX(Equipment_name[],MATCH(B141,equipment_ID,0)))</f>
        <v>N/A</v>
      </c>
      <c r="D141" s="277" t="str">
        <f t="shared" si="52"/>
        <v>N/A</v>
      </c>
      <c r="E141" s="94" t="str">
        <f t="shared" si="53"/>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54"/>
        <v/>
      </c>
      <c r="I141" s="137" t="str">
        <f>IF($B141="N/A","",IF(INDEX(Equipment_Utility_Decision,MATCH($B141,equipment_ID,0))='4.2-Settings Internal'!$B$32,INDEX(Equipment_Utility_Electricity,MATCH($B141,equipment_ID,0)),""))</f>
        <v/>
      </c>
      <c r="J141" s="277" t="str">
        <f t="shared" si="55"/>
        <v/>
      </c>
      <c r="K141" s="137" t="str">
        <f>IF($B141="N/A","",IF(INDEX(Equipment_Utility_Decision,MATCH($B141,equipment_ID,0))=INDEX(Yes_No_Choice[],1),INDEX(Equipment_Utility_Fuel,MATCH($B141,equipment_ID,0)),""))</f>
        <v/>
      </c>
      <c r="L141" s="277" t="str">
        <f t="shared" si="56"/>
        <v/>
      </c>
      <c r="M141" s="95" t="str">
        <f t="shared" si="57"/>
        <v/>
      </c>
      <c r="N141" s="277" t="str">
        <f t="shared" si="58"/>
        <v/>
      </c>
      <c r="O141" s="137" t="str">
        <f t="shared" si="59"/>
        <v/>
      </c>
    </row>
    <row r="142" spans="2:15">
      <c r="B142" s="76" t="str">
        <f t="array" ref="B142">IF(COUNTIFS(INDEX(Equipment_Allocation_New,0,MATCH($C$107,Unit_codes,0)),"&gt;0")&lt;ROWS('2.2-Equipment input'!$X$8:$X40),"N/A",INDEX('2.2-Equipment input'!B:B,SMALL(IF(INDEX(Equipment_Allocation_New,0,MATCH($C$107,Unit_codes,0))&gt;0,ROW(equipment_ID)),ROW('2.2-Equipment input'!B34))))</f>
        <v>N/A</v>
      </c>
      <c r="C142" s="76" t="str">
        <f>IF($B142="N/A","N/A",INDEX(Equipment_name[],MATCH(B142,equipment_ID,0)))</f>
        <v>N/A</v>
      </c>
      <c r="D142" s="277" t="str">
        <f t="shared" si="52"/>
        <v>N/A</v>
      </c>
      <c r="E142" s="94" t="str">
        <f t="shared" si="53"/>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54"/>
        <v/>
      </c>
      <c r="I142" s="137" t="str">
        <f>IF($B142="N/A","",IF(INDEX(Equipment_Utility_Decision,MATCH($B142,equipment_ID,0))='4.2-Settings Internal'!$B$32,INDEX(Equipment_Utility_Electricity,MATCH($B142,equipment_ID,0)),""))</f>
        <v/>
      </c>
      <c r="J142" s="277" t="str">
        <f t="shared" si="55"/>
        <v/>
      </c>
      <c r="K142" s="137" t="str">
        <f>IF($B142="N/A","",IF(INDEX(Equipment_Utility_Decision,MATCH($B142,equipment_ID,0))=INDEX(Yes_No_Choice[],1),INDEX(Equipment_Utility_Fuel,MATCH($B142,equipment_ID,0)),""))</f>
        <v/>
      </c>
      <c r="L142" s="277" t="str">
        <f t="shared" si="56"/>
        <v/>
      </c>
      <c r="M142" s="95" t="str">
        <f t="shared" si="57"/>
        <v/>
      </c>
      <c r="N142" s="277" t="str">
        <f t="shared" si="58"/>
        <v/>
      </c>
      <c r="O142" s="137" t="str">
        <f t="shared" si="59"/>
        <v/>
      </c>
    </row>
    <row r="143" spans="2:15">
      <c r="B143" s="76" t="str">
        <f t="array" ref="B143">IF(COUNTIFS(INDEX(Equipment_Allocation_New,0,MATCH($C$107,Unit_codes,0)),"&gt;0")&lt;ROWS('2.2-Equipment input'!$X$8:$X41),"N/A",INDEX('2.2-Equipment input'!B:B,SMALL(IF(INDEX(Equipment_Allocation_New,0,MATCH($C$107,Unit_codes,0))&gt;0,ROW(equipment_ID)),ROW('2.2-Equipment input'!B35))))</f>
        <v>N/A</v>
      </c>
      <c r="C143" s="76" t="str">
        <f>IF($B143="N/A","N/A",INDEX(Equipment_name[],MATCH(B143,equipment_ID,0)))</f>
        <v>N/A</v>
      </c>
      <c r="D143" s="277" t="str">
        <f t="shared" si="52"/>
        <v>N/A</v>
      </c>
      <c r="E143" s="94" t="str">
        <f t="shared" si="53"/>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54"/>
        <v/>
      </c>
      <c r="I143" s="137" t="str">
        <f>IF($B143="N/A","",IF(INDEX(Equipment_Utility_Decision,MATCH($B143,equipment_ID,0))='4.2-Settings Internal'!$B$32,INDEX(Equipment_Utility_Electricity,MATCH($B143,equipment_ID,0)),""))</f>
        <v/>
      </c>
      <c r="J143" s="277" t="str">
        <f t="shared" si="55"/>
        <v/>
      </c>
      <c r="K143" s="137" t="str">
        <f>IF($B143="N/A","",IF(INDEX(Equipment_Utility_Decision,MATCH($B143,equipment_ID,0))=INDEX(Yes_No_Choice[],1),INDEX(Equipment_Utility_Fuel,MATCH($B143,equipment_ID,0)),""))</f>
        <v/>
      </c>
      <c r="L143" s="277" t="str">
        <f t="shared" si="56"/>
        <v/>
      </c>
      <c r="M143" s="95" t="str">
        <f t="shared" si="57"/>
        <v/>
      </c>
      <c r="N143" s="277" t="str">
        <f t="shared" si="58"/>
        <v/>
      </c>
      <c r="O143" s="137" t="str">
        <f t="shared" si="59"/>
        <v/>
      </c>
    </row>
    <row r="144" spans="2:15">
      <c r="B144" s="76" t="str">
        <f t="array" ref="B144">IF(COUNTIFS(INDEX(Equipment_Allocation_New,0,MATCH($C$107,Unit_codes,0)),"&gt;0")&lt;ROWS('2.2-Equipment input'!$X$8:$X42),"N/A",INDEX('2.2-Equipment input'!B:B,SMALL(IF(INDEX(Equipment_Allocation_New,0,MATCH($C$107,Unit_codes,0))&gt;0,ROW(equipment_ID)),ROW('2.2-Equipment input'!B36))))</f>
        <v>N/A</v>
      </c>
      <c r="C144" s="76" t="str">
        <f>IF($B144="N/A","N/A",INDEX(Equipment_name[],MATCH(B144,equipment_ID,0)))</f>
        <v>N/A</v>
      </c>
      <c r="D144" s="277" t="str">
        <f t="shared" si="52"/>
        <v>N/A</v>
      </c>
      <c r="E144" s="94" t="str">
        <f t="shared" si="53"/>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54"/>
        <v/>
      </c>
      <c r="I144" s="137" t="str">
        <f>IF($B144="N/A","",IF(INDEX(Equipment_Utility_Decision,MATCH($B144,equipment_ID,0))='4.2-Settings Internal'!$B$32,INDEX(Equipment_Utility_Electricity,MATCH($B144,equipment_ID,0)),""))</f>
        <v/>
      </c>
      <c r="J144" s="277" t="str">
        <f t="shared" si="55"/>
        <v/>
      </c>
      <c r="K144" s="137" t="str">
        <f>IF($B144="N/A","",IF(INDEX(Equipment_Utility_Decision,MATCH($B144,equipment_ID,0))=INDEX(Yes_No_Choice[],1),INDEX(Equipment_Utility_Fuel,MATCH($B144,equipment_ID,0)),""))</f>
        <v/>
      </c>
      <c r="L144" s="277" t="str">
        <f t="shared" si="56"/>
        <v/>
      </c>
      <c r="M144" s="95" t="str">
        <f t="shared" si="57"/>
        <v/>
      </c>
      <c r="N144" s="277" t="str">
        <f t="shared" si="58"/>
        <v/>
      </c>
      <c r="O144" s="137" t="str">
        <f t="shared" si="59"/>
        <v/>
      </c>
    </row>
    <row r="145" spans="2:23">
      <c r="B145" s="76" t="str">
        <f t="array" ref="B145">IF(COUNTIFS(INDEX(Equipment_Allocation_New,0,MATCH($C$107,Unit_codes,0)),"&gt;0")&lt;ROWS('2.2-Equipment input'!$X$8:$X43),"N/A",INDEX('2.2-Equipment input'!B:B,SMALL(IF(INDEX(Equipment_Allocation_New,0,MATCH($C$107,Unit_codes,0))&gt;0,ROW(equipment_ID)),ROW('2.2-Equipment input'!B37))))</f>
        <v>N/A</v>
      </c>
      <c r="C145" s="76" t="str">
        <f>IF($B145="N/A","N/A",INDEX(Equipment_name[],MATCH(B145,equipment_ID,0)))</f>
        <v>N/A</v>
      </c>
      <c r="D145" s="277" t="str">
        <f t="shared" si="52"/>
        <v>N/A</v>
      </c>
      <c r="E145" s="94" t="str">
        <f t="shared" si="53"/>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54"/>
        <v/>
      </c>
      <c r="I145" s="137" t="str">
        <f>IF($B145="N/A","",IF(INDEX(Equipment_Utility_Decision,MATCH($B145,equipment_ID,0))='4.2-Settings Internal'!$B$32,INDEX(Equipment_Utility_Electricity,MATCH($B145,equipment_ID,0)),""))</f>
        <v/>
      </c>
      <c r="J145" s="277" t="str">
        <f t="shared" si="55"/>
        <v/>
      </c>
      <c r="K145" s="137" t="str">
        <f>IF($B145="N/A","",IF(INDEX(Equipment_Utility_Decision,MATCH($B145,equipment_ID,0))=INDEX(Yes_No_Choice[],1),INDEX(Equipment_Utility_Fuel,MATCH($B145,equipment_ID,0)),""))</f>
        <v/>
      </c>
      <c r="L145" s="277" t="str">
        <f t="shared" si="56"/>
        <v/>
      </c>
      <c r="M145" s="95" t="str">
        <f t="shared" si="57"/>
        <v/>
      </c>
      <c r="N145" s="277" t="str">
        <f t="shared" si="58"/>
        <v/>
      </c>
      <c r="O145" s="137" t="str">
        <f t="shared" si="59"/>
        <v/>
      </c>
    </row>
    <row r="146" spans="2:23">
      <c r="B146" s="76" t="str">
        <f t="array" ref="B146">IF(COUNTIFS(INDEX(Equipment_Allocation_New,0,MATCH($C$107,Unit_codes,0)),"&gt;0")&lt;ROWS('2.2-Equipment input'!$X$8:$X44),"N/A",INDEX('2.2-Equipment input'!B:B,SMALL(IF(INDEX(Equipment_Allocation_New,0,MATCH($C$107,Unit_codes,0))&gt;0,ROW(equipment_ID)),ROW('2.2-Equipment input'!B38))))</f>
        <v>N/A</v>
      </c>
      <c r="C146" s="76" t="str">
        <f>IF($B146="N/A","N/A",INDEX(Equipment_name[],MATCH(B146,equipment_ID,0)))</f>
        <v>N/A</v>
      </c>
      <c r="D146" s="277" t="str">
        <f t="shared" si="52"/>
        <v>N/A</v>
      </c>
      <c r="E146" s="94" t="str">
        <f t="shared" si="53"/>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54"/>
        <v/>
      </c>
      <c r="I146" s="137" t="str">
        <f>IF($B146="N/A","",IF(INDEX(Equipment_Utility_Decision,MATCH($B146,equipment_ID,0))='4.2-Settings Internal'!$B$32,INDEX(Equipment_Utility_Electricity,MATCH($B146,equipment_ID,0)),""))</f>
        <v/>
      </c>
      <c r="J146" s="277" t="str">
        <f t="shared" si="55"/>
        <v/>
      </c>
      <c r="K146" s="137" t="str">
        <f>IF($B146="N/A","",IF(INDEX(Equipment_Utility_Decision,MATCH($B146,equipment_ID,0))=INDEX(Yes_No_Choice[],1),INDEX(Equipment_Utility_Fuel,MATCH($B146,equipment_ID,0)),""))</f>
        <v/>
      </c>
      <c r="L146" s="277" t="str">
        <f t="shared" si="56"/>
        <v/>
      </c>
      <c r="M146" s="95" t="str">
        <f t="shared" si="57"/>
        <v/>
      </c>
      <c r="N146" s="277" t="str">
        <f t="shared" si="58"/>
        <v/>
      </c>
      <c r="O146" s="137" t="str">
        <f t="shared" si="59"/>
        <v/>
      </c>
    </row>
    <row r="147" spans="2:23">
      <c r="B147" s="76" t="str">
        <f t="array" ref="B147">IF(COUNTIFS(INDEX(Equipment_Allocation_New,0,MATCH($C$107,Unit_codes,0)),"&gt;0")&lt;ROWS('2.2-Equipment input'!$X$8:$X45),"N/A",INDEX('2.2-Equipment input'!B:B,SMALL(IF(INDEX(Equipment_Allocation_New,0,MATCH($C$107,Unit_codes,0))&gt;0,ROW(equipment_ID)),ROW('2.2-Equipment input'!B39))))</f>
        <v>N/A</v>
      </c>
      <c r="C147" s="76" t="str">
        <f>IF($B147="N/A","N/A",INDEX(Equipment_name[],MATCH(B147,equipment_ID,0)))</f>
        <v>N/A</v>
      </c>
      <c r="D147" s="277" t="str">
        <f t="shared" si="52"/>
        <v>N/A</v>
      </c>
      <c r="E147" s="94" t="str">
        <f t="shared" si="53"/>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54"/>
        <v/>
      </c>
      <c r="I147" s="137" t="str">
        <f>IF($B147="N/A","",IF(INDEX(Equipment_Utility_Decision,MATCH($B147,equipment_ID,0))='4.2-Settings Internal'!$B$32,INDEX(Equipment_Utility_Electricity,MATCH($B147,equipment_ID,0)),""))</f>
        <v/>
      </c>
      <c r="J147" s="277" t="str">
        <f t="shared" si="55"/>
        <v/>
      </c>
      <c r="K147" s="137" t="str">
        <f>IF($B147="N/A","",IF(INDEX(Equipment_Utility_Decision,MATCH($B147,equipment_ID,0))=INDEX(Yes_No_Choice[],1),INDEX(Equipment_Utility_Fuel,MATCH($B147,equipment_ID,0)),""))</f>
        <v/>
      </c>
      <c r="L147" s="277" t="str">
        <f t="shared" si="56"/>
        <v/>
      </c>
      <c r="M147" s="95" t="str">
        <f t="shared" si="57"/>
        <v/>
      </c>
      <c r="N147" s="277" t="str">
        <f t="shared" si="58"/>
        <v/>
      </c>
      <c r="O147" s="137" t="str">
        <f t="shared" si="59"/>
        <v/>
      </c>
    </row>
    <row r="148" spans="2:23" ht="33" customHeight="1"/>
    <row r="149" spans="2:23" ht="33" customHeight="1">
      <c r="G149" s="188" t="s">
        <v>620</v>
      </c>
      <c r="H149" s="288">
        <f>SUM(H152:H189)</f>
        <v>0</v>
      </c>
      <c r="I149" s="288">
        <f t="shared" ref="I149:W149" si="60">SUM(I152:I189)</f>
        <v>0</v>
      </c>
      <c r="J149" s="288">
        <f t="shared" si="60"/>
        <v>0</v>
      </c>
      <c r="K149" s="288">
        <f t="shared" si="60"/>
        <v>0</v>
      </c>
      <c r="L149" s="288">
        <f t="shared" si="60"/>
        <v>0</v>
      </c>
      <c r="M149" s="288">
        <f t="shared" si="60"/>
        <v>0</v>
      </c>
      <c r="N149" s="288">
        <f t="shared" si="60"/>
        <v>0</v>
      </c>
      <c r="O149" s="288">
        <f t="shared" si="60"/>
        <v>0</v>
      </c>
      <c r="P149" s="288">
        <f t="shared" si="60"/>
        <v>0</v>
      </c>
      <c r="Q149" s="288">
        <f t="shared" si="60"/>
        <v>0</v>
      </c>
      <c r="R149" s="288">
        <f t="shared" si="60"/>
        <v>0</v>
      </c>
      <c r="S149" s="288">
        <f t="shared" si="60"/>
        <v>0</v>
      </c>
      <c r="T149" s="288">
        <f t="shared" si="60"/>
        <v>0</v>
      </c>
      <c r="U149" s="288">
        <f t="shared" si="60"/>
        <v>0</v>
      </c>
      <c r="V149" s="288">
        <f t="shared" si="60"/>
        <v>0</v>
      </c>
      <c r="W149" s="288">
        <f t="shared" si="60"/>
        <v>0</v>
      </c>
    </row>
    <row r="150" spans="2:23">
      <c r="G150" s="88"/>
    </row>
    <row r="151" spans="2:23" ht="31.5">
      <c r="B151" s="97" t="s">
        <v>84</v>
      </c>
      <c r="C151" s="97" t="s">
        <v>53</v>
      </c>
      <c r="D151" s="97" t="s">
        <v>52</v>
      </c>
      <c r="E151" s="184" t="s">
        <v>149</v>
      </c>
      <c r="F151" s="97" t="s">
        <v>50</v>
      </c>
      <c r="G151" s="97" t="s">
        <v>121</v>
      </c>
      <c r="H151" s="97" t="s">
        <v>617</v>
      </c>
      <c r="I151" s="97" t="s">
        <v>595</v>
      </c>
      <c r="J151" s="97" t="s">
        <v>596</v>
      </c>
      <c r="K151" s="97" t="s">
        <v>597</v>
      </c>
      <c r="L151" s="97" t="s">
        <v>598</v>
      </c>
      <c r="M151" s="97" t="s">
        <v>599</v>
      </c>
      <c r="N151" s="97" t="s">
        <v>600</v>
      </c>
      <c r="O151" s="97" t="s">
        <v>601</v>
      </c>
      <c r="P151" s="97" t="s">
        <v>602</v>
      </c>
      <c r="Q151" s="97" t="s">
        <v>603</v>
      </c>
      <c r="R151" s="97" t="s">
        <v>604</v>
      </c>
      <c r="S151" s="97" t="s">
        <v>605</v>
      </c>
      <c r="T151" s="97" t="s">
        <v>606</v>
      </c>
      <c r="U151" s="97" t="s">
        <v>607</v>
      </c>
      <c r="V151" s="97" t="s">
        <v>608</v>
      </c>
      <c r="W151" s="97"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N/A</v>
      </c>
      <c r="C152" s="76" t="str">
        <f>IF($B152="N/A","N/A",INDEX(Equipment_name[],MATCH(B152,equipment_ID,0)))</f>
        <v>N/A</v>
      </c>
      <c r="D152" s="277" t="str">
        <f t="shared" ref="D152:D189" si="61">IF($B152="N/A","N/A",INDEX(Equipment_Capital_Cost,MATCH($B152,equipment_ID,0)))</f>
        <v>N/A</v>
      </c>
      <c r="E152" s="94" t="str">
        <f t="shared" ref="E152:E189" si="62">IF($B152="N/A","N/A",INDEX(Equipment_Lifetime,MATCH($B152,equipment_ID,0)))</f>
        <v>N/A</v>
      </c>
      <c r="F152" s="94" t="str">
        <f t="shared" ref="F152:F189" si="63">IF($B152="N/A","N/A",INDEX(Equipment_Quantity_New,MATCH($B152,equipment_ID,0)))</f>
        <v>N/A</v>
      </c>
      <c r="G152" s="92" t="str">
        <f t="shared" ref="G152:G189" si="64">IF($B152="N/A","N/A",INDEX(Equipment_Allocation_New,MATCH($B152,equipment_ID,0),MATCH($C$107,Unit_codes,0)))</f>
        <v>N/A</v>
      </c>
      <c r="H152" s="277" t="str">
        <f>IFERROR(IF($B152="N/A","N/A",IF(MOD(COLUMNS(H$151:$H$151)-1,$E152)=0,$F152*$D152*$G152,)),)</f>
        <v>N/A</v>
      </c>
      <c r="I152" s="277" t="str">
        <f>IFERROR(IF($B152="N/A","N/A",IF(MOD(COLUMNS($H$151:I$151)-1,$E152)=0,$F152*$D152*$G152,)),)</f>
        <v>N/A</v>
      </c>
      <c r="J152" s="277" t="str">
        <f>IFERROR(IF($B152="N/A","N/A",IF(MOD(COLUMNS($H$151:J$151)-1,$E152)=0,$F152*$D152*$G152,)),)</f>
        <v>N/A</v>
      </c>
      <c r="K152" s="277" t="str">
        <f>IFERROR(IF($B152="N/A","N/A",IF(MOD(COLUMNS($H$151:K$151)-1,$E152)=0,$F152*$D152*$G152,)),)</f>
        <v>N/A</v>
      </c>
      <c r="L152" s="277" t="str">
        <f>IFERROR(IF($B152="N/A","N/A",IF(MOD(COLUMNS($H$151:L$151)-1,$E152)=0,$F152*$D152*$G152,)),)</f>
        <v>N/A</v>
      </c>
      <c r="M152" s="277" t="str">
        <f>IFERROR(IF($B152="N/A","N/A",IF(MOD(COLUMNS($H$151:M$151)-1,$E152)=0,$F152*$D152*$G152,)),)</f>
        <v>N/A</v>
      </c>
      <c r="N152" s="277" t="str">
        <f>IFERROR(IF($B152="N/A","N/A",IF(MOD(COLUMNS($H$151:N$151)-1,$E152)=0,$F152*$D152*$G152,)),)</f>
        <v>N/A</v>
      </c>
      <c r="O152" s="277" t="str">
        <f>IFERROR(IF($B152="N/A","N/A",IF(MOD(COLUMNS($H$151:O$151)-1,$E152)=0,$F152*$D152*$G152,)),)</f>
        <v>N/A</v>
      </c>
      <c r="P152" s="277" t="str">
        <f>IFERROR(IF($B152="N/A","N/A",IF(MOD(COLUMNS($H$151:P$151)-1,$E152)=0,$F152*$D152*$G152,)),)</f>
        <v>N/A</v>
      </c>
      <c r="Q152" s="277" t="str">
        <f>IFERROR(IF($B152="N/A","N/A",IF(MOD(COLUMNS($H$151:Q$151)-1,$E152)=0,$F152*$D152*$G152,)),)</f>
        <v>N/A</v>
      </c>
      <c r="R152" s="277" t="str">
        <f>IFERROR(IF($B152="N/A","N/A",IF(MOD(COLUMNS($H$151:R$151)-1,$E152)=0,$F152*$D152*$G152,)),)</f>
        <v>N/A</v>
      </c>
      <c r="S152" s="277" t="str">
        <f>IFERROR(IF($B152="N/A","N/A",IF(MOD(COLUMNS($H$151:S$151)-1,$E152)=0,$F152*$D152*$G152,)),)</f>
        <v>N/A</v>
      </c>
      <c r="T152" s="277" t="str">
        <f>IFERROR(IF($B152="N/A","N/A",IF(MOD(COLUMNS($H$151:T$151)-1,$E152)=0,$F152*$D152*$G152,)),)</f>
        <v>N/A</v>
      </c>
      <c r="U152" s="277" t="str">
        <f>IFERROR(IF($B152="N/A","N/A",IF(MOD(COLUMNS($H$151:U$151)-1,$E152)=0,$F152*$D152*$G152,)),)</f>
        <v>N/A</v>
      </c>
      <c r="V152" s="277" t="str">
        <f>IFERROR(IF($B152="N/A","N/A",IF(MOD(COLUMNS($H$151:V$151)-1,$E152)=0,$F152*$D152*$G152,)),)</f>
        <v>N/A</v>
      </c>
      <c r="W152" s="277" t="str">
        <f>IFERROR(IF($B152="N/A","N/A",IF(MOD(COLUMNS($H$151:W$151)-1,$E152)=0,$F152*$D152*$G152,)),)</f>
        <v>N/A</v>
      </c>
    </row>
    <row r="153" spans="2:23">
      <c r="B153" s="76" t="str">
        <f t="array" ref="B153">IF(COUNTIFS(INDEX(Equipment_Allocation_New,0,MATCH($C$107,Unit_codes,0)),"&gt;0")&lt;ROWS('2.2-Equipment input'!$X$8:$X9),"N/A",INDEX('2.2-Equipment input'!B:B,SMALL(IF(INDEX(Equipment_Allocation_New,0,MATCH($C$107,Unit_codes,0))&gt;0,ROW(equipment_ID)),ROW('2.2-Equipment input'!B2))))</f>
        <v>N/A</v>
      </c>
      <c r="C153" s="76" t="str">
        <f>IF($B153="N/A","N/A",INDEX(Equipment_name[],MATCH(B153,equipment_ID,0)))</f>
        <v>N/A</v>
      </c>
      <c r="D153" s="277" t="str">
        <f t="shared" si="61"/>
        <v>N/A</v>
      </c>
      <c r="E153" s="94" t="str">
        <f t="shared" si="62"/>
        <v>N/A</v>
      </c>
      <c r="F153" s="94" t="str">
        <f t="shared" si="63"/>
        <v>N/A</v>
      </c>
      <c r="G153" s="92" t="str">
        <f t="shared" si="64"/>
        <v>N/A</v>
      </c>
      <c r="H153" s="277" t="str">
        <f>IFERROR(IF($B153="N/A","N/A",IF(MOD(COLUMNS(H$151:$H$151)-1,$E153)=0,$F153*$D153*$G153,)),)</f>
        <v>N/A</v>
      </c>
      <c r="I153" s="277" t="str">
        <f>IFERROR(IF($B153="N/A","N/A",IF(MOD(COLUMNS($H$151:I$151)-1,$E153)=0,$F153*$D153*$G153,)),)</f>
        <v>N/A</v>
      </c>
      <c r="J153" s="277" t="str">
        <f>IFERROR(IF($B153="N/A","N/A",IF(MOD(COLUMNS($H$151:J$151)-1,$E153)=0,$F153*$D153*$G153,)),)</f>
        <v>N/A</v>
      </c>
      <c r="K153" s="277" t="str">
        <f>IFERROR(IF($B153="N/A","N/A",IF(MOD(COLUMNS($H$151:K$151)-1,$E153)=0,$F153*$D153*$G153,)),)</f>
        <v>N/A</v>
      </c>
      <c r="L153" s="277" t="str">
        <f>IFERROR(IF($B153="N/A","N/A",IF(MOD(COLUMNS($H$151:L$151)-1,$E153)=0,$F153*$D153*$G153,)),)</f>
        <v>N/A</v>
      </c>
      <c r="M153" s="277" t="str">
        <f>IFERROR(IF($B153="N/A","N/A",IF(MOD(COLUMNS($H$151:M$151)-1,$E153)=0,$F153*$D153*$G153,)),)</f>
        <v>N/A</v>
      </c>
      <c r="N153" s="277" t="str">
        <f>IFERROR(IF($B153="N/A","N/A",IF(MOD(COLUMNS($H$151:N$151)-1,$E153)=0,$F153*$D153*$G153,)),)</f>
        <v>N/A</v>
      </c>
      <c r="O153" s="277" t="str">
        <f>IFERROR(IF($B153="N/A","N/A",IF(MOD(COLUMNS($H$151:O$151)-1,$E153)=0,$F153*$D153*$G153,)),)</f>
        <v>N/A</v>
      </c>
      <c r="P153" s="277" t="str">
        <f>IFERROR(IF($B153="N/A","N/A",IF(MOD(COLUMNS($H$151:P$151)-1,$E153)=0,$F153*$D153*$G153,)),)</f>
        <v>N/A</v>
      </c>
      <c r="Q153" s="277" t="str">
        <f>IFERROR(IF($B153="N/A","N/A",IF(MOD(COLUMNS($H$151:Q$151)-1,$E153)=0,$F153*$D153*$G153,)),)</f>
        <v>N/A</v>
      </c>
      <c r="R153" s="277" t="str">
        <f>IFERROR(IF($B153="N/A","N/A",IF(MOD(COLUMNS($H$151:R$151)-1,$E153)=0,$F153*$D153*$G153,)),)</f>
        <v>N/A</v>
      </c>
      <c r="S153" s="277" t="str">
        <f>IFERROR(IF($B153="N/A","N/A",IF(MOD(COLUMNS($H$151:S$151)-1,$E153)=0,$F153*$D153*$G153,)),)</f>
        <v>N/A</v>
      </c>
      <c r="T153" s="277" t="str">
        <f>IFERROR(IF($B153="N/A","N/A",IF(MOD(COLUMNS($H$151:T$151)-1,$E153)=0,$F153*$D153*$G153,)),)</f>
        <v>N/A</v>
      </c>
      <c r="U153" s="277" t="str">
        <f>IFERROR(IF($B153="N/A","N/A",IF(MOD(COLUMNS($H$151:U$151)-1,$E153)=0,$F153*$D153*$G153,)),)</f>
        <v>N/A</v>
      </c>
      <c r="V153" s="277" t="str">
        <f>IFERROR(IF($B153="N/A","N/A",IF(MOD(COLUMNS($H$151:V$151)-1,$E153)=0,$F153*$D153*$G153,)),)</f>
        <v>N/A</v>
      </c>
      <c r="W153" s="277" t="str">
        <f>IFERROR(IF($B153="N/A","N/A",IF(MOD(COLUMNS($H$151:W$151)-1,$E153)=0,$F153*$D153*$G153,)),)</f>
        <v>N/A</v>
      </c>
    </row>
    <row r="154" spans="2:23">
      <c r="B154" s="76" t="str">
        <f t="array" ref="B154">IF(COUNTIFS(INDEX(Equipment_Allocation_New,0,MATCH($C$107,Unit_codes,0)),"&gt;0")&lt;ROWS('2.2-Equipment input'!$X$8:$X10),"N/A",INDEX('2.2-Equipment input'!B:B,SMALL(IF(INDEX(Equipment_Allocation_New,0,MATCH($C$107,Unit_codes,0))&gt;0,ROW(equipment_ID)),ROW('2.2-Equipment input'!B3))))</f>
        <v>N/A</v>
      </c>
      <c r="C154" s="76" t="str">
        <f>IF($B154="N/A","N/A",INDEX(Equipment_name[],MATCH(B154,equipment_ID,0)))</f>
        <v>N/A</v>
      </c>
      <c r="D154" s="277" t="str">
        <f t="shared" si="61"/>
        <v>N/A</v>
      </c>
      <c r="E154" s="94" t="str">
        <f t="shared" si="62"/>
        <v>N/A</v>
      </c>
      <c r="F154" s="94" t="str">
        <f t="shared" si="63"/>
        <v>N/A</v>
      </c>
      <c r="G154" s="92" t="str">
        <f t="shared" si="64"/>
        <v>N/A</v>
      </c>
      <c r="H154" s="277" t="str">
        <f>IFERROR(IF($B154="N/A","N/A",IF(MOD(COLUMNS(H$151:$H$151)-1,$E154)=0,$F154*$D154*$G154,)),)</f>
        <v>N/A</v>
      </c>
      <c r="I154" s="277" t="str">
        <f>IFERROR(IF($B154="N/A","N/A",IF(MOD(COLUMNS($H$151:I$151)-1,$E154)=0,$F154*$D154*$G154,)),)</f>
        <v>N/A</v>
      </c>
      <c r="J154" s="277" t="str">
        <f>IFERROR(IF($B154="N/A","N/A",IF(MOD(COLUMNS($H$151:J$151)-1,$E154)=0,$F154*$D154*$G154,)),)</f>
        <v>N/A</v>
      </c>
      <c r="K154" s="277" t="str">
        <f>IFERROR(IF($B154="N/A","N/A",IF(MOD(COLUMNS($H$151:K$151)-1,$E154)=0,$F154*$D154*$G154,)),)</f>
        <v>N/A</v>
      </c>
      <c r="L154" s="277" t="str">
        <f>IFERROR(IF($B154="N/A","N/A",IF(MOD(COLUMNS($H$151:L$151)-1,$E154)=0,$F154*$D154*$G154,)),)</f>
        <v>N/A</v>
      </c>
      <c r="M154" s="277" t="str">
        <f>IFERROR(IF($B154="N/A","N/A",IF(MOD(COLUMNS($H$151:M$151)-1,$E154)=0,$F154*$D154*$G154,)),)</f>
        <v>N/A</v>
      </c>
      <c r="N154" s="277" t="str">
        <f>IFERROR(IF($B154="N/A","N/A",IF(MOD(COLUMNS($H$151:N$151)-1,$E154)=0,$F154*$D154*$G154,)),)</f>
        <v>N/A</v>
      </c>
      <c r="O154" s="277" t="str">
        <f>IFERROR(IF($B154="N/A","N/A",IF(MOD(COLUMNS($H$151:O$151)-1,$E154)=0,$F154*$D154*$G154,)),)</f>
        <v>N/A</v>
      </c>
      <c r="P154" s="277" t="str">
        <f>IFERROR(IF($B154="N/A","N/A",IF(MOD(COLUMNS($H$151:P$151)-1,$E154)=0,$F154*$D154*$G154,)),)</f>
        <v>N/A</v>
      </c>
      <c r="Q154" s="277" t="str">
        <f>IFERROR(IF($B154="N/A","N/A",IF(MOD(COLUMNS($H$151:Q$151)-1,$E154)=0,$F154*$D154*$G154,)),)</f>
        <v>N/A</v>
      </c>
      <c r="R154" s="277" t="str">
        <f>IFERROR(IF($B154="N/A","N/A",IF(MOD(COLUMNS($H$151:R$151)-1,$E154)=0,$F154*$D154*$G154,)),)</f>
        <v>N/A</v>
      </c>
      <c r="S154" s="277" t="str">
        <f>IFERROR(IF($B154="N/A","N/A",IF(MOD(COLUMNS($H$151:S$151)-1,$E154)=0,$F154*$D154*$G154,)),)</f>
        <v>N/A</v>
      </c>
      <c r="T154" s="277" t="str">
        <f>IFERROR(IF($B154="N/A","N/A",IF(MOD(COLUMNS($H$151:T$151)-1,$E154)=0,$F154*$D154*$G154,)),)</f>
        <v>N/A</v>
      </c>
      <c r="U154" s="277" t="str">
        <f>IFERROR(IF($B154="N/A","N/A",IF(MOD(COLUMNS($H$151:U$151)-1,$E154)=0,$F154*$D154*$G154,)),)</f>
        <v>N/A</v>
      </c>
      <c r="V154" s="277" t="str">
        <f>IFERROR(IF($B154="N/A","N/A",IF(MOD(COLUMNS($H$151:V$151)-1,$E154)=0,$F154*$D154*$G154,)),)</f>
        <v>N/A</v>
      </c>
      <c r="W154" s="277" t="str">
        <f>IFERROR(IF($B154="N/A","N/A",IF(MOD(COLUMNS($H$151:W$151)-1,$E154)=0,$F154*$D154*$G154,)),)</f>
        <v>N/A</v>
      </c>
    </row>
    <row r="155" spans="2:23">
      <c r="B155" s="76" t="str">
        <f t="array" ref="B155">IF(COUNTIFS(INDEX(Equipment_Allocation_New,0,MATCH($C$107,Unit_codes,0)),"&gt;0")&lt;ROWS('2.2-Equipment input'!$X$8:$X11),"N/A",INDEX('2.2-Equipment input'!B:B,SMALL(IF(INDEX(Equipment_Allocation_New,0,MATCH($C$107,Unit_codes,0))&gt;0,ROW(equipment_ID)),ROW('2.2-Equipment input'!B4))))</f>
        <v>N/A</v>
      </c>
      <c r="C155" s="76" t="str">
        <f>IF($B155="N/A","N/A",INDEX(Equipment_name[],MATCH(B155,equipment_ID,0)))</f>
        <v>N/A</v>
      </c>
      <c r="D155" s="277" t="str">
        <f t="shared" si="61"/>
        <v>N/A</v>
      </c>
      <c r="E155" s="94" t="str">
        <f t="shared" si="62"/>
        <v>N/A</v>
      </c>
      <c r="F155" s="94" t="str">
        <f t="shared" si="63"/>
        <v>N/A</v>
      </c>
      <c r="G155" s="92" t="str">
        <f t="shared" si="64"/>
        <v>N/A</v>
      </c>
      <c r="H155" s="277" t="str">
        <f>IFERROR(IF($B155="N/A","N/A",IF(MOD(COLUMNS(H$151:$H$151)-1,$E155)=0,$F155*$D155*$G155,)),)</f>
        <v>N/A</v>
      </c>
      <c r="I155" s="277" t="str">
        <f>IFERROR(IF($B155="N/A","N/A",IF(MOD(COLUMNS($H$151:I$151)-1,$E155)=0,$F155*$D155*$G155,)),)</f>
        <v>N/A</v>
      </c>
      <c r="J155" s="277" t="str">
        <f>IFERROR(IF($B155="N/A","N/A",IF(MOD(COLUMNS($H$151:J$151)-1,$E155)=0,$F155*$D155*$G155,)),)</f>
        <v>N/A</v>
      </c>
      <c r="K155" s="277" t="str">
        <f>IFERROR(IF($B155="N/A","N/A",IF(MOD(COLUMNS($H$151:K$151)-1,$E155)=0,$F155*$D155*$G155,)),)</f>
        <v>N/A</v>
      </c>
      <c r="L155" s="277" t="str">
        <f>IFERROR(IF($B155="N/A","N/A",IF(MOD(COLUMNS($H$151:L$151)-1,$E155)=0,$F155*$D155*$G155,)),)</f>
        <v>N/A</v>
      </c>
      <c r="M155" s="277" t="str">
        <f>IFERROR(IF($B155="N/A","N/A",IF(MOD(COLUMNS($H$151:M$151)-1,$E155)=0,$F155*$D155*$G155,)),)</f>
        <v>N/A</v>
      </c>
      <c r="N155" s="277" t="str">
        <f>IFERROR(IF($B155="N/A","N/A",IF(MOD(COLUMNS($H$151:N$151)-1,$E155)=0,$F155*$D155*$G155,)),)</f>
        <v>N/A</v>
      </c>
      <c r="O155" s="277" t="str">
        <f>IFERROR(IF($B155="N/A","N/A",IF(MOD(COLUMNS($H$151:O$151)-1,$E155)=0,$F155*$D155*$G155,)),)</f>
        <v>N/A</v>
      </c>
      <c r="P155" s="277" t="str">
        <f>IFERROR(IF($B155="N/A","N/A",IF(MOD(COLUMNS($H$151:P$151)-1,$E155)=0,$F155*$D155*$G155,)),)</f>
        <v>N/A</v>
      </c>
      <c r="Q155" s="277" t="str">
        <f>IFERROR(IF($B155="N/A","N/A",IF(MOD(COLUMNS($H$151:Q$151)-1,$E155)=0,$F155*$D155*$G155,)),)</f>
        <v>N/A</v>
      </c>
      <c r="R155" s="277" t="str">
        <f>IFERROR(IF($B155="N/A","N/A",IF(MOD(COLUMNS($H$151:R$151)-1,$E155)=0,$F155*$D155*$G155,)),)</f>
        <v>N/A</v>
      </c>
      <c r="S155" s="277" t="str">
        <f>IFERROR(IF($B155="N/A","N/A",IF(MOD(COLUMNS($H$151:S$151)-1,$E155)=0,$F155*$D155*$G155,)),)</f>
        <v>N/A</v>
      </c>
      <c r="T155" s="277" t="str">
        <f>IFERROR(IF($B155="N/A","N/A",IF(MOD(COLUMNS($H$151:T$151)-1,$E155)=0,$F155*$D155*$G155,)),)</f>
        <v>N/A</v>
      </c>
      <c r="U155" s="277" t="str">
        <f>IFERROR(IF($B155="N/A","N/A",IF(MOD(COLUMNS($H$151:U$151)-1,$E155)=0,$F155*$D155*$G155,)),)</f>
        <v>N/A</v>
      </c>
      <c r="V155" s="277" t="str">
        <f>IFERROR(IF($B155="N/A","N/A",IF(MOD(COLUMNS($H$151:V$151)-1,$E155)=0,$F155*$D155*$G155,)),)</f>
        <v>N/A</v>
      </c>
      <c r="W155" s="277" t="str">
        <f>IFERROR(IF($B155="N/A","N/A",IF(MOD(COLUMNS($H$151:W$151)-1,$E155)=0,$F155*$D155*$G155,)),)</f>
        <v>N/A</v>
      </c>
    </row>
    <row r="156" spans="2:23">
      <c r="B156" s="76" t="str">
        <f t="array" ref="B156">IF(COUNTIFS(INDEX(Equipment_Allocation_New,0,MATCH($C$107,Unit_codes,0)),"&gt;0")&lt;ROWS('2.2-Equipment input'!$X$8:$X12),"N/A",INDEX('2.2-Equipment input'!B:B,SMALL(IF(INDEX(Equipment_Allocation_New,0,MATCH($C$107,Unit_codes,0))&gt;0,ROW(equipment_ID)),ROW('2.2-Equipment input'!B5))))</f>
        <v>N/A</v>
      </c>
      <c r="C156" s="76" t="str">
        <f>IF($B156="N/A","N/A",INDEX(Equipment_name[],MATCH(B156,equipment_ID,0)))</f>
        <v>N/A</v>
      </c>
      <c r="D156" s="277" t="str">
        <f t="shared" si="61"/>
        <v>N/A</v>
      </c>
      <c r="E156" s="94" t="str">
        <f t="shared" si="62"/>
        <v>N/A</v>
      </c>
      <c r="F156" s="94" t="str">
        <f t="shared" si="63"/>
        <v>N/A</v>
      </c>
      <c r="G156" s="92" t="str">
        <f t="shared" si="64"/>
        <v>N/A</v>
      </c>
      <c r="H156" s="277" t="str">
        <f>IFERROR(IF($B156="N/A","N/A",IF(MOD(COLUMNS(H$151:$H$151)-1,$E156)=0,$F156*$D156*$G156,)),)</f>
        <v>N/A</v>
      </c>
      <c r="I156" s="277" t="str">
        <f>IFERROR(IF($B156="N/A","N/A",IF(MOD(COLUMNS($H$151:I$151)-1,$E156)=0,$F156*$D156*$G156,)),)</f>
        <v>N/A</v>
      </c>
      <c r="J156" s="277" t="str">
        <f>IFERROR(IF($B156="N/A","N/A",IF(MOD(COLUMNS($H$151:J$151)-1,$E156)=0,$F156*$D156*$G156,)),)</f>
        <v>N/A</v>
      </c>
      <c r="K156" s="277" t="str">
        <f>IFERROR(IF($B156="N/A","N/A",IF(MOD(COLUMNS($H$151:K$151)-1,$E156)=0,$F156*$D156*$G156,)),)</f>
        <v>N/A</v>
      </c>
      <c r="L156" s="277" t="str">
        <f>IFERROR(IF($B156="N/A","N/A",IF(MOD(COLUMNS($H$151:L$151)-1,$E156)=0,$F156*$D156*$G156,)),)</f>
        <v>N/A</v>
      </c>
      <c r="M156" s="277" t="str">
        <f>IFERROR(IF($B156="N/A","N/A",IF(MOD(COLUMNS($H$151:M$151)-1,$E156)=0,$F156*$D156*$G156,)),)</f>
        <v>N/A</v>
      </c>
      <c r="N156" s="277" t="str">
        <f>IFERROR(IF($B156="N/A","N/A",IF(MOD(COLUMNS($H$151:N$151)-1,$E156)=0,$F156*$D156*$G156,)),)</f>
        <v>N/A</v>
      </c>
      <c r="O156" s="277" t="str">
        <f>IFERROR(IF($B156="N/A","N/A",IF(MOD(COLUMNS($H$151:O$151)-1,$E156)=0,$F156*$D156*$G156,)),)</f>
        <v>N/A</v>
      </c>
      <c r="P156" s="277" t="str">
        <f>IFERROR(IF($B156="N/A","N/A",IF(MOD(COLUMNS($H$151:P$151)-1,$E156)=0,$F156*$D156*$G156,)),)</f>
        <v>N/A</v>
      </c>
      <c r="Q156" s="277" t="str">
        <f>IFERROR(IF($B156="N/A","N/A",IF(MOD(COLUMNS($H$151:Q$151)-1,$E156)=0,$F156*$D156*$G156,)),)</f>
        <v>N/A</v>
      </c>
      <c r="R156" s="277" t="str">
        <f>IFERROR(IF($B156="N/A","N/A",IF(MOD(COLUMNS($H$151:R$151)-1,$E156)=0,$F156*$D156*$G156,)),)</f>
        <v>N/A</v>
      </c>
      <c r="S156" s="277" t="str">
        <f>IFERROR(IF($B156="N/A","N/A",IF(MOD(COLUMNS($H$151:S$151)-1,$E156)=0,$F156*$D156*$G156,)),)</f>
        <v>N/A</v>
      </c>
      <c r="T156" s="277" t="str">
        <f>IFERROR(IF($B156="N/A","N/A",IF(MOD(COLUMNS($H$151:T$151)-1,$E156)=0,$F156*$D156*$G156,)),)</f>
        <v>N/A</v>
      </c>
      <c r="U156" s="277" t="str">
        <f>IFERROR(IF($B156="N/A","N/A",IF(MOD(COLUMNS($H$151:U$151)-1,$E156)=0,$F156*$D156*$G156,)),)</f>
        <v>N/A</v>
      </c>
      <c r="V156" s="277" t="str">
        <f>IFERROR(IF($B156="N/A","N/A",IF(MOD(COLUMNS($H$151:V$151)-1,$E156)=0,$F156*$D156*$G156,)),)</f>
        <v>N/A</v>
      </c>
      <c r="W156" s="277" t="str">
        <f>IFERROR(IF($B156="N/A","N/A",IF(MOD(COLUMNS($H$151:W$151)-1,$E156)=0,$F156*$D156*$G156,)),)</f>
        <v>N/A</v>
      </c>
    </row>
    <row r="157" spans="2:23">
      <c r="B157" s="76" t="str">
        <f t="array" ref="B157">IF(COUNTIFS(INDEX(Equipment_Allocation_New,0,MATCH($C$107,Unit_codes,0)),"&gt;0")&lt;ROWS('2.2-Equipment input'!$X$8:$X13),"N/A",INDEX('2.2-Equipment input'!B:B,SMALL(IF(INDEX(Equipment_Allocation_New,0,MATCH($C$107,Unit_codes,0))&gt;0,ROW(equipment_ID)),ROW('2.2-Equipment input'!B6))))</f>
        <v>N/A</v>
      </c>
      <c r="C157" s="76" t="str">
        <f>IF($B157="N/A","N/A",INDEX(Equipment_name[],MATCH(B157,equipment_ID,0)))</f>
        <v>N/A</v>
      </c>
      <c r="D157" s="277" t="str">
        <f t="shared" si="61"/>
        <v>N/A</v>
      </c>
      <c r="E157" s="94" t="str">
        <f t="shared" si="62"/>
        <v>N/A</v>
      </c>
      <c r="F157" s="94" t="str">
        <f t="shared" si="63"/>
        <v>N/A</v>
      </c>
      <c r="G157" s="92" t="str">
        <f t="shared" si="64"/>
        <v>N/A</v>
      </c>
      <c r="H157" s="277" t="str">
        <f>IFERROR(IF($B157="N/A","N/A",IF(MOD(COLUMNS(H$151:$H$151)-1,$E157)=0,$F157*$D157*$G157,)),)</f>
        <v>N/A</v>
      </c>
      <c r="I157" s="277" t="str">
        <f>IFERROR(IF($B157="N/A","N/A",IF(MOD(COLUMNS($H$151:I$151)-1,$E157)=0,$F157*$D157*$G157,)),)</f>
        <v>N/A</v>
      </c>
      <c r="J157" s="277" t="str">
        <f>IFERROR(IF($B157="N/A","N/A",IF(MOD(COLUMNS($H$151:J$151)-1,$E157)=0,$F157*$D157*$G157,)),)</f>
        <v>N/A</v>
      </c>
      <c r="K157" s="277" t="str">
        <f>IFERROR(IF($B157="N/A","N/A",IF(MOD(COLUMNS($H$151:K$151)-1,$E157)=0,$F157*$D157*$G157,)),)</f>
        <v>N/A</v>
      </c>
      <c r="L157" s="277" t="str">
        <f>IFERROR(IF($B157="N/A","N/A",IF(MOD(COLUMNS($H$151:L$151)-1,$E157)=0,$F157*$D157*$G157,)),)</f>
        <v>N/A</v>
      </c>
      <c r="M157" s="277" t="str">
        <f>IFERROR(IF($B157="N/A","N/A",IF(MOD(COLUMNS($H$151:M$151)-1,$E157)=0,$F157*$D157*$G157,)),)</f>
        <v>N/A</v>
      </c>
      <c r="N157" s="277" t="str">
        <f>IFERROR(IF($B157="N/A","N/A",IF(MOD(COLUMNS($H$151:N$151)-1,$E157)=0,$F157*$D157*$G157,)),)</f>
        <v>N/A</v>
      </c>
      <c r="O157" s="277" t="str">
        <f>IFERROR(IF($B157="N/A","N/A",IF(MOD(COLUMNS($H$151:O$151)-1,$E157)=0,$F157*$D157*$G157,)),)</f>
        <v>N/A</v>
      </c>
      <c r="P157" s="277" t="str">
        <f>IFERROR(IF($B157="N/A","N/A",IF(MOD(COLUMNS($H$151:P$151)-1,$E157)=0,$F157*$D157*$G157,)),)</f>
        <v>N/A</v>
      </c>
      <c r="Q157" s="277" t="str">
        <f>IFERROR(IF($B157="N/A","N/A",IF(MOD(COLUMNS($H$151:Q$151)-1,$E157)=0,$F157*$D157*$G157,)),)</f>
        <v>N/A</v>
      </c>
      <c r="R157" s="277" t="str">
        <f>IFERROR(IF($B157="N/A","N/A",IF(MOD(COLUMNS($H$151:R$151)-1,$E157)=0,$F157*$D157*$G157,)),)</f>
        <v>N/A</v>
      </c>
      <c r="S157" s="277" t="str">
        <f>IFERROR(IF($B157="N/A","N/A",IF(MOD(COLUMNS($H$151:S$151)-1,$E157)=0,$F157*$D157*$G157,)),)</f>
        <v>N/A</v>
      </c>
      <c r="T157" s="277" t="str">
        <f>IFERROR(IF($B157="N/A","N/A",IF(MOD(COLUMNS($H$151:T$151)-1,$E157)=0,$F157*$D157*$G157,)),)</f>
        <v>N/A</v>
      </c>
      <c r="U157" s="277" t="str">
        <f>IFERROR(IF($B157="N/A","N/A",IF(MOD(COLUMNS($H$151:U$151)-1,$E157)=0,$F157*$D157*$G157,)),)</f>
        <v>N/A</v>
      </c>
      <c r="V157" s="277" t="str">
        <f>IFERROR(IF($B157="N/A","N/A",IF(MOD(COLUMNS($H$151:V$151)-1,$E157)=0,$F157*$D157*$G157,)),)</f>
        <v>N/A</v>
      </c>
      <c r="W157" s="277" t="str">
        <f>IFERROR(IF($B157="N/A","N/A",IF(MOD(COLUMNS($H$151:W$151)-1,$E157)=0,$F157*$D157*$G157,)),)</f>
        <v>N/A</v>
      </c>
    </row>
    <row r="158" spans="2:23">
      <c r="B158" s="76" t="str">
        <f t="array" ref="B158">IF(COUNTIFS(INDEX(Equipment_Allocation_New,0,MATCH($C$107,Unit_codes,0)),"&gt;0")&lt;ROWS('2.2-Equipment input'!$X$8:$X14),"N/A",INDEX('2.2-Equipment input'!B:B,SMALL(IF(INDEX(Equipment_Allocation_New,0,MATCH($C$107,Unit_codes,0))&gt;0,ROW(equipment_ID)),ROW('2.2-Equipment input'!B7))))</f>
        <v>N/A</v>
      </c>
      <c r="C158" s="76" t="str">
        <f>IF($B158="N/A","N/A",INDEX(Equipment_name[],MATCH(B158,equipment_ID,0)))</f>
        <v>N/A</v>
      </c>
      <c r="D158" s="277" t="str">
        <f t="shared" si="61"/>
        <v>N/A</v>
      </c>
      <c r="E158" s="94" t="str">
        <f t="shared" si="62"/>
        <v>N/A</v>
      </c>
      <c r="F158" s="94" t="str">
        <f t="shared" si="63"/>
        <v>N/A</v>
      </c>
      <c r="G158" s="92" t="str">
        <f t="shared" si="64"/>
        <v>N/A</v>
      </c>
      <c r="H158" s="277" t="str">
        <f>IFERROR(IF($B158="N/A","N/A",IF(MOD(COLUMNS(H$151:$H$151)-1,$E158)=0,$F158*$D158*$G158,)),)</f>
        <v>N/A</v>
      </c>
      <c r="I158" s="277" t="str">
        <f>IFERROR(IF($B158="N/A","N/A",IF(MOD(COLUMNS($H$151:I$151)-1,$E158)=0,$F158*$D158*$G158,)),)</f>
        <v>N/A</v>
      </c>
      <c r="J158" s="277" t="str">
        <f>IFERROR(IF($B158="N/A","N/A",IF(MOD(COLUMNS($H$151:J$151)-1,$E158)=0,$F158*$D158*$G158,)),)</f>
        <v>N/A</v>
      </c>
      <c r="K158" s="277" t="str">
        <f>IFERROR(IF($B158="N/A","N/A",IF(MOD(COLUMNS($H$151:K$151)-1,$E158)=0,$F158*$D158*$G158,)),)</f>
        <v>N/A</v>
      </c>
      <c r="L158" s="277" t="str">
        <f>IFERROR(IF($B158="N/A","N/A",IF(MOD(COLUMNS($H$151:L$151)-1,$E158)=0,$F158*$D158*$G158,)),)</f>
        <v>N/A</v>
      </c>
      <c r="M158" s="277" t="str">
        <f>IFERROR(IF($B158="N/A","N/A",IF(MOD(COLUMNS($H$151:M$151)-1,$E158)=0,$F158*$D158*$G158,)),)</f>
        <v>N/A</v>
      </c>
      <c r="N158" s="277" t="str">
        <f>IFERROR(IF($B158="N/A","N/A",IF(MOD(COLUMNS($H$151:N$151)-1,$E158)=0,$F158*$D158*$G158,)),)</f>
        <v>N/A</v>
      </c>
      <c r="O158" s="277" t="str">
        <f>IFERROR(IF($B158="N/A","N/A",IF(MOD(COLUMNS($H$151:O$151)-1,$E158)=0,$F158*$D158*$G158,)),)</f>
        <v>N/A</v>
      </c>
      <c r="P158" s="277" t="str">
        <f>IFERROR(IF($B158="N/A","N/A",IF(MOD(COLUMNS($H$151:P$151)-1,$E158)=0,$F158*$D158*$G158,)),)</f>
        <v>N/A</v>
      </c>
      <c r="Q158" s="277" t="str">
        <f>IFERROR(IF($B158="N/A","N/A",IF(MOD(COLUMNS($H$151:Q$151)-1,$E158)=0,$F158*$D158*$G158,)),)</f>
        <v>N/A</v>
      </c>
      <c r="R158" s="277" t="str">
        <f>IFERROR(IF($B158="N/A","N/A",IF(MOD(COLUMNS($H$151:R$151)-1,$E158)=0,$F158*$D158*$G158,)),)</f>
        <v>N/A</v>
      </c>
      <c r="S158" s="277" t="str">
        <f>IFERROR(IF($B158="N/A","N/A",IF(MOD(COLUMNS($H$151:S$151)-1,$E158)=0,$F158*$D158*$G158,)),)</f>
        <v>N/A</v>
      </c>
      <c r="T158" s="277" t="str">
        <f>IFERROR(IF($B158="N/A","N/A",IF(MOD(COLUMNS($H$151:T$151)-1,$E158)=0,$F158*$D158*$G158,)),)</f>
        <v>N/A</v>
      </c>
      <c r="U158" s="277" t="str">
        <f>IFERROR(IF($B158="N/A","N/A",IF(MOD(COLUMNS($H$151:U$151)-1,$E158)=0,$F158*$D158*$G158,)),)</f>
        <v>N/A</v>
      </c>
      <c r="V158" s="277" t="str">
        <f>IFERROR(IF($B158="N/A","N/A",IF(MOD(COLUMNS($H$151:V$151)-1,$E158)=0,$F158*$D158*$G158,)),)</f>
        <v>N/A</v>
      </c>
      <c r="W158" s="277" t="str">
        <f>IFERROR(IF($B158="N/A","N/A",IF(MOD(COLUMNS($H$151:W$151)-1,$E158)=0,$F158*$D158*$G158,)),)</f>
        <v>N/A</v>
      </c>
    </row>
    <row r="159" spans="2:23">
      <c r="B159" s="76" t="str">
        <f t="array" ref="B159">IF(COUNTIFS(INDEX(Equipment_Allocation_New,0,MATCH($C$107,Unit_codes,0)),"&gt;0")&lt;ROWS('2.2-Equipment input'!$X$8:$X15),"N/A",INDEX('2.2-Equipment input'!B:B,SMALL(IF(INDEX(Equipment_Allocation_New,0,MATCH($C$107,Unit_codes,0))&gt;0,ROW(equipment_ID)),ROW('2.2-Equipment input'!B8))))</f>
        <v>N/A</v>
      </c>
      <c r="C159" s="76" t="str">
        <f>IF($B159="N/A","N/A",INDEX(Equipment_name[],MATCH(B159,equipment_ID,0)))</f>
        <v>N/A</v>
      </c>
      <c r="D159" s="277" t="str">
        <f t="shared" si="61"/>
        <v>N/A</v>
      </c>
      <c r="E159" s="94" t="str">
        <f t="shared" si="62"/>
        <v>N/A</v>
      </c>
      <c r="F159" s="94" t="str">
        <f t="shared" si="63"/>
        <v>N/A</v>
      </c>
      <c r="G159" s="92" t="str">
        <f t="shared" si="64"/>
        <v>N/A</v>
      </c>
      <c r="H159" s="277" t="str">
        <f>IFERROR(IF($B159="N/A","N/A",IF(MOD(COLUMNS(H$151:$H$151)-1,$E159)=0,$F159*$D159*$G159,)),)</f>
        <v>N/A</v>
      </c>
      <c r="I159" s="277" t="str">
        <f>IFERROR(IF($B159="N/A","N/A",IF(MOD(COLUMNS($H$151:I$151)-1,$E159)=0,$F159*$D159*$G159,)),)</f>
        <v>N/A</v>
      </c>
      <c r="J159" s="277" t="str">
        <f>IFERROR(IF($B159="N/A","N/A",IF(MOD(COLUMNS($H$151:J$151)-1,$E159)=0,$F159*$D159*$G159,)),)</f>
        <v>N/A</v>
      </c>
      <c r="K159" s="277" t="str">
        <f>IFERROR(IF($B159="N/A","N/A",IF(MOD(COLUMNS($H$151:K$151)-1,$E159)=0,$F159*$D159*$G159,)),)</f>
        <v>N/A</v>
      </c>
      <c r="L159" s="277" t="str">
        <f>IFERROR(IF($B159="N/A","N/A",IF(MOD(COLUMNS($H$151:L$151)-1,$E159)=0,$F159*$D159*$G159,)),)</f>
        <v>N/A</v>
      </c>
      <c r="M159" s="277" t="str">
        <f>IFERROR(IF($B159="N/A","N/A",IF(MOD(COLUMNS($H$151:M$151)-1,$E159)=0,$F159*$D159*$G159,)),)</f>
        <v>N/A</v>
      </c>
      <c r="N159" s="277" t="str">
        <f>IFERROR(IF($B159="N/A","N/A",IF(MOD(COLUMNS($H$151:N$151)-1,$E159)=0,$F159*$D159*$G159,)),)</f>
        <v>N/A</v>
      </c>
      <c r="O159" s="277" t="str">
        <f>IFERROR(IF($B159="N/A","N/A",IF(MOD(COLUMNS($H$151:O$151)-1,$E159)=0,$F159*$D159*$G159,)),)</f>
        <v>N/A</v>
      </c>
      <c r="P159" s="277" t="str">
        <f>IFERROR(IF($B159="N/A","N/A",IF(MOD(COLUMNS($H$151:P$151)-1,$E159)=0,$F159*$D159*$G159,)),)</f>
        <v>N/A</v>
      </c>
      <c r="Q159" s="277" t="str">
        <f>IFERROR(IF($B159="N/A","N/A",IF(MOD(COLUMNS($H$151:Q$151)-1,$E159)=0,$F159*$D159*$G159,)),)</f>
        <v>N/A</v>
      </c>
      <c r="R159" s="277" t="str">
        <f>IFERROR(IF($B159="N/A","N/A",IF(MOD(COLUMNS($H$151:R$151)-1,$E159)=0,$F159*$D159*$G159,)),)</f>
        <v>N/A</v>
      </c>
      <c r="S159" s="277" t="str">
        <f>IFERROR(IF($B159="N/A","N/A",IF(MOD(COLUMNS($H$151:S$151)-1,$E159)=0,$F159*$D159*$G159,)),)</f>
        <v>N/A</v>
      </c>
      <c r="T159" s="277" t="str">
        <f>IFERROR(IF($B159="N/A","N/A",IF(MOD(COLUMNS($H$151:T$151)-1,$E159)=0,$F159*$D159*$G159,)),)</f>
        <v>N/A</v>
      </c>
      <c r="U159" s="277" t="str">
        <f>IFERROR(IF($B159="N/A","N/A",IF(MOD(COLUMNS($H$151:U$151)-1,$E159)=0,$F159*$D159*$G159,)),)</f>
        <v>N/A</v>
      </c>
      <c r="V159" s="277" t="str">
        <f>IFERROR(IF($B159="N/A","N/A",IF(MOD(COLUMNS($H$151:V$151)-1,$E159)=0,$F159*$D159*$G159,)),)</f>
        <v>N/A</v>
      </c>
      <c r="W159" s="277" t="str">
        <f>IFERROR(IF($B159="N/A","N/A",IF(MOD(COLUMNS($H$151:W$151)-1,$E159)=0,$F159*$D159*$G159,)),)</f>
        <v>N/A</v>
      </c>
    </row>
    <row r="160" spans="2:23">
      <c r="B160" s="76" t="str">
        <f t="array" ref="B160">IF(COUNTIFS(INDEX(Equipment_Allocation_New,0,MATCH($C$107,Unit_codes,0)),"&gt;0")&lt;ROWS('2.2-Equipment input'!$X$8:$X16),"N/A",INDEX('2.2-Equipment input'!B:B,SMALL(IF(INDEX(Equipment_Allocation_New,0,MATCH($C$107,Unit_codes,0))&gt;0,ROW(equipment_ID)),ROW('2.2-Equipment input'!B9))))</f>
        <v>N/A</v>
      </c>
      <c r="C160" s="76" t="str">
        <f>IF($B160="N/A","N/A",INDEX(Equipment_name[],MATCH(B160,equipment_ID,0)))</f>
        <v>N/A</v>
      </c>
      <c r="D160" s="277" t="str">
        <f t="shared" si="61"/>
        <v>N/A</v>
      </c>
      <c r="E160" s="94" t="str">
        <f t="shared" si="62"/>
        <v>N/A</v>
      </c>
      <c r="F160" s="94" t="str">
        <f t="shared" si="63"/>
        <v>N/A</v>
      </c>
      <c r="G160" s="92" t="str">
        <f t="shared" si="64"/>
        <v>N/A</v>
      </c>
      <c r="H160" s="277" t="str">
        <f>IFERROR(IF($B160="N/A","N/A",IF(MOD(COLUMNS(H$151:$H$151)-1,$E160)=0,$F160*$D160*$G160,)),)</f>
        <v>N/A</v>
      </c>
      <c r="I160" s="277" t="str">
        <f>IFERROR(IF($B160="N/A","N/A",IF(MOD(COLUMNS($H$151:I$151)-1,$E160)=0,$F160*$D160*$G160,)),)</f>
        <v>N/A</v>
      </c>
      <c r="J160" s="277" t="str">
        <f>IFERROR(IF($B160="N/A","N/A",IF(MOD(COLUMNS($H$151:J$151)-1,$E160)=0,$F160*$D160*$G160,)),)</f>
        <v>N/A</v>
      </c>
      <c r="K160" s="277" t="str">
        <f>IFERROR(IF($B160="N/A","N/A",IF(MOD(COLUMNS($H$151:K$151)-1,$E160)=0,$F160*$D160*$G160,)),)</f>
        <v>N/A</v>
      </c>
      <c r="L160" s="277" t="str">
        <f>IFERROR(IF($B160="N/A","N/A",IF(MOD(COLUMNS($H$151:L$151)-1,$E160)=0,$F160*$D160*$G160,)),)</f>
        <v>N/A</v>
      </c>
      <c r="M160" s="277" t="str">
        <f>IFERROR(IF($B160="N/A","N/A",IF(MOD(COLUMNS($H$151:M$151)-1,$E160)=0,$F160*$D160*$G160,)),)</f>
        <v>N/A</v>
      </c>
      <c r="N160" s="277" t="str">
        <f>IFERROR(IF($B160="N/A","N/A",IF(MOD(COLUMNS($H$151:N$151)-1,$E160)=0,$F160*$D160*$G160,)),)</f>
        <v>N/A</v>
      </c>
      <c r="O160" s="277" t="str">
        <f>IFERROR(IF($B160="N/A","N/A",IF(MOD(COLUMNS($H$151:O$151)-1,$E160)=0,$F160*$D160*$G160,)),)</f>
        <v>N/A</v>
      </c>
      <c r="P160" s="277" t="str">
        <f>IFERROR(IF($B160="N/A","N/A",IF(MOD(COLUMNS($H$151:P$151)-1,$E160)=0,$F160*$D160*$G160,)),)</f>
        <v>N/A</v>
      </c>
      <c r="Q160" s="277" t="str">
        <f>IFERROR(IF($B160="N/A","N/A",IF(MOD(COLUMNS($H$151:Q$151)-1,$E160)=0,$F160*$D160*$G160,)),)</f>
        <v>N/A</v>
      </c>
      <c r="R160" s="277" t="str">
        <f>IFERROR(IF($B160="N/A","N/A",IF(MOD(COLUMNS($H$151:R$151)-1,$E160)=0,$F160*$D160*$G160,)),)</f>
        <v>N/A</v>
      </c>
      <c r="S160" s="277" t="str">
        <f>IFERROR(IF($B160="N/A","N/A",IF(MOD(COLUMNS($H$151:S$151)-1,$E160)=0,$F160*$D160*$G160,)),)</f>
        <v>N/A</v>
      </c>
      <c r="T160" s="277" t="str">
        <f>IFERROR(IF($B160="N/A","N/A",IF(MOD(COLUMNS($H$151:T$151)-1,$E160)=0,$F160*$D160*$G160,)),)</f>
        <v>N/A</v>
      </c>
      <c r="U160" s="277" t="str">
        <f>IFERROR(IF($B160="N/A","N/A",IF(MOD(COLUMNS($H$151:U$151)-1,$E160)=0,$F160*$D160*$G160,)),)</f>
        <v>N/A</v>
      </c>
      <c r="V160" s="277" t="str">
        <f>IFERROR(IF($B160="N/A","N/A",IF(MOD(COLUMNS($H$151:V$151)-1,$E160)=0,$F160*$D160*$G160,)),)</f>
        <v>N/A</v>
      </c>
      <c r="W160" s="277" t="str">
        <f>IFERROR(IF($B160="N/A","N/A",IF(MOD(COLUMNS($H$151:W$151)-1,$E160)=0,$F160*$D160*$G160,)),)</f>
        <v>N/A</v>
      </c>
    </row>
    <row r="161" spans="2:23">
      <c r="B161" s="76" t="str">
        <f t="array" ref="B161">IF(COUNTIFS(INDEX(Equipment_Allocation_New,0,MATCH($C$107,Unit_codes,0)),"&gt;0")&lt;ROWS('2.2-Equipment input'!$X$8:$X17),"N/A",INDEX('2.2-Equipment input'!B:B,SMALL(IF(INDEX(Equipment_Allocation_New,0,MATCH($C$107,Unit_codes,0))&gt;0,ROW(equipment_ID)),ROW('2.2-Equipment input'!B10))))</f>
        <v>N/A</v>
      </c>
      <c r="C161" s="76" t="str">
        <f>IF($B161="N/A","N/A",INDEX(Equipment_name[],MATCH(B161,equipment_ID,0)))</f>
        <v>N/A</v>
      </c>
      <c r="D161" s="277" t="str">
        <f t="shared" si="61"/>
        <v>N/A</v>
      </c>
      <c r="E161" s="94" t="str">
        <f t="shared" si="62"/>
        <v>N/A</v>
      </c>
      <c r="F161" s="94" t="str">
        <f t="shared" si="63"/>
        <v>N/A</v>
      </c>
      <c r="G161" s="94" t="str">
        <f t="shared" si="64"/>
        <v>N/A</v>
      </c>
      <c r="H161" s="277" t="str">
        <f>IFERROR(IF($B161="N/A","N/A",IF(MOD(COLUMNS(H$151:$H$151)-1,$E161)=0,$F161*$D161*$G161,)),)</f>
        <v>N/A</v>
      </c>
      <c r="I161" s="277" t="str">
        <f>IFERROR(IF($B161="N/A","N/A",IF(MOD(COLUMNS($H$151:I$151)-1,$E161)=0,$F161*$D161*$G161,)),)</f>
        <v>N/A</v>
      </c>
      <c r="J161" s="277" t="str">
        <f>IFERROR(IF($B161="N/A","N/A",IF(MOD(COLUMNS($H$151:J$151)-1,$E161)=0,$F161*$D161*$G161,)),)</f>
        <v>N/A</v>
      </c>
      <c r="K161" s="277" t="str">
        <f>IFERROR(IF($B161="N/A","N/A",IF(MOD(COLUMNS($H$151:K$151)-1,$E161)=0,$F161*$D161*$G161,)),)</f>
        <v>N/A</v>
      </c>
      <c r="L161" s="277" t="str">
        <f>IFERROR(IF($B161="N/A","N/A",IF(MOD(COLUMNS($H$151:L$151)-1,$E161)=0,$F161*$D161*$G161,)),)</f>
        <v>N/A</v>
      </c>
      <c r="M161" s="277" t="str">
        <f>IFERROR(IF($B161="N/A","N/A",IF(MOD(COLUMNS($H$151:M$151)-1,$E161)=0,$F161*$D161*$G161,)),)</f>
        <v>N/A</v>
      </c>
      <c r="N161" s="277" t="str">
        <f>IFERROR(IF($B161="N/A","N/A",IF(MOD(COLUMNS($H$151:N$151)-1,$E161)=0,$F161*$D161*$G161,)),)</f>
        <v>N/A</v>
      </c>
      <c r="O161" s="277" t="str">
        <f>IFERROR(IF($B161="N/A","N/A",IF(MOD(COLUMNS($H$151:O$151)-1,$E161)=0,$F161*$D161*$G161,)),)</f>
        <v>N/A</v>
      </c>
      <c r="P161" s="277" t="str">
        <f>IFERROR(IF($B161="N/A","N/A",IF(MOD(COLUMNS($H$151:P$151)-1,$E161)=0,$F161*$D161*$G161,)),)</f>
        <v>N/A</v>
      </c>
      <c r="Q161" s="277" t="str">
        <f>IFERROR(IF($B161="N/A","N/A",IF(MOD(COLUMNS($H$151:Q$151)-1,$E161)=0,$F161*$D161*$G161,)),)</f>
        <v>N/A</v>
      </c>
      <c r="R161" s="277" t="str">
        <f>IFERROR(IF($B161="N/A","N/A",IF(MOD(COLUMNS($H$151:R$151)-1,$E161)=0,$F161*$D161*$G161,)),)</f>
        <v>N/A</v>
      </c>
      <c r="S161" s="277" t="str">
        <f>IFERROR(IF($B161="N/A","N/A",IF(MOD(COLUMNS($H$151:S$151)-1,$E161)=0,$F161*$D161*$G161,)),)</f>
        <v>N/A</v>
      </c>
      <c r="T161" s="277" t="str">
        <f>IFERROR(IF($B161="N/A","N/A",IF(MOD(COLUMNS($H$151:T$151)-1,$E161)=0,$F161*$D161*$G161,)),)</f>
        <v>N/A</v>
      </c>
      <c r="U161" s="277" t="str">
        <f>IFERROR(IF($B161="N/A","N/A",IF(MOD(COLUMNS($H$151:U$151)-1,$E161)=0,$F161*$D161*$G161,)),)</f>
        <v>N/A</v>
      </c>
      <c r="V161" s="277" t="str">
        <f>IFERROR(IF($B161="N/A","N/A",IF(MOD(COLUMNS($H$151:V$151)-1,$E161)=0,$F161*$D161*$G161,)),)</f>
        <v>N/A</v>
      </c>
      <c r="W161" s="277" t="str">
        <f>IFERROR(IF($B161="N/A","N/A",IF(MOD(COLUMNS($H$151:W$151)-1,$E161)=0,$F161*$D161*$G161,)),)</f>
        <v>N/A</v>
      </c>
    </row>
    <row r="162" spans="2:23">
      <c r="B162" s="76" t="str">
        <f t="array" ref="B162">IF(COUNTIFS(INDEX(Equipment_Allocation_New,0,MATCH($C$107,Unit_codes,0)),"&gt;0")&lt;ROWS('2.2-Equipment input'!$X$8:$X18),"N/A",INDEX('2.2-Equipment input'!B:B,SMALL(IF(INDEX(Equipment_Allocation_New,0,MATCH($C$107,Unit_codes,0))&gt;0,ROW(equipment_ID)),ROW('2.2-Equipment input'!B11))))</f>
        <v>N/A</v>
      </c>
      <c r="C162" s="76" t="str">
        <f>IF($B162="N/A","N/A",INDEX(Equipment_name[],MATCH(B162,equipment_ID,0)))</f>
        <v>N/A</v>
      </c>
      <c r="D162" s="277" t="str">
        <f t="shared" si="61"/>
        <v>N/A</v>
      </c>
      <c r="E162" s="94" t="str">
        <f t="shared" si="62"/>
        <v>N/A</v>
      </c>
      <c r="F162" s="94" t="str">
        <f t="shared" si="63"/>
        <v>N/A</v>
      </c>
      <c r="G162" s="94" t="str">
        <f t="shared" si="64"/>
        <v>N/A</v>
      </c>
      <c r="H162" s="277" t="str">
        <f>IFERROR(IF($B162="N/A","N/A",IF(MOD(COLUMNS(H$151:$H$151)-1,$E162)=0,$F162*$D162*$G162,)),)</f>
        <v>N/A</v>
      </c>
      <c r="I162" s="277" t="str">
        <f>IFERROR(IF($B162="N/A","N/A",IF(MOD(COLUMNS($H$151:I$151)-1,$E162)=0,$F162*$D162*$G162,)),)</f>
        <v>N/A</v>
      </c>
      <c r="J162" s="277" t="str">
        <f>IFERROR(IF($B162="N/A","N/A",IF(MOD(COLUMNS($H$151:J$151)-1,$E162)=0,$F162*$D162*$G162,)),)</f>
        <v>N/A</v>
      </c>
      <c r="K162" s="277" t="str">
        <f>IFERROR(IF($B162="N/A","N/A",IF(MOD(COLUMNS($H$151:K$151)-1,$E162)=0,$F162*$D162*$G162,)),)</f>
        <v>N/A</v>
      </c>
      <c r="L162" s="277" t="str">
        <f>IFERROR(IF($B162="N/A","N/A",IF(MOD(COLUMNS($H$151:L$151)-1,$E162)=0,$F162*$D162*$G162,)),)</f>
        <v>N/A</v>
      </c>
      <c r="M162" s="277" t="str">
        <f>IFERROR(IF($B162="N/A","N/A",IF(MOD(COLUMNS($H$151:M$151)-1,$E162)=0,$F162*$D162*$G162,)),)</f>
        <v>N/A</v>
      </c>
      <c r="N162" s="277" t="str">
        <f>IFERROR(IF($B162="N/A","N/A",IF(MOD(COLUMNS($H$151:N$151)-1,$E162)=0,$F162*$D162*$G162,)),)</f>
        <v>N/A</v>
      </c>
      <c r="O162" s="277" t="str">
        <f>IFERROR(IF($B162="N/A","N/A",IF(MOD(COLUMNS($H$151:O$151)-1,$E162)=0,$F162*$D162*$G162,)),)</f>
        <v>N/A</v>
      </c>
      <c r="P162" s="277" t="str">
        <f>IFERROR(IF($B162="N/A","N/A",IF(MOD(COLUMNS($H$151:P$151)-1,$E162)=0,$F162*$D162*$G162,)),)</f>
        <v>N/A</v>
      </c>
      <c r="Q162" s="277" t="str">
        <f>IFERROR(IF($B162="N/A","N/A",IF(MOD(COLUMNS($H$151:Q$151)-1,$E162)=0,$F162*$D162*$G162,)),)</f>
        <v>N/A</v>
      </c>
      <c r="R162" s="277" t="str">
        <f>IFERROR(IF($B162="N/A","N/A",IF(MOD(COLUMNS($H$151:R$151)-1,$E162)=0,$F162*$D162*$G162,)),)</f>
        <v>N/A</v>
      </c>
      <c r="S162" s="277" t="str">
        <f>IFERROR(IF($B162="N/A","N/A",IF(MOD(COLUMNS($H$151:S$151)-1,$E162)=0,$F162*$D162*$G162,)),)</f>
        <v>N/A</v>
      </c>
      <c r="T162" s="277" t="str">
        <f>IFERROR(IF($B162="N/A","N/A",IF(MOD(COLUMNS($H$151:T$151)-1,$E162)=0,$F162*$D162*$G162,)),)</f>
        <v>N/A</v>
      </c>
      <c r="U162" s="277" t="str">
        <f>IFERROR(IF($B162="N/A","N/A",IF(MOD(COLUMNS($H$151:U$151)-1,$E162)=0,$F162*$D162*$G162,)),)</f>
        <v>N/A</v>
      </c>
      <c r="V162" s="277" t="str">
        <f>IFERROR(IF($B162="N/A","N/A",IF(MOD(COLUMNS($H$151:V$151)-1,$E162)=0,$F162*$D162*$G162,)),)</f>
        <v>N/A</v>
      </c>
      <c r="W162" s="277" t="str">
        <f>IFERROR(IF($B162="N/A","N/A",IF(MOD(COLUMNS($H$151:W$151)-1,$E162)=0,$F162*$D162*$G162,)),)</f>
        <v>N/A</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61"/>
        <v>N/A</v>
      </c>
      <c r="E163" s="94" t="str">
        <f t="shared" si="62"/>
        <v>N/A</v>
      </c>
      <c r="F163" s="94" t="str">
        <f t="shared" si="63"/>
        <v>N/A</v>
      </c>
      <c r="G163" s="94" t="str">
        <f t="shared" si="64"/>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61"/>
        <v>N/A</v>
      </c>
      <c r="E164" s="94" t="str">
        <f t="shared" si="62"/>
        <v>N/A</v>
      </c>
      <c r="F164" s="94" t="str">
        <f t="shared" si="63"/>
        <v>N/A</v>
      </c>
      <c r="G164" s="94" t="str">
        <f t="shared" si="64"/>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61"/>
        <v>N/A</v>
      </c>
      <c r="E165" s="94" t="str">
        <f t="shared" si="62"/>
        <v>N/A</v>
      </c>
      <c r="F165" s="94" t="str">
        <f t="shared" si="63"/>
        <v>N/A</v>
      </c>
      <c r="G165" s="94" t="str">
        <f t="shared" si="64"/>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61"/>
        <v>N/A</v>
      </c>
      <c r="E166" s="94" t="str">
        <f t="shared" si="62"/>
        <v>N/A</v>
      </c>
      <c r="F166" s="94" t="str">
        <f t="shared" si="63"/>
        <v>N/A</v>
      </c>
      <c r="G166" s="94" t="str">
        <f t="shared" si="64"/>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61"/>
        <v>N/A</v>
      </c>
      <c r="E167" s="94" t="str">
        <f t="shared" si="62"/>
        <v>N/A</v>
      </c>
      <c r="F167" s="94" t="str">
        <f t="shared" si="63"/>
        <v>N/A</v>
      </c>
      <c r="G167" s="94" t="str">
        <f t="shared" si="64"/>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61"/>
        <v>N/A</v>
      </c>
      <c r="E168" s="94" t="str">
        <f t="shared" si="62"/>
        <v>N/A</v>
      </c>
      <c r="F168" s="94" t="str">
        <f t="shared" si="63"/>
        <v>N/A</v>
      </c>
      <c r="G168" s="94" t="str">
        <f t="shared" si="64"/>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61"/>
        <v>N/A</v>
      </c>
      <c r="E169" s="94" t="str">
        <f t="shared" si="62"/>
        <v>N/A</v>
      </c>
      <c r="F169" s="94" t="str">
        <f t="shared" si="63"/>
        <v>N/A</v>
      </c>
      <c r="G169" s="94" t="str">
        <f t="shared" si="64"/>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61"/>
        <v>N/A</v>
      </c>
      <c r="E170" s="94" t="str">
        <f t="shared" si="62"/>
        <v>N/A</v>
      </c>
      <c r="F170" s="94" t="str">
        <f t="shared" si="63"/>
        <v>N/A</v>
      </c>
      <c r="G170" s="94" t="str">
        <f t="shared" si="64"/>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61"/>
        <v>N/A</v>
      </c>
      <c r="E171" s="94" t="str">
        <f t="shared" si="62"/>
        <v>N/A</v>
      </c>
      <c r="F171" s="94" t="str">
        <f t="shared" si="63"/>
        <v>N/A</v>
      </c>
      <c r="G171" s="94" t="str">
        <f t="shared" si="64"/>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61"/>
        <v>N/A</v>
      </c>
      <c r="E172" s="94" t="str">
        <f t="shared" si="62"/>
        <v>N/A</v>
      </c>
      <c r="F172" s="94" t="str">
        <f t="shared" si="63"/>
        <v>N/A</v>
      </c>
      <c r="G172" s="94" t="str">
        <f t="shared" si="64"/>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61"/>
        <v>N/A</v>
      </c>
      <c r="E173" s="94" t="str">
        <f t="shared" si="62"/>
        <v>N/A</v>
      </c>
      <c r="F173" s="94" t="str">
        <f t="shared" si="63"/>
        <v>N/A</v>
      </c>
      <c r="G173" s="94" t="str">
        <f t="shared" si="64"/>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61"/>
        <v>N/A</v>
      </c>
      <c r="E174" s="94" t="str">
        <f t="shared" si="62"/>
        <v>N/A</v>
      </c>
      <c r="F174" s="94" t="str">
        <f t="shared" si="63"/>
        <v>N/A</v>
      </c>
      <c r="G174" s="94" t="str">
        <f t="shared" si="64"/>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61"/>
        <v>N/A</v>
      </c>
      <c r="E175" s="94" t="str">
        <f t="shared" si="62"/>
        <v>N/A</v>
      </c>
      <c r="F175" s="94" t="str">
        <f t="shared" si="63"/>
        <v>N/A</v>
      </c>
      <c r="G175" s="94" t="str">
        <f t="shared" si="64"/>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61"/>
        <v>N/A</v>
      </c>
      <c r="E176" s="94" t="str">
        <f t="shared" si="62"/>
        <v>N/A</v>
      </c>
      <c r="F176" s="94" t="str">
        <f t="shared" si="63"/>
        <v>N/A</v>
      </c>
      <c r="G176" s="94" t="str">
        <f t="shared" si="64"/>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61"/>
        <v>N/A</v>
      </c>
      <c r="E177" s="94" t="str">
        <f t="shared" si="62"/>
        <v>N/A</v>
      </c>
      <c r="F177" s="94" t="str">
        <f t="shared" si="63"/>
        <v>N/A</v>
      </c>
      <c r="G177" s="94" t="str">
        <f t="shared" si="64"/>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61"/>
        <v>N/A</v>
      </c>
      <c r="E178" s="94" t="str">
        <f t="shared" si="62"/>
        <v>N/A</v>
      </c>
      <c r="F178" s="94" t="str">
        <f t="shared" si="63"/>
        <v>N/A</v>
      </c>
      <c r="G178" s="94" t="str">
        <f t="shared" si="64"/>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61"/>
        <v>N/A</v>
      </c>
      <c r="E179" s="94" t="str">
        <f t="shared" si="62"/>
        <v>N/A</v>
      </c>
      <c r="F179" s="94" t="str">
        <f t="shared" si="63"/>
        <v>N/A</v>
      </c>
      <c r="G179" s="94" t="str">
        <f t="shared" si="64"/>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61"/>
        <v>N/A</v>
      </c>
      <c r="E180" s="94" t="str">
        <f t="shared" si="62"/>
        <v>N/A</v>
      </c>
      <c r="F180" s="94" t="str">
        <f t="shared" si="63"/>
        <v>N/A</v>
      </c>
      <c r="G180" s="94" t="str">
        <f t="shared" si="64"/>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61"/>
        <v>N/A</v>
      </c>
      <c r="E181" s="94" t="str">
        <f t="shared" si="62"/>
        <v>N/A</v>
      </c>
      <c r="F181" s="94" t="str">
        <f t="shared" si="63"/>
        <v>N/A</v>
      </c>
      <c r="G181" s="94" t="str">
        <f t="shared" si="64"/>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61"/>
        <v>N/A</v>
      </c>
      <c r="E182" s="94" t="str">
        <f t="shared" si="62"/>
        <v>N/A</v>
      </c>
      <c r="F182" s="94" t="str">
        <f t="shared" si="63"/>
        <v>N/A</v>
      </c>
      <c r="G182" s="94" t="str">
        <f t="shared" si="64"/>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61"/>
        <v>N/A</v>
      </c>
      <c r="E183" s="94" t="str">
        <f t="shared" si="62"/>
        <v>N/A</v>
      </c>
      <c r="F183" s="94" t="str">
        <f t="shared" si="63"/>
        <v>N/A</v>
      </c>
      <c r="G183" s="94" t="str">
        <f t="shared" si="64"/>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61"/>
        <v>N/A</v>
      </c>
      <c r="E184" s="94" t="str">
        <f t="shared" si="62"/>
        <v>N/A</v>
      </c>
      <c r="F184" s="94" t="str">
        <f t="shared" si="63"/>
        <v>N/A</v>
      </c>
      <c r="G184" s="94" t="str">
        <f t="shared" si="64"/>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61"/>
        <v>N/A</v>
      </c>
      <c r="E185" s="94" t="str">
        <f t="shared" si="62"/>
        <v>N/A</v>
      </c>
      <c r="F185" s="94" t="str">
        <f t="shared" si="63"/>
        <v>N/A</v>
      </c>
      <c r="G185" s="94" t="str">
        <f t="shared" si="64"/>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61"/>
        <v>N/A</v>
      </c>
      <c r="E186" s="94" t="str">
        <f t="shared" si="62"/>
        <v>N/A</v>
      </c>
      <c r="F186" s="94" t="str">
        <f t="shared" si="63"/>
        <v>N/A</v>
      </c>
      <c r="G186" s="94" t="str">
        <f t="shared" si="64"/>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61"/>
        <v>N/A</v>
      </c>
      <c r="E187" s="94" t="str">
        <f t="shared" si="62"/>
        <v>N/A</v>
      </c>
      <c r="F187" s="94" t="str">
        <f t="shared" si="63"/>
        <v>N/A</v>
      </c>
      <c r="G187" s="94" t="str">
        <f t="shared" si="64"/>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61"/>
        <v>N/A</v>
      </c>
      <c r="E188" s="94" t="str">
        <f t="shared" si="62"/>
        <v>N/A</v>
      </c>
      <c r="F188" s="94" t="str">
        <f t="shared" si="63"/>
        <v>N/A</v>
      </c>
      <c r="G188" s="94" t="str">
        <f t="shared" si="64"/>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61"/>
        <v>N/A</v>
      </c>
      <c r="E189" s="94" t="str">
        <f t="shared" si="62"/>
        <v>N/A</v>
      </c>
      <c r="F189" s="94" t="str">
        <f t="shared" si="63"/>
        <v>N/A</v>
      </c>
      <c r="G189" s="94" t="str">
        <f t="shared" si="64"/>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rONOa+/IxBe99Q9QKC78FFMFoVGUBYhsBTdRPDUwoNyVoDrALy5RtpjjgoHm6VZVeqeGRXcdxNGpWSegaGJtuA==" saltValue="08h2hWfDzhS7Tb1fyQ9YUw==" spinCount="100000" sheet="1" objects="1" scenarios="1"/>
  <mergeCells count="9">
    <mergeCell ref="C80:D80"/>
    <mergeCell ref="N38:N39"/>
    <mergeCell ref="B2:F2"/>
    <mergeCell ref="B33:D33"/>
    <mergeCell ref="I43:K43"/>
    <mergeCell ref="C48:D48"/>
    <mergeCell ref="C49:D49"/>
    <mergeCell ref="C79:D79"/>
    <mergeCell ref="B43:D43"/>
  </mergeCells>
  <conditionalFormatting sqref="B110:C147">
    <cfRule type="containsText" dxfId="295" priority="101" operator="containsText" text="N/A">
      <formula>NOT(ISERROR(SEARCH("N/A",B110)))</formula>
    </cfRule>
  </conditionalFormatting>
  <conditionalFormatting sqref="E110:E147">
    <cfRule type="containsText" dxfId="294" priority="100" operator="containsText" text="N/A">
      <formula>NOT(ISERROR(SEARCH("N/A",E110)))</formula>
    </cfRule>
  </conditionalFormatting>
  <conditionalFormatting sqref="B52:B74 E52:E74">
    <cfRule type="containsText" dxfId="293" priority="99" operator="containsText" text="N/A">
      <formula>NOT(ISERROR(SEARCH("N/A",B52)))</formula>
    </cfRule>
  </conditionalFormatting>
  <conditionalFormatting sqref="C52:C74">
    <cfRule type="containsText" dxfId="292" priority="98" operator="containsText" text="N/A">
      <formula>NOT(ISERROR(SEARCH("N/A",C52)))</formula>
    </cfRule>
  </conditionalFormatting>
  <conditionalFormatting sqref="F52:F74">
    <cfRule type="containsText" dxfId="291" priority="96" operator="containsText" text="N/A">
      <formula>NOT(ISERROR(SEARCH("N/A",F52)))</formula>
    </cfRule>
  </conditionalFormatting>
  <conditionalFormatting sqref="B83:B103 E83:E103">
    <cfRule type="containsText" dxfId="290" priority="95" operator="containsText" text="N/A">
      <formula>NOT(ISERROR(SEARCH("N/A",B83)))</formula>
    </cfRule>
  </conditionalFormatting>
  <conditionalFormatting sqref="C83:C103">
    <cfRule type="containsText" dxfId="289" priority="94" operator="containsText" text="N/A">
      <formula>NOT(ISERROR(SEARCH("N/A",C83)))</formula>
    </cfRule>
  </conditionalFormatting>
  <conditionalFormatting sqref="E20:E31">
    <cfRule type="containsText" dxfId="288" priority="73" operator="containsText" text="N/A">
      <formula>NOT(ISERROR(SEARCH("N/A",E20)))</formula>
    </cfRule>
  </conditionalFormatting>
  <conditionalFormatting sqref="F83:F103">
    <cfRule type="containsText" dxfId="287" priority="92" operator="containsText" text="N/A">
      <formula>NOT(ISERROR(SEARCH("N/A",F83)))</formula>
    </cfRule>
  </conditionalFormatting>
  <conditionalFormatting sqref="B20:D31">
    <cfRule type="containsText" dxfId="286" priority="91" operator="containsText" text="N/A">
      <formula>NOT(ISERROR(SEARCH("N/A",B20)))</formula>
    </cfRule>
  </conditionalFormatting>
  <conditionalFormatting sqref="G110:G147">
    <cfRule type="containsText" dxfId="285" priority="90" operator="containsText" text="N/A">
      <formula>NOT(ISERROR(SEARCH("N/A",G110)))</formula>
    </cfRule>
  </conditionalFormatting>
  <conditionalFormatting sqref="I110:I147">
    <cfRule type="containsText" dxfId="284" priority="89" operator="containsText" text="N/A">
      <formula>NOT(ISERROR(SEARCH("N/A",I110)))</formula>
    </cfRule>
  </conditionalFormatting>
  <conditionalFormatting sqref="K110:K147">
    <cfRule type="containsText" dxfId="283" priority="88" operator="containsText" text="N/A">
      <formula>NOT(ISERROR(SEARCH("N/A",K110)))</formula>
    </cfRule>
  </conditionalFormatting>
  <conditionalFormatting sqref="F110:F147">
    <cfRule type="containsText" dxfId="282" priority="87" operator="containsText" text="N/A">
      <formula>NOT(ISERROR(SEARCH("N/A",F110)))</formula>
    </cfRule>
  </conditionalFormatting>
  <conditionalFormatting sqref="B152:B189">
    <cfRule type="containsText" dxfId="281" priority="85" operator="containsText" text="N/A">
      <formula>NOT(ISERROR(SEARCH("N/A",B152)))</formula>
    </cfRule>
  </conditionalFormatting>
  <conditionalFormatting sqref="C152:C189">
    <cfRule type="containsText" dxfId="280" priority="84" operator="containsText" text="N/A">
      <formula>NOT(ISERROR(SEARCH("N/A",C152)))</formula>
    </cfRule>
  </conditionalFormatting>
  <conditionalFormatting sqref="F152:F189">
    <cfRule type="containsText" dxfId="279" priority="83" operator="containsText" text="N/A">
      <formula>NOT(ISERROR(SEARCH("N/A",F152)))</formula>
    </cfRule>
  </conditionalFormatting>
  <conditionalFormatting sqref="E152:E189">
    <cfRule type="containsText" dxfId="278" priority="81" operator="containsText" text="N/A">
      <formula>NOT(ISERROR(SEARCH("N/A",E152)))</formula>
    </cfRule>
  </conditionalFormatting>
  <conditionalFormatting sqref="O110:O147">
    <cfRule type="containsText" dxfId="277" priority="72" operator="containsText" text="N/A">
      <formula>NOT(ISERROR(SEARCH("N/A",O110)))</formula>
    </cfRule>
  </conditionalFormatting>
  <conditionalFormatting sqref="H153:W189 I152:W152">
    <cfRule type="containsText" dxfId="276" priority="78" operator="containsText" text="N/A">
      <formula>NOT(ISERROR(SEARCH("N/A",H152)))</formula>
    </cfRule>
  </conditionalFormatting>
  <conditionalFormatting sqref="G152:G189">
    <cfRule type="containsText" dxfId="275" priority="75" operator="containsText" text="N/A">
      <formula>NOT(ISERROR(SEARCH("N/A",G152)))</formula>
    </cfRule>
  </conditionalFormatting>
  <conditionalFormatting sqref="F39:F41">
    <cfRule type="expression" dxfId="274" priority="66">
      <formula>IF(INDIRECT("General_Currency_Selection")="CHF",TRUE)</formula>
    </cfRule>
    <cfRule type="expression" dxfId="273" priority="67">
      <formula>IF(INDIRECT("General_Currency_Selection")="EUR",TRUE)</formula>
    </cfRule>
    <cfRule type="expression" dxfId="272" priority="68">
      <formula>IF(INDIRECT("General_Currency_Selection")="USD",TRUE)</formula>
    </cfRule>
  </conditionalFormatting>
  <conditionalFormatting sqref="E39:E41">
    <cfRule type="expression" dxfId="271" priority="63">
      <formula>IF(INDIRECT("General_Currency_Selection")="CHF",TRUE)</formula>
    </cfRule>
    <cfRule type="expression" dxfId="270" priority="64">
      <formula>IF(INDIRECT("General_Currency_Selection")="EUR",TRUE)</formula>
    </cfRule>
    <cfRule type="expression" dxfId="269" priority="65">
      <formula>IF(INDIRECT("General_Currency_Selection")="USD",TRUE)</formula>
    </cfRule>
  </conditionalFormatting>
  <conditionalFormatting sqref="E43:F43">
    <cfRule type="expression" dxfId="268" priority="60">
      <formula>IF(INDIRECT("General_Currency_Selection")="CHF",TRUE)</formula>
    </cfRule>
    <cfRule type="expression" dxfId="267" priority="61">
      <formula>IF(INDIRECT("General_Currency_Selection")="EUR",TRUE)</formula>
    </cfRule>
    <cfRule type="expression" dxfId="266" priority="62">
      <formula>IF(INDIRECT("General_Currency_Selection")="USD",TRUE)</formula>
    </cfRule>
  </conditionalFormatting>
  <conditionalFormatting sqref="G35">
    <cfRule type="expression" dxfId="265" priority="57">
      <formula>IF(INDIRECT("General_Currency_Selection")="CHF",TRUE)</formula>
    </cfRule>
    <cfRule type="expression" dxfId="264" priority="58">
      <formula>IF(INDIRECT("General_Currency_Selection")="EUR",TRUE)</formula>
    </cfRule>
    <cfRule type="expression" dxfId="263" priority="59">
      <formula>IF(INDIRECT("General_Currency_Selection")="USD",TRUE)</formula>
    </cfRule>
  </conditionalFormatting>
  <conditionalFormatting sqref="G15">
    <cfRule type="expression" dxfId="262" priority="54">
      <formula>IF(INDIRECT("General_Currency_Selection")="CHF",TRUE)</formula>
    </cfRule>
    <cfRule type="expression" dxfId="261" priority="55">
      <formula>IF(INDIRECT("General_Currency_Selection")="EUR",TRUE)</formula>
    </cfRule>
    <cfRule type="expression" dxfId="260" priority="56">
      <formula>IF(INDIRECT("General_Currency_Selection")="USD",TRUE)</formula>
    </cfRule>
  </conditionalFormatting>
  <conditionalFormatting sqref="G45">
    <cfRule type="expression" dxfId="259" priority="51">
      <formula>IF(INDIRECT("General_Currency_Selection")="CHF",TRUE)</formula>
    </cfRule>
    <cfRule type="expression" dxfId="258" priority="52">
      <formula>IF(INDIRECT("General_Currency_Selection")="EUR",TRUE)</formula>
    </cfRule>
    <cfRule type="expression" dxfId="257" priority="53">
      <formula>IF(INDIRECT("General_Currency_Selection")="USD",TRUE)</formula>
    </cfRule>
  </conditionalFormatting>
  <conditionalFormatting sqref="F20:F31">
    <cfRule type="expression" dxfId="256" priority="48">
      <formula>IF(INDIRECT("General_Currency_Selection")="CHF",TRUE)</formula>
    </cfRule>
    <cfRule type="expression" dxfId="255" priority="49">
      <formula>IF(INDIRECT("General_Currency_Selection")="EUR",TRUE)</formula>
    </cfRule>
    <cfRule type="expression" dxfId="254" priority="50">
      <formula>IF(INDIRECT("General_Currency_Selection")="USD",TRUE)</formula>
    </cfRule>
  </conditionalFormatting>
  <conditionalFormatting sqref="E33">
    <cfRule type="expression" dxfId="253" priority="45">
      <formula>IF(INDIRECT("General_Currency_Selection")="CHF",TRUE)</formula>
    </cfRule>
    <cfRule type="expression" dxfId="252" priority="46">
      <formula>IF(INDIRECT("General_Currency_Selection")="EUR",TRUE)</formula>
    </cfRule>
    <cfRule type="expression" dxfId="251" priority="47">
      <formula>IF(INDIRECT("General_Currency_Selection")="USD",TRUE)</formula>
    </cfRule>
  </conditionalFormatting>
  <conditionalFormatting sqref="D52:D74">
    <cfRule type="expression" dxfId="250" priority="42">
      <formula>IF(INDIRECT("General_Currency_Selection")="CHF",TRUE)</formula>
    </cfRule>
    <cfRule type="expression" dxfId="249" priority="43">
      <formula>IF(INDIRECT("General_Currency_Selection")="EUR",TRUE)</formula>
    </cfRule>
    <cfRule type="expression" dxfId="248" priority="44">
      <formula>IF(INDIRECT("General_Currency_Selection")="USD",TRUE)</formula>
    </cfRule>
  </conditionalFormatting>
  <conditionalFormatting sqref="G52:G74">
    <cfRule type="expression" dxfId="247" priority="39">
      <formula>IF(INDIRECT("General_Currency_Selection")="CHF",TRUE)</formula>
    </cfRule>
    <cfRule type="expression" dxfId="246" priority="40">
      <formula>IF(INDIRECT("General_Currency_Selection")="EUR",TRUE)</formula>
    </cfRule>
    <cfRule type="expression" dxfId="245" priority="41">
      <formula>IF(INDIRECT("General_Currency_Selection")="USD",TRUE)</formula>
    </cfRule>
  </conditionalFormatting>
  <conditionalFormatting sqref="G76">
    <cfRule type="expression" dxfId="244" priority="36">
      <formula>IF(INDIRECT("General_Currency_Selection")="CHF",TRUE)</formula>
    </cfRule>
    <cfRule type="expression" dxfId="243" priority="37">
      <formula>IF(INDIRECT("General_Currency_Selection")="EUR",TRUE)</formula>
    </cfRule>
    <cfRule type="expression" dxfId="242" priority="38">
      <formula>IF(INDIRECT("General_Currency_Selection")="USD",TRUE)</formula>
    </cfRule>
  </conditionalFormatting>
  <conditionalFormatting sqref="D83:D103">
    <cfRule type="expression" dxfId="241" priority="33">
      <formula>IF(INDIRECT("General_Currency_Selection")="CHF",TRUE)</formula>
    </cfRule>
    <cfRule type="expression" dxfId="240" priority="34">
      <formula>IF(INDIRECT("General_Currency_Selection")="EUR",TRUE)</formula>
    </cfRule>
    <cfRule type="expression" dxfId="239" priority="35">
      <formula>IF(INDIRECT("General_Currency_Selection")="USD",TRUE)</formula>
    </cfRule>
  </conditionalFormatting>
  <conditionalFormatting sqref="G83:G103">
    <cfRule type="expression" dxfId="238" priority="30">
      <formula>IF(INDIRECT("General_Currency_Selection")="CHF",TRUE)</formula>
    </cfRule>
    <cfRule type="expression" dxfId="237" priority="31">
      <formula>IF(INDIRECT("General_Currency_Selection")="EUR",TRUE)</formula>
    </cfRule>
    <cfRule type="expression" dxfId="236" priority="32">
      <formula>IF(INDIRECT("General_Currency_Selection")="USD",TRUE)</formula>
    </cfRule>
  </conditionalFormatting>
  <conditionalFormatting sqref="G105">
    <cfRule type="expression" dxfId="235" priority="27">
      <formula>IF(INDIRECT("General_Currency_Selection")="CHF",TRUE)</formula>
    </cfRule>
    <cfRule type="expression" dxfId="234" priority="28">
      <formula>IF(INDIRECT("General_Currency_Selection")="EUR",TRUE)</formula>
    </cfRule>
    <cfRule type="expression" dxfId="233" priority="29">
      <formula>IF(INDIRECT("General_Currency_Selection")="USD",TRUE)</formula>
    </cfRule>
  </conditionalFormatting>
  <conditionalFormatting sqref="D110:D147">
    <cfRule type="expression" dxfId="232" priority="24">
      <formula>IF(INDIRECT("General_Currency_Selection")="CHF",TRUE)</formula>
    </cfRule>
    <cfRule type="expression" dxfId="231" priority="25">
      <formula>IF(INDIRECT("General_Currency_Selection")="EUR",TRUE)</formula>
    </cfRule>
    <cfRule type="expression" dxfId="230" priority="26">
      <formula>IF(INDIRECT("General_Currency_Selection")="USD",TRUE)</formula>
    </cfRule>
  </conditionalFormatting>
  <conditionalFormatting sqref="N110:N147">
    <cfRule type="expression" dxfId="229" priority="21">
      <formula>IF(INDIRECT("General_Currency_Selection")="CHF",TRUE)</formula>
    </cfRule>
    <cfRule type="expression" dxfId="228" priority="22">
      <formula>IF(INDIRECT("General_Currency_Selection")="EUR",TRUE)</formula>
    </cfRule>
    <cfRule type="expression" dxfId="227" priority="23">
      <formula>IF(INDIRECT("General_Currency_Selection")="USD",TRUE)</formula>
    </cfRule>
  </conditionalFormatting>
  <conditionalFormatting sqref="D152:D189">
    <cfRule type="expression" dxfId="226" priority="18">
      <formula>IF(INDIRECT("General_Currency_Selection")="CHF",TRUE)</formula>
    </cfRule>
    <cfRule type="expression" dxfId="225" priority="19">
      <formula>IF(INDIRECT("General_Currency_Selection")="EUR",TRUE)</formula>
    </cfRule>
    <cfRule type="expression" dxfId="224" priority="20">
      <formula>IF(INDIRECT("General_Currency_Selection")="USD",TRUE)</formula>
    </cfRule>
  </conditionalFormatting>
  <conditionalFormatting sqref="H149:W149">
    <cfRule type="expression" dxfId="223" priority="15">
      <formula>IF(INDIRECT("General_Currency_Selection")="CHF",TRUE)</formula>
    </cfRule>
    <cfRule type="expression" dxfId="222" priority="16">
      <formula>IF(INDIRECT("General_Currency_Selection")="EUR",TRUE)</formula>
    </cfRule>
    <cfRule type="expression" dxfId="221" priority="17">
      <formula>IF(INDIRECT("General_Currency_Selection")="USD",TRUE)</formula>
    </cfRule>
  </conditionalFormatting>
  <conditionalFormatting sqref="H152:W189">
    <cfRule type="expression" dxfId="220" priority="12">
      <formula>IF(INDIRECT("General_Currency_Selection")="CHF",TRUE)</formula>
    </cfRule>
    <cfRule type="expression" dxfId="219" priority="13">
      <formula>IF(INDIRECT("General_Currency_Selection")="EUR",TRUE)</formula>
    </cfRule>
    <cfRule type="expression" dxfId="218" priority="14">
      <formula>IF(INDIRECT("General_Currency_Selection")="USD",TRUE)</formula>
    </cfRule>
  </conditionalFormatting>
  <conditionalFormatting sqref="H110:H147">
    <cfRule type="expression" dxfId="217" priority="7">
      <formula>IF(INDIRECT("General_Currency_Selection")="CHF",TRUE)</formula>
    </cfRule>
    <cfRule type="expression" dxfId="216" priority="8">
      <formula>IF(INDIRECT("General_Currency_Selection")="EUR",TRUE)</formula>
    </cfRule>
    <cfRule type="expression" dxfId="215" priority="9">
      <formula>IF(INDIRECT("General_Currency_Selection")="USD",TRUE)</formula>
    </cfRule>
  </conditionalFormatting>
  <conditionalFormatting sqref="J110:J147">
    <cfRule type="expression" dxfId="214" priority="4">
      <formula>IF(INDIRECT("General_Currency_Selection")="CHF",TRUE)</formula>
    </cfRule>
    <cfRule type="expression" dxfId="213" priority="5">
      <formula>IF(INDIRECT("General_Currency_Selection")="EUR",TRUE)</formula>
    </cfRule>
    <cfRule type="expression" dxfId="212" priority="6">
      <formula>IF(INDIRECT("General_Currency_Selection")="USD",TRUE)</formula>
    </cfRule>
  </conditionalFormatting>
  <conditionalFormatting sqref="L110:L147">
    <cfRule type="expression" dxfId="211" priority="1">
      <formula>IF(INDIRECT("General_Currency_Selection")="CHF",TRUE)</formula>
    </cfRule>
    <cfRule type="expression" dxfId="210" priority="2">
      <formula>IF(INDIRECT("General_Currency_Selection")="EUR",TRUE)</formula>
    </cfRule>
    <cfRule type="expression" dxfId="209"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79998168889431442"/>
  </sheetPr>
  <dimension ref="B1:W189"/>
  <sheetViews>
    <sheetView zoomScale="70" zoomScaleNormal="70" workbookViewId="0">
      <selection activeCell="P16" sqref="P16"/>
    </sheetView>
  </sheetViews>
  <sheetFormatPr defaultColWidth="11.140625" defaultRowHeight="15"/>
  <cols>
    <col min="1" max="1" width="0.85546875" style="12" customWidth="1"/>
    <col min="2" max="2" width="13.85546875" style="12" customWidth="1"/>
    <col min="3" max="3" width="32.140625" style="12" customWidth="1"/>
    <col min="4" max="4" width="18" style="12" bestFit="1" customWidth="1"/>
    <col min="5" max="5" width="17.85546875" style="12" customWidth="1"/>
    <col min="6" max="6" width="26.7109375" style="12" customWidth="1"/>
    <col min="7" max="23" width="16.5703125" style="12" customWidth="1"/>
    <col min="24" max="16384" width="11.140625" style="12"/>
  </cols>
  <sheetData>
    <row r="1" spans="2:16" ht="21">
      <c r="B1" s="1" t="s">
        <v>100</v>
      </c>
      <c r="C1" s="6"/>
      <c r="D1" s="6"/>
    </row>
    <row r="2" spans="2:16" ht="15.75" thickBot="1"/>
    <row r="3" spans="2:16" ht="18.75">
      <c r="B3" s="64" t="s">
        <v>0</v>
      </c>
      <c r="C3" s="61"/>
      <c r="D3" s="61"/>
      <c r="E3" s="61"/>
      <c r="F3" s="61"/>
      <c r="G3" s="61"/>
      <c r="H3" s="61"/>
      <c r="I3" s="61"/>
      <c r="J3" s="61"/>
      <c r="K3" s="61"/>
      <c r="L3" s="61"/>
      <c r="M3" s="61"/>
      <c r="N3" s="61"/>
      <c r="O3" s="61"/>
      <c r="P3" s="61"/>
    </row>
    <row r="4" spans="2:16" ht="15.75">
      <c r="B4" s="67" t="s">
        <v>1</v>
      </c>
    </row>
    <row r="5" spans="2:16" ht="15.75">
      <c r="B5" s="67"/>
    </row>
    <row r="6" spans="2:16" ht="15.75">
      <c r="B6" s="67"/>
    </row>
    <row r="7" spans="2:16" ht="15.75">
      <c r="B7" s="67"/>
    </row>
    <row r="8" spans="2:16" ht="15.75">
      <c r="B8" s="67"/>
    </row>
    <row r="9" spans="2:16" ht="15.75">
      <c r="B9" s="67"/>
    </row>
    <row r="10" spans="2:16" ht="15.75">
      <c r="B10" s="67"/>
    </row>
    <row r="12" spans="2:16">
      <c r="B12" s="105" t="s">
        <v>70</v>
      </c>
      <c r="C12" s="105" t="str">
        <f>INDEX(General_Products,COLUMNS($C$13:C$13))</f>
        <v>Gate fee</v>
      </c>
      <c r="D12" s="105" t="str">
        <f>INDEX(General_Products,COLUMNS($C$13:D$13))</f>
        <v>Fresh Larvae</v>
      </c>
      <c r="E12" s="105" t="str">
        <f>INDEX(General_Products,COLUMNS($C$13:E$13))</f>
        <v>Dried Larvae</v>
      </c>
      <c r="F12" s="105" t="str">
        <f>INDEX(General_Products,COLUMNS($C$13:F$13))</f>
        <v>Larvae Meal</v>
      </c>
      <c r="G12" s="105" t="str">
        <f>INDEX(General_Products,COLUMNS($C$13:G$13))</f>
        <v>Larvae Oil (crude)</v>
      </c>
      <c r="H12" s="105" t="str">
        <f>INDEX(General_Products,COLUMNS($C$13:H$13))</f>
        <v>Eggs</v>
      </c>
    </row>
    <row r="13" spans="2:16">
      <c r="B13" s="193" t="s">
        <v>658</v>
      </c>
      <c r="C13" s="120">
        <f>INDEX(General_Products_Amount,COLUMNS($C$12:C$12))</f>
        <v>0</v>
      </c>
      <c r="D13" s="120">
        <f>INDEX(General_Products_Amount,COLUMNS($C$12:D$12))</f>
        <v>273.49548935595612</v>
      </c>
      <c r="E13" s="120">
        <f>INDEX(General_Products_Amount,COLUMNS($C$12:E$12))</f>
        <v>0</v>
      </c>
      <c r="F13" s="120">
        <f>INDEX(General_Products_Amount,COLUMNS($C$12:F$12))</f>
        <v>0</v>
      </c>
      <c r="G13" s="120">
        <f>INDEX(General_Products_Amount,COLUMNS($C$12:G$12))</f>
        <v>0</v>
      </c>
      <c r="H13" s="120">
        <f>INDEX(General_Products_Amount,COLUMNS($C$12:H$12))</f>
        <v>0</v>
      </c>
    </row>
    <row r="14" spans="2:16" ht="15.75" thickBot="1"/>
    <row r="15" spans="2:16" ht="30.75">
      <c r="B15" s="2" t="s">
        <v>73</v>
      </c>
      <c r="C15" s="110"/>
      <c r="D15" s="61"/>
      <c r="E15" s="61"/>
      <c r="F15" s="107" t="s">
        <v>128</v>
      </c>
      <c r="G15" s="288">
        <f>E33</f>
        <v>0</v>
      </c>
      <c r="H15" s="61"/>
      <c r="I15" s="61"/>
      <c r="J15" s="61"/>
      <c r="K15" s="61"/>
      <c r="L15" s="61"/>
      <c r="M15" s="61"/>
      <c r="N15" s="61"/>
      <c r="O15" s="61"/>
      <c r="P15" s="61"/>
    </row>
    <row r="16" spans="2:16" ht="15.75">
      <c r="B16" s="67" t="s">
        <v>441</v>
      </c>
    </row>
    <row r="17" spans="2:13">
      <c r="B17" s="105" t="s">
        <v>78</v>
      </c>
      <c r="C17" s="86" t="s">
        <v>537</v>
      </c>
      <c r="G17" s="333"/>
      <c r="I17" s="24"/>
      <c r="J17" s="24"/>
      <c r="K17" s="24"/>
      <c r="L17" s="24"/>
      <c r="M17" s="24"/>
    </row>
    <row r="18" spans="2:13">
      <c r="I18" s="24"/>
      <c r="J18" s="131"/>
      <c r="K18" s="121"/>
      <c r="L18" s="121"/>
      <c r="M18" s="24"/>
    </row>
    <row r="19" spans="2:13" ht="30">
      <c r="B19" s="227" t="s">
        <v>416</v>
      </c>
      <c r="C19" s="227" t="s">
        <v>417</v>
      </c>
      <c r="D19" s="106" t="s">
        <v>659</v>
      </c>
      <c r="E19" s="227" t="s">
        <v>657</v>
      </c>
      <c r="F19" s="106" t="s">
        <v>109</v>
      </c>
      <c r="G19" s="106" t="s">
        <v>649</v>
      </c>
      <c r="H19" s="251" t="s">
        <v>647</v>
      </c>
      <c r="I19" s="32"/>
      <c r="M19" s="24"/>
    </row>
    <row r="20" spans="2:13">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109" t="str">
        <f t="shared" ref="E20:E31" si="2">IF($B20="N/A","N/A",INDEX(Material_Product_Specific,MATCH($B20,Material_Code,0)))</f>
        <v>N/A</v>
      </c>
      <c r="F20" s="277" t="str">
        <f t="shared" ref="F20:F31" si="3">IF($B20="N/A","N/A",INDEX(Material_Unit_Price,MATCH($B20,Material_Code,0)))</f>
        <v>N/A</v>
      </c>
      <c r="G20" s="93" t="str">
        <f>IF($B20="N/A","N/A",F20*D20)</f>
        <v>N/A</v>
      </c>
      <c r="H20" s="93" t="str">
        <f>IF($B20="N/A","N/A",G20*INDEX($C$12:$H$13,2,MATCH(E20,$C$12:$H$12,0))*1000)</f>
        <v>N/A</v>
      </c>
      <c r="I20" s="24"/>
      <c r="M20" s="24"/>
    </row>
    <row r="21" spans="2:13">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109" t="str">
        <f t="shared" si="2"/>
        <v>N/A</v>
      </c>
      <c r="F21" s="277" t="str">
        <f t="shared" si="3"/>
        <v>N/A</v>
      </c>
      <c r="G21" s="93" t="str">
        <f t="shared" ref="G21:G31" si="4">IF($B21="N/A","N/A",F21*D21)</f>
        <v>N/A</v>
      </c>
      <c r="H21" s="93" t="str">
        <f>IF($B21="N/A","N/A",G21*INDEX($C$12:$H$13,2,MATCH(E21,$C$12:$H$12,0))*1000)</f>
        <v>N/A</v>
      </c>
      <c r="I21" s="24"/>
      <c r="M21" s="24"/>
    </row>
    <row r="22" spans="2:13">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109" t="str">
        <f t="shared" si="2"/>
        <v>N/A</v>
      </c>
      <c r="F22" s="277" t="str">
        <f t="shared" si="3"/>
        <v>N/A</v>
      </c>
      <c r="G22" s="93" t="str">
        <f t="shared" si="4"/>
        <v>N/A</v>
      </c>
      <c r="H22" s="93" t="str">
        <f t="shared" ref="H22:H30" si="5">IF($B22="N/A","N/A",G22*INDEX($C$12:$H$13,2,MATCH(E22,$C$12:$H$12,0))*1000)</f>
        <v>N/A</v>
      </c>
      <c r="I22" s="24"/>
      <c r="M22" s="24"/>
    </row>
    <row r="23" spans="2:13">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109" t="str">
        <f t="shared" si="2"/>
        <v>N/A</v>
      </c>
      <c r="F23" s="277" t="str">
        <f t="shared" si="3"/>
        <v>N/A</v>
      </c>
      <c r="G23" s="93" t="str">
        <f t="shared" si="4"/>
        <v>N/A</v>
      </c>
      <c r="H23" s="93" t="str">
        <f t="shared" si="5"/>
        <v>N/A</v>
      </c>
      <c r="I23" s="24"/>
      <c r="M23" s="24"/>
    </row>
    <row r="24" spans="2:13">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109" t="str">
        <f t="shared" si="2"/>
        <v>N/A</v>
      </c>
      <c r="F24" s="277" t="str">
        <f t="shared" si="3"/>
        <v>N/A</v>
      </c>
      <c r="G24" s="93" t="str">
        <f t="shared" si="4"/>
        <v>N/A</v>
      </c>
      <c r="H24" s="93" t="str">
        <f t="shared" si="5"/>
        <v>N/A</v>
      </c>
      <c r="I24" s="24"/>
      <c r="M24" s="24"/>
    </row>
    <row r="25" spans="2:13">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109" t="str">
        <f t="shared" si="2"/>
        <v>N/A</v>
      </c>
      <c r="F25" s="277" t="str">
        <f t="shared" si="3"/>
        <v>N/A</v>
      </c>
      <c r="G25" s="93" t="str">
        <f t="shared" si="4"/>
        <v>N/A</v>
      </c>
      <c r="H25" s="93" t="str">
        <f t="shared" si="5"/>
        <v>N/A</v>
      </c>
      <c r="I25" s="24"/>
    </row>
    <row r="26" spans="2:13">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109" t="str">
        <f t="shared" si="2"/>
        <v>N/A</v>
      </c>
      <c r="F26" s="277" t="str">
        <f t="shared" si="3"/>
        <v>N/A</v>
      </c>
      <c r="G26" s="93" t="str">
        <f t="shared" si="4"/>
        <v>N/A</v>
      </c>
      <c r="H26" s="93" t="str">
        <f>IF($B26="N/A","N/A",G26*INDEX($C$12:$H$13,2,MATCH(E26,$C$12:$H$12,0))*1000)</f>
        <v>N/A</v>
      </c>
      <c r="I26" s="24"/>
    </row>
    <row r="27" spans="2:13">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109" t="str">
        <f t="shared" si="2"/>
        <v>N/A</v>
      </c>
      <c r="F27" s="277" t="str">
        <f t="shared" si="3"/>
        <v>N/A</v>
      </c>
      <c r="G27" s="93" t="str">
        <f t="shared" si="4"/>
        <v>N/A</v>
      </c>
      <c r="H27" s="93" t="str">
        <f t="shared" si="5"/>
        <v>N/A</v>
      </c>
      <c r="I27" s="24"/>
    </row>
    <row r="28" spans="2:13">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109" t="str">
        <f t="shared" si="2"/>
        <v>N/A</v>
      </c>
      <c r="F28" s="277" t="str">
        <f t="shared" si="3"/>
        <v>N/A</v>
      </c>
      <c r="G28" s="93" t="str">
        <f t="shared" si="4"/>
        <v>N/A</v>
      </c>
      <c r="H28" s="93" t="str">
        <f t="shared" si="5"/>
        <v>N/A</v>
      </c>
      <c r="I28" s="24"/>
    </row>
    <row r="29" spans="2:13">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109" t="str">
        <f t="shared" si="2"/>
        <v>N/A</v>
      </c>
      <c r="F29" s="277" t="str">
        <f t="shared" si="3"/>
        <v>N/A</v>
      </c>
      <c r="G29" s="93" t="str">
        <f t="shared" si="4"/>
        <v>N/A</v>
      </c>
      <c r="H29" s="93" t="str">
        <f t="shared" si="5"/>
        <v>N/A</v>
      </c>
      <c r="I29" s="24"/>
    </row>
    <row r="30" spans="2:13">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109" t="str">
        <f t="shared" si="2"/>
        <v>N/A</v>
      </c>
      <c r="F30" s="277" t="str">
        <f t="shared" si="3"/>
        <v>N/A</v>
      </c>
      <c r="G30" s="93" t="str">
        <f t="shared" si="4"/>
        <v>N/A</v>
      </c>
      <c r="H30" s="93" t="str">
        <f t="shared" si="5"/>
        <v>N/A</v>
      </c>
      <c r="I30" s="24"/>
    </row>
    <row r="31" spans="2:13">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109" t="str">
        <f t="shared" si="2"/>
        <v>N/A</v>
      </c>
      <c r="F31" s="277" t="str">
        <f t="shared" si="3"/>
        <v>N/A</v>
      </c>
      <c r="G31" s="93" t="str">
        <f t="shared" si="4"/>
        <v>N/A</v>
      </c>
      <c r="H31" s="93" t="str">
        <f>IF($B31="N/A","N/A",G31*INDEX($C$12:$H$13,2,MATCH(E31,$C$12:$H$12,0))*1000)</f>
        <v>N/A</v>
      </c>
      <c r="I31" s="24"/>
    </row>
    <row r="32" spans="2:13">
      <c r="E32" s="84"/>
    </row>
    <row r="33" spans="2:16">
      <c r="B33" s="909" t="s">
        <v>660</v>
      </c>
      <c r="C33" s="909"/>
      <c r="D33" s="909"/>
      <c r="E33" s="289">
        <f>SUM(H20:H31)</f>
        <v>0</v>
      </c>
    </row>
    <row r="34" spans="2:16" ht="15.75" thickBot="1">
      <c r="B34" s="130"/>
      <c r="C34" s="130"/>
      <c r="D34" s="130"/>
      <c r="E34" s="121"/>
    </row>
    <row r="35" spans="2:16" ht="18.75">
      <c r="B35" s="2" t="s">
        <v>144</v>
      </c>
      <c r="C35" s="110"/>
      <c r="D35" s="61"/>
      <c r="E35" s="61"/>
      <c r="F35" s="108" t="s">
        <v>187</v>
      </c>
      <c r="G35" s="288">
        <f>F43</f>
        <v>208.63399999999999</v>
      </c>
      <c r="H35" s="61"/>
      <c r="I35" s="61"/>
      <c r="J35" s="61"/>
      <c r="K35" s="61"/>
      <c r="L35" s="61"/>
      <c r="M35" s="61"/>
      <c r="N35" s="61"/>
      <c r="O35" s="61"/>
      <c r="P35" s="61"/>
    </row>
    <row r="36" spans="2:16" ht="15.75">
      <c r="B36" s="67" t="s">
        <v>541</v>
      </c>
      <c r="C36" s="24"/>
      <c r="D36" s="24"/>
      <c r="E36" s="24"/>
      <c r="G36" s="88"/>
      <c r="I36" s="24"/>
      <c r="J36" s="24"/>
      <c r="K36" s="24"/>
      <c r="L36" s="24"/>
      <c r="M36" s="24"/>
    </row>
    <row r="37" spans="2:16">
      <c r="B37" s="32"/>
      <c r="C37" s="138"/>
      <c r="D37" s="24"/>
      <c r="E37" s="24"/>
      <c r="I37" s="24"/>
      <c r="J37" s="24"/>
      <c r="K37" s="24"/>
      <c r="L37" s="24"/>
      <c r="M37" s="24"/>
    </row>
    <row r="38" spans="2:16" ht="15.75">
      <c r="C38" s="97" t="s">
        <v>527</v>
      </c>
      <c r="D38" s="97" t="s">
        <v>78</v>
      </c>
      <c r="E38" s="97" t="s">
        <v>648</v>
      </c>
      <c r="F38" s="97" t="s">
        <v>647</v>
      </c>
      <c r="I38" s="24"/>
      <c r="J38" s="304"/>
      <c r="K38" s="96"/>
      <c r="L38" s="121"/>
      <c r="M38" s="24"/>
    </row>
    <row r="39" spans="2:16">
      <c r="B39" s="105" t="str">
        <f>INDEX(Equipment_Utility_Spec_List,2)</f>
        <v>Water</v>
      </c>
      <c r="C39" s="141">
        <f>IFERROR(SUMPRODUCT($F$110:$F$147,$G$110:$G$147,$M$110:$M$147),)</f>
        <v>0.40857142857142853</v>
      </c>
      <c r="D39" s="140" t="s">
        <v>528</v>
      </c>
      <c r="E39" s="277">
        <f>SUMIF($B$110:$B$147,("&lt;&gt;N/A"),$H$110:$H$147)</f>
        <v>0.17159999999999997</v>
      </c>
      <c r="F39" s="277">
        <f>E39*Staff_Days_Operation</f>
        <v>62.633999999999993</v>
      </c>
      <c r="I39" s="24"/>
      <c r="J39" s="128"/>
      <c r="K39" s="96"/>
      <c r="L39" s="121"/>
      <c r="M39" s="24"/>
    </row>
    <row r="40" spans="2:16">
      <c r="B40" s="105" t="str">
        <f>INDEX(Equipment_Utility_Spec_List,3)</f>
        <v>Electricity</v>
      </c>
      <c r="C40" s="141">
        <f>IFERROR(SUMPRODUCT($F$110:$F$147,$I$110:$I$147,$M$110:$M$147),)</f>
        <v>16.019761904761904</v>
      </c>
      <c r="D40" s="140" t="s">
        <v>530</v>
      </c>
      <c r="E40" s="277">
        <f>SUMIF($B$110:$B$147,("&lt;&gt;N/A"),$J$110:$J$147)</f>
        <v>0.39999999999999997</v>
      </c>
      <c r="F40" s="277">
        <f>E40*Staff_Days_Operation</f>
        <v>146</v>
      </c>
      <c r="I40" s="24"/>
      <c r="J40" s="128"/>
      <c r="K40" s="121"/>
      <c r="L40" s="121"/>
      <c r="M40" s="24"/>
    </row>
    <row r="41" spans="2:16">
      <c r="B41" s="105" t="str">
        <f>INDEX(Equipment_Utility_Spec_List,4)</f>
        <v>Fuel</v>
      </c>
      <c r="C41" s="141">
        <f>IFERROR(SUMPRODUCT($F$110:$F$147,$K$110:$K$147,$M$110:$M$147),)</f>
        <v>0.1</v>
      </c>
      <c r="D41" s="140" t="s">
        <v>563</v>
      </c>
      <c r="E41" s="277">
        <f>SUMIF($B$110:$B$147,("&lt;&gt;N/A"),$L$110:$L$147)</f>
        <v>0</v>
      </c>
      <c r="F41" s="277">
        <f>E41*Staff_Days_Operation</f>
        <v>0</v>
      </c>
      <c r="I41" s="24"/>
      <c r="J41" s="128"/>
      <c r="K41" s="121"/>
      <c r="L41" s="121"/>
      <c r="M41" s="24"/>
    </row>
    <row r="42" spans="2:16">
      <c r="B42" s="8"/>
      <c r="C42" s="122"/>
      <c r="D42" s="24"/>
      <c r="E42" s="139"/>
    </row>
    <row r="43" spans="2:16">
      <c r="B43" s="908" t="s">
        <v>452</v>
      </c>
      <c r="C43" s="908"/>
      <c r="D43" s="908"/>
      <c r="E43" s="277">
        <f>SUM(E39:E41)</f>
        <v>0.57159999999999989</v>
      </c>
      <c r="F43" s="277">
        <f>SUM(F39:F41)</f>
        <v>208.63399999999999</v>
      </c>
    </row>
    <row r="44" spans="2:16" ht="15.75" thickBot="1">
      <c r="F44" s="62"/>
      <c r="G44" s="62"/>
    </row>
    <row r="45" spans="2:16" ht="18.75">
      <c r="B45" s="111" t="s">
        <v>3</v>
      </c>
      <c r="C45" s="112"/>
      <c r="D45" s="85"/>
      <c r="E45" s="85"/>
      <c r="F45" s="148" t="s">
        <v>129</v>
      </c>
      <c r="G45" s="288">
        <f>SUMIF(G52:G74,("&lt;&gt;N/A"),G52:G74)</f>
        <v>0</v>
      </c>
      <c r="H45" s="85"/>
      <c r="I45" s="85"/>
      <c r="J45" s="85"/>
      <c r="K45" s="85"/>
      <c r="L45" s="85"/>
      <c r="M45" s="85"/>
      <c r="N45" s="85"/>
      <c r="O45" s="85"/>
      <c r="P45" s="85"/>
    </row>
    <row r="46" spans="2:16" ht="15.75">
      <c r="B46" s="67" t="s">
        <v>80</v>
      </c>
    </row>
    <row r="47" spans="2:16" ht="15.75">
      <c r="B47" s="67" t="s">
        <v>81</v>
      </c>
    </row>
    <row r="48" spans="2:16">
      <c r="B48" s="105" t="s">
        <v>77</v>
      </c>
      <c r="C48" s="907" t="s">
        <v>68</v>
      </c>
      <c r="D48" s="907"/>
    </row>
    <row r="49" spans="2:9">
      <c r="B49" s="105" t="s">
        <v>78</v>
      </c>
      <c r="C49" s="907" t="s">
        <v>537</v>
      </c>
      <c r="D49" s="907"/>
      <c r="I49" s="89"/>
    </row>
    <row r="51" spans="2:9" ht="31.5">
      <c r="B51" s="99" t="s">
        <v>211</v>
      </c>
      <c r="C51" s="99" t="s">
        <v>5</v>
      </c>
      <c r="D51" s="99" t="s">
        <v>79</v>
      </c>
      <c r="E51" s="129" t="s">
        <v>233</v>
      </c>
      <c r="F51" s="99" t="s">
        <v>121</v>
      </c>
      <c r="G51" s="99" t="s">
        <v>122</v>
      </c>
    </row>
    <row r="52" spans="2:9">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pos008</v>
      </c>
      <c r="C52" s="77" t="str">
        <f>IF($B52="N/A","N/A",INDEX(Staff_position[],MATCH(B52,Staff_Position_ID,0)))</f>
        <v>Post-P. worker (Sanitizing)</v>
      </c>
      <c r="D52" s="277">
        <f>IF($B52="N/A","N/A",INDEX(Staff_net_salary[],MATCH(B52,Staff_Position_ID,0)))</f>
        <v>2519.9999999999995</v>
      </c>
      <c r="E52" s="91">
        <f t="shared" ref="E52:E74" si="6">IF($B52="N/A","N/A",INDEX(Staff_number_of_employees,MATCH(B52,Staff_Position_ID,0)))</f>
        <v>0</v>
      </c>
      <c r="F52" s="92">
        <f t="shared" ref="F52:F74" si="7">IFERROR(INDEX(Staff_Position_Allocation,MATCH(B52,Staff_Position_ID),MATCH($C$49,Unit_codes,0)),"")</f>
        <v>1</v>
      </c>
      <c r="G52" s="277">
        <f>IFERROR(D52*E52*F52,"")</f>
        <v>0</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6"/>
        <v>N/A</v>
      </c>
      <c r="F53" s="92" t="str">
        <f t="shared" si="7"/>
        <v/>
      </c>
      <c r="G53" s="277" t="str">
        <f t="shared" ref="G53:G74" si="8">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6"/>
        <v>N/A</v>
      </c>
      <c r="F54" s="92" t="str">
        <f t="shared" si="7"/>
        <v/>
      </c>
      <c r="G54" s="277" t="str">
        <f t="shared" si="8"/>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6"/>
        <v>N/A</v>
      </c>
      <c r="F55" s="92" t="str">
        <f t="shared" si="7"/>
        <v/>
      </c>
      <c r="G55" s="277" t="str">
        <f t="shared" si="8"/>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6"/>
        <v>N/A</v>
      </c>
      <c r="F56" s="92" t="str">
        <f t="shared" si="7"/>
        <v/>
      </c>
      <c r="G56" s="277" t="str">
        <f t="shared" si="8"/>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6"/>
        <v>N/A</v>
      </c>
      <c r="F57" s="92" t="str">
        <f t="shared" si="7"/>
        <v/>
      </c>
      <c r="G57" s="277" t="str">
        <f t="shared" si="8"/>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6"/>
        <v>N/A</v>
      </c>
      <c r="F58" s="92" t="str">
        <f t="shared" si="7"/>
        <v/>
      </c>
      <c r="G58" s="277" t="str">
        <f t="shared" si="8"/>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6"/>
        <v>N/A</v>
      </c>
      <c r="F59" s="92" t="str">
        <f t="shared" si="7"/>
        <v/>
      </c>
      <c r="G59" s="277" t="str">
        <f t="shared" si="8"/>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6"/>
        <v>N/A</v>
      </c>
      <c r="F60" s="92" t="str">
        <f t="shared" si="7"/>
        <v/>
      </c>
      <c r="G60" s="277" t="str">
        <f t="shared" si="8"/>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6"/>
        <v>N/A</v>
      </c>
      <c r="F61" s="92" t="str">
        <f t="shared" si="7"/>
        <v/>
      </c>
      <c r="G61" s="277" t="str">
        <f t="shared" si="8"/>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6"/>
        <v>N/A</v>
      </c>
      <c r="F62" s="92" t="str">
        <f t="shared" si="7"/>
        <v/>
      </c>
      <c r="G62" s="277" t="str">
        <f t="shared" si="8"/>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6"/>
        <v>N/A</v>
      </c>
      <c r="F63" s="92" t="str">
        <f t="shared" si="7"/>
        <v/>
      </c>
      <c r="G63" s="277" t="str">
        <f t="shared" si="8"/>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6"/>
        <v>N/A</v>
      </c>
      <c r="F64" s="92" t="str">
        <f t="shared" si="7"/>
        <v/>
      </c>
      <c r="G64" s="277" t="str">
        <f t="shared" si="8"/>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6"/>
        <v>N/A</v>
      </c>
      <c r="F65" s="92" t="str">
        <f t="shared" si="7"/>
        <v/>
      </c>
      <c r="G65" s="277" t="str">
        <f t="shared" si="8"/>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6"/>
        <v>N/A</v>
      </c>
      <c r="F66" s="92" t="str">
        <f t="shared" si="7"/>
        <v/>
      </c>
      <c r="G66" s="277" t="str">
        <f t="shared" si="8"/>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6"/>
        <v>N/A</v>
      </c>
      <c r="F67" s="92" t="str">
        <f t="shared" si="7"/>
        <v/>
      </c>
      <c r="G67" s="277" t="str">
        <f t="shared" si="8"/>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6"/>
        <v>N/A</v>
      </c>
      <c r="F68" s="92" t="str">
        <f t="shared" si="7"/>
        <v/>
      </c>
      <c r="G68" s="277" t="str">
        <f t="shared" si="8"/>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6"/>
        <v>N/A</v>
      </c>
      <c r="F69" s="92" t="str">
        <f t="shared" si="7"/>
        <v/>
      </c>
      <c r="G69" s="277" t="str">
        <f t="shared" si="8"/>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6"/>
        <v>N/A</v>
      </c>
      <c r="F70" s="92" t="str">
        <f t="shared" si="7"/>
        <v/>
      </c>
      <c r="G70" s="277" t="str">
        <f t="shared" si="8"/>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6"/>
        <v>N/A</v>
      </c>
      <c r="F71" s="92" t="str">
        <f t="shared" si="7"/>
        <v/>
      </c>
      <c r="G71" s="277" t="str">
        <f t="shared" si="8"/>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6"/>
        <v>N/A</v>
      </c>
      <c r="F72" s="92" t="str">
        <f t="shared" si="7"/>
        <v/>
      </c>
      <c r="G72" s="277" t="str">
        <f t="shared" si="8"/>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6"/>
        <v>N/A</v>
      </c>
      <c r="F73" s="92" t="str">
        <f t="shared" si="7"/>
        <v/>
      </c>
      <c r="G73" s="277" t="str">
        <f t="shared" si="8"/>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6"/>
        <v>N/A</v>
      </c>
      <c r="F74" s="92" t="str">
        <f t="shared" si="7"/>
        <v/>
      </c>
      <c r="G74" s="277" t="str">
        <f t="shared" si="8"/>
        <v/>
      </c>
    </row>
    <row r="75" spans="2:16" ht="15.75" thickBot="1">
      <c r="F75" s="150"/>
      <c r="G75" s="150"/>
    </row>
    <row r="76" spans="2:16" ht="30.75">
      <c r="B76" s="111" t="s">
        <v>83</v>
      </c>
      <c r="C76" s="112"/>
      <c r="D76" s="85"/>
      <c r="E76" s="85"/>
      <c r="F76" s="148" t="s">
        <v>86</v>
      </c>
      <c r="G76" s="288">
        <f>SUMIF(G83:G103,("&lt;&gt;N/A"),G83:G103)</f>
        <v>1344</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537</v>
      </c>
      <c r="D80" s="907"/>
    </row>
    <row r="82" spans="2:7" ht="31.5">
      <c r="B82" s="99" t="s">
        <v>211</v>
      </c>
      <c r="C82" s="99" t="s">
        <v>5</v>
      </c>
      <c r="D82" s="99" t="s">
        <v>79</v>
      </c>
      <c r="E82" s="129" t="s">
        <v>233</v>
      </c>
      <c r="F82" s="99" t="s">
        <v>121</v>
      </c>
      <c r="G82" s="99"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7" t="str">
        <f>IF($B83="N/A","N/A",INDEX(Staff_position[],MATCH(B83,Staff_Position_ID,0)))</f>
        <v>Waste units manager</v>
      </c>
      <c r="D83" s="277">
        <f>IF($B83="N/A","N/A",INDEX(Staff_net_salary[],MATCH(B83,Staff_Position_ID,0)))</f>
        <v>3360</v>
      </c>
      <c r="E83" s="91">
        <f t="shared" ref="E83:E103" si="9">IF($B83="N/A","N/A",INDEX(Staff_number_of_employees,MATCH(B83,Staff_Position_ID,0)))</f>
        <v>1</v>
      </c>
      <c r="F83" s="92">
        <f t="shared" ref="F83:F103" si="10">IFERROR(INDEX(Staff_Position_Allocation,MATCH(B83,Staff_Position_ID),MATCH($C$80,Unit_codes,0)),"")</f>
        <v>0.1</v>
      </c>
      <c r="G83" s="277">
        <f>IFERROR(D83*E83*F83,"")</f>
        <v>336</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9"/>
        <v>2</v>
      </c>
      <c r="F84" s="92">
        <f t="shared" si="10"/>
        <v>0.1</v>
      </c>
      <c r="G84" s="277">
        <f t="shared" ref="G84:G103" si="11">IFERROR(D84*E84*F84,"")</f>
        <v>1007.9999999999999</v>
      </c>
    </row>
    <row r="85" spans="2:7">
      <c r="B85" s="77" t="e">
        <f t="array" ref="B85">IF(COUNTIFS(Position_Category,$C$79,INDEX(Staff_Position_Allocation,0,MATCH($C$80,Unit_codes,0)),"&gt;0")&lt;ROWS('2.3-Staff input'!$I$5:$I7),"N/A",INDEX('2.3-Staff input'!B:B,SMALL(IF((Position_Category=$C$79)+(INDEX(Staff_Position_Allocation,0,MATCH($C$80,Unit_codes,0))&gt;0)=2,ROW(Staff_Position_ID)),ROW('2.3-Staff input'!#REF!))))</f>
        <v>#REF!</v>
      </c>
      <c r="C85" s="77" t="e">
        <f>IF($B85="N/A","N/A",INDEX(Staff_position[],MATCH(B85,Staff_Position_ID,0)))</f>
        <v>#REF!</v>
      </c>
      <c r="D85" s="277" t="e">
        <f>IF($B85="N/A","N/A",INDEX(Staff_net_salary[],MATCH(B85,Staff_Position_ID,0)))</f>
        <v>#REF!</v>
      </c>
      <c r="E85" s="91" t="e">
        <f t="shared" si="9"/>
        <v>#REF!</v>
      </c>
      <c r="F85" s="92" t="str">
        <f t="shared" si="10"/>
        <v/>
      </c>
      <c r="G85" s="277" t="str">
        <f t="shared" si="11"/>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9"/>
        <v>N/A</v>
      </c>
      <c r="F86" s="92" t="str">
        <f t="shared" si="10"/>
        <v/>
      </c>
      <c r="G86" s="277" t="str">
        <f t="shared" si="11"/>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9"/>
        <v>N/A</v>
      </c>
      <c r="F87" s="92" t="str">
        <f t="shared" si="10"/>
        <v/>
      </c>
      <c r="G87" s="277" t="str">
        <f t="shared" si="11"/>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9"/>
        <v>N/A</v>
      </c>
      <c r="F88" s="92" t="str">
        <f t="shared" si="10"/>
        <v/>
      </c>
      <c r="G88" s="277" t="str">
        <f t="shared" si="11"/>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9"/>
        <v>N/A</v>
      </c>
      <c r="F89" s="92" t="str">
        <f t="shared" si="10"/>
        <v/>
      </c>
      <c r="G89" s="277" t="str">
        <f t="shared" si="11"/>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9"/>
        <v>N/A</v>
      </c>
      <c r="F90" s="92" t="str">
        <f t="shared" si="10"/>
        <v/>
      </c>
      <c r="G90" s="277" t="str">
        <f t="shared" si="11"/>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9"/>
        <v>N/A</v>
      </c>
      <c r="F91" s="92" t="str">
        <f t="shared" si="10"/>
        <v/>
      </c>
      <c r="G91" s="277" t="str">
        <f t="shared" si="11"/>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9"/>
        <v>N/A</v>
      </c>
      <c r="F92" s="92" t="str">
        <f t="shared" si="10"/>
        <v/>
      </c>
      <c r="G92" s="277" t="str">
        <f t="shared" si="11"/>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9"/>
        <v>N/A</v>
      </c>
      <c r="F93" s="92" t="str">
        <f t="shared" si="10"/>
        <v/>
      </c>
      <c r="G93" s="277" t="str">
        <f t="shared" si="11"/>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9"/>
        <v>N/A</v>
      </c>
      <c r="F94" s="92" t="str">
        <f t="shared" si="10"/>
        <v/>
      </c>
      <c r="G94" s="277" t="str">
        <f t="shared" si="11"/>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9"/>
        <v>N/A</v>
      </c>
      <c r="F95" s="92" t="str">
        <f t="shared" si="10"/>
        <v/>
      </c>
      <c r="G95" s="277" t="str">
        <f t="shared" si="11"/>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9"/>
        <v>N/A</v>
      </c>
      <c r="F96" s="92" t="str">
        <f t="shared" si="10"/>
        <v/>
      </c>
      <c r="G96" s="277" t="str">
        <f t="shared" si="11"/>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9"/>
        <v>N/A</v>
      </c>
      <c r="F97" s="92" t="str">
        <f t="shared" si="10"/>
        <v/>
      </c>
      <c r="G97" s="277" t="str">
        <f t="shared" si="11"/>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9"/>
        <v>N/A</v>
      </c>
      <c r="F98" s="92" t="str">
        <f t="shared" si="10"/>
        <v/>
      </c>
      <c r="G98" s="277" t="str">
        <f t="shared" si="11"/>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9"/>
        <v>N/A</v>
      </c>
      <c r="F99" s="92" t="str">
        <f t="shared" si="10"/>
        <v/>
      </c>
      <c r="G99" s="277" t="str">
        <f t="shared" si="11"/>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9"/>
        <v>N/A</v>
      </c>
      <c r="F100" s="92" t="str">
        <f t="shared" si="10"/>
        <v/>
      </c>
      <c r="G100" s="277" t="str">
        <f t="shared" si="11"/>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9"/>
        <v>N/A</v>
      </c>
      <c r="F101" s="92" t="str">
        <f t="shared" si="10"/>
        <v/>
      </c>
      <c r="G101" s="277" t="str">
        <f t="shared" si="11"/>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9"/>
        <v>N/A</v>
      </c>
      <c r="F102" s="92" t="str">
        <f t="shared" si="10"/>
        <v/>
      </c>
      <c r="G102" s="277" t="str">
        <f t="shared" si="11"/>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9"/>
        <v>N/A</v>
      </c>
      <c r="F103" s="92" t="str">
        <f t="shared" si="10"/>
        <v/>
      </c>
      <c r="G103" s="277" t="str">
        <f t="shared" si="11"/>
        <v/>
      </c>
    </row>
    <row r="104" spans="2:16" ht="15.75" thickBot="1">
      <c r="E104" s="150"/>
      <c r="F104" s="150"/>
      <c r="G104" s="150"/>
    </row>
    <row r="105" spans="2:16" ht="45">
      <c r="B105" s="2" t="s">
        <v>2</v>
      </c>
      <c r="C105" s="110"/>
      <c r="D105" s="61"/>
      <c r="F105" s="152" t="s">
        <v>153</v>
      </c>
      <c r="G105" s="288">
        <f>SUMIF(B110:B147,("&lt;&gt;N/A"),N110:N147)</f>
        <v>496.99999999999994</v>
      </c>
      <c r="H105" s="61"/>
      <c r="I105" s="61"/>
      <c r="J105" s="61"/>
      <c r="K105" s="61"/>
      <c r="L105" s="61"/>
      <c r="M105" s="61"/>
      <c r="N105" s="61"/>
      <c r="O105" s="61"/>
      <c r="P105" s="61"/>
    </row>
    <row r="106" spans="2:16" ht="15.75">
      <c r="B106" s="67" t="s">
        <v>82</v>
      </c>
      <c r="I106" s="88"/>
      <c r="J106" s="88"/>
      <c r="K106" s="24"/>
      <c r="L106" s="121"/>
      <c r="M106" s="296"/>
    </row>
    <row r="107" spans="2:16">
      <c r="B107" s="105" t="s">
        <v>78</v>
      </c>
      <c r="C107" s="86" t="s">
        <v>537</v>
      </c>
    </row>
    <row r="109" spans="2:16" ht="47.25">
      <c r="B109" s="97" t="s">
        <v>84</v>
      </c>
      <c r="C109" s="97" t="s">
        <v>53</v>
      </c>
      <c r="D109" s="99" t="s">
        <v>152</v>
      </c>
      <c r="E109" s="123" t="s">
        <v>50</v>
      </c>
      <c r="F109" s="99" t="s">
        <v>514</v>
      </c>
      <c r="G109" s="99" t="s">
        <v>451</v>
      </c>
      <c r="H109" s="99" t="s">
        <v>515</v>
      </c>
      <c r="I109" s="99" t="s">
        <v>519</v>
      </c>
      <c r="J109" s="99" t="s">
        <v>516</v>
      </c>
      <c r="K109" s="99" t="s">
        <v>562</v>
      </c>
      <c r="L109" s="99" t="s">
        <v>517</v>
      </c>
      <c r="M109" s="99" t="s">
        <v>156</v>
      </c>
      <c r="N109" s="99" t="s">
        <v>154</v>
      </c>
      <c r="O109" s="99"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eq0004</v>
      </c>
      <c r="C110" s="76" t="str">
        <f>IF($B110="N/A","N/A",INDEX(Equipment_name[],MATCH(B110,equipment_ID,0)))</f>
        <v>Pallets</v>
      </c>
      <c r="D110" s="277">
        <f t="shared" ref="D110:D147" si="12">IF($B110="N/A","N/A",INDEX(Equipment_Depreciation,MATCH(B110,equipment_ID,0)))</f>
        <v>2.0999999999999996</v>
      </c>
      <c r="E110" s="94">
        <f t="shared" ref="E110:E147" si="13">IF($B110="N/A","N/A",INDEX(Equipment_Quantity_New,MATCH(B110,equipment_ID,0)))</f>
        <v>120</v>
      </c>
      <c r="F110" s="137" t="str">
        <f>IF($B110="N/A","",IF(INDEX(Equipment_Utility_Decision,MATCH($B110,equipment_ID,0))='4.2-Settings Internal'!$B$32,INDEX(Equipment_Utility_Run,MATCH($B110,equipment_ID,0)),""))</f>
        <v/>
      </c>
      <c r="G110" s="137" t="str">
        <f>IF($B110="N/A","",IF(INDEX(Equipment_Utility_Decision,MATCH($B110,equipment_ID,0))='4.2-Settings Internal'!$B$32,INDEX(Equipment_Utility_Water,MATCH($B110,equipment_ID,0)),""))</f>
        <v/>
      </c>
      <c r="H110" s="277" t="str">
        <f t="shared" ref="H110:H147" si="14">IFERROR($E110*$F110*G110*$M110*General_Water_Price,"")</f>
        <v/>
      </c>
      <c r="I110" s="137" t="str">
        <f>IF($B110="N/A","",IF(INDEX(Equipment_Utility_Decision,MATCH($B110,equipment_ID,0))='4.2-Settings Internal'!$B$32,INDEX(Equipment_Utility_Electricity,MATCH($B110,equipment_ID,0)),""))</f>
        <v/>
      </c>
      <c r="J110" s="277" t="str">
        <f t="shared" ref="J110:J147" si="15">IFERROR($E110*$F110*I110*$M110*General_Electricity_Price,"")</f>
        <v/>
      </c>
      <c r="K110" s="137" t="str">
        <f>IF($B110="N/A","",IF(INDEX(Equipment_Utility_Decision,MATCH($B110,equipment_ID,0))=INDEX(Yes_No_Choice[],1),INDEX(Equipment_Utility_Fuel,MATCH($B110,equipment_ID,0)),""))</f>
        <v/>
      </c>
      <c r="L110" s="277" t="str">
        <f t="shared" ref="L110:L147" si="16">IFERROR($E110*$F110*$K110*$M110*INDEX(General_Utilities,MATCH(INDEX(Equipment_Utility_Fuel_Selection,MATCH($B110,equipment_ID,0)),General_Utilities_Type,0),4),"")</f>
        <v/>
      </c>
      <c r="M110" s="95">
        <f t="shared" ref="M110:M147" si="17">IFERROR(INDEX(Equipment_Allocation_New,MATCH(B110,equipment_ID,0),MATCH($C$107,Unit_codes,0)),"")</f>
        <v>0.1</v>
      </c>
      <c r="N110" s="277">
        <f t="shared" ref="N110:N147" si="18">IFERROR($D110*E110*M110,"")</f>
        <v>25.199999999999996</v>
      </c>
      <c r="O110" s="137">
        <f t="shared" ref="O110:O147" si="19">IF($B110="N/A","",IF(INDEX(Equipment_Space_Selection,MATCH(B110,equipment_ID,0))="Yes",INDEX(Equipment_Space_Footprint,MATCH(B110,equipment_ID,0))*INDEX(Equipment_Quantity_New,MATCH(B110,equipment_ID,0))*M110,""))</f>
        <v>18.885600000000004</v>
      </c>
    </row>
    <row r="111" spans="2:16">
      <c r="B111" s="76" t="str">
        <f t="array" ref="B111">IF(COUNTIFS(INDEX(Equipment_Allocation_New,0,MATCH($C$107,Unit_codes,0)),"&gt;0")&lt;ROWS('2.2-Equipment input'!$X$8:$X9),"N/A",INDEX('2.2-Equipment input'!B:B,SMALL(IF(INDEX(Equipment_Allocation_New,0,MATCH($C$107,Unit_codes,0))&gt;0,ROW(equipment_ID)),ROW('2.2-Equipment input'!B2))))</f>
        <v>eq0006</v>
      </c>
      <c r="C111" s="76" t="str">
        <f>IF($B111="N/A","N/A",INDEX(Equipment_name[],MATCH(B111,equipment_ID,0)))</f>
        <v>Pallet trolley</v>
      </c>
      <c r="D111" s="277">
        <f t="shared" si="12"/>
        <v>41.999999999999993</v>
      </c>
      <c r="E111" s="94">
        <f t="shared" si="13"/>
        <v>2</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4"/>
        <v/>
      </c>
      <c r="I111" s="137" t="str">
        <f>IF($B111="N/A","",IF(INDEX(Equipment_Utility_Decision,MATCH($B111,equipment_ID,0))='4.2-Settings Internal'!$B$32,INDEX(Equipment_Utility_Electricity,MATCH($B111,equipment_ID,0)),""))</f>
        <v/>
      </c>
      <c r="J111" s="277" t="str">
        <f t="shared" si="15"/>
        <v/>
      </c>
      <c r="K111" s="137" t="str">
        <f>IF($B111="N/A","",IF(INDEX(Equipment_Utility_Decision,MATCH($B111,equipment_ID,0))=INDEX(Yes_No_Choice[],1),INDEX(Equipment_Utility_Fuel,MATCH($B111,equipment_ID,0)),""))</f>
        <v/>
      </c>
      <c r="L111" s="277" t="str">
        <f t="shared" si="16"/>
        <v/>
      </c>
      <c r="M111" s="95">
        <f t="shared" si="17"/>
        <v>0.1</v>
      </c>
      <c r="N111" s="277">
        <f t="shared" si="18"/>
        <v>8.3999999999999986</v>
      </c>
      <c r="O111" s="137" t="str">
        <f t="shared" si="19"/>
        <v/>
      </c>
    </row>
    <row r="112" spans="2:16">
      <c r="B112" s="76" t="str">
        <f t="array" ref="B112">IF(COUNTIFS(INDEX(Equipment_Allocation_New,0,MATCH($C$107,Unit_codes,0)),"&gt;0")&lt;ROWS('2.2-Equipment input'!$X$8:$X10),"N/A",INDEX('2.2-Equipment input'!B:B,SMALL(IF(INDEX(Equipment_Allocation_New,0,MATCH($C$107,Unit_codes,0))&gt;0,ROW(equipment_ID)),ROW('2.2-Equipment input'!B3))))</f>
        <v>eq0008</v>
      </c>
      <c r="C112" s="76" t="str">
        <f>IF($B112="N/A","N/A",INDEX(Equipment_name[],MATCH(B112,equipment_ID,0)))</f>
        <v>High pressure cleaner</v>
      </c>
      <c r="D112" s="277">
        <f t="shared" si="12"/>
        <v>210</v>
      </c>
      <c r="E112" s="94">
        <f t="shared" si="13"/>
        <v>2</v>
      </c>
      <c r="F112" s="137">
        <f>IF($B112="N/A","",IF(INDEX(Equipment_Utility_Decision,MATCH($B112,equipment_ID,0))='4.2-Settings Internal'!$B$32,INDEX(Equipment_Utility_Run,MATCH($B112,equipment_ID,0)),""))</f>
        <v>7.9365079365079367</v>
      </c>
      <c r="G112" s="137">
        <f>IF($B112="N/A","",IF(INDEX(Equipment_Utility_Decision,MATCH($B112,equipment_ID,0))='4.2-Settings Internal'!$B$32,INDEX(Equipment_Utility_Water,MATCH($B112,equipment_ID,0)),""))</f>
        <v>0.42899999999999999</v>
      </c>
      <c r="H112" s="277">
        <f t="shared" si="14"/>
        <v>0.17159999999999997</v>
      </c>
      <c r="I112" s="137">
        <f>IF($B112="N/A","",IF(INDEX(Equipment_Utility_Decision,MATCH($B112,equipment_ID,0))='4.2-Settings Internal'!$B$32,INDEX(Equipment_Utility_Electricity,MATCH($B112,equipment_ID,0)),""))</f>
        <v>2</v>
      </c>
      <c r="J112" s="277">
        <f t="shared" si="15"/>
        <v>0.39999999999999997</v>
      </c>
      <c r="K112" s="137">
        <f>IF($B112="N/A","",IF(INDEX(Equipment_Utility_Decision,MATCH($B112,equipment_ID,0))=INDEX(Yes_No_Choice[],1),INDEX(Equipment_Utility_Fuel,MATCH($B112,equipment_ID,0)),""))</f>
        <v>0</v>
      </c>
      <c r="L112" s="277" t="str">
        <f t="shared" si="16"/>
        <v/>
      </c>
      <c r="M112" s="95">
        <f t="shared" si="17"/>
        <v>0.12</v>
      </c>
      <c r="N112" s="277">
        <f t="shared" si="18"/>
        <v>50.4</v>
      </c>
      <c r="O112" s="137">
        <f t="shared" si="19"/>
        <v>0.06</v>
      </c>
    </row>
    <row r="113" spans="2:15">
      <c r="B113" s="76" t="str">
        <f t="array" ref="B113">IF(COUNTIFS(INDEX(Equipment_Allocation_New,0,MATCH($C$107,Unit_codes,0)),"&gt;0")&lt;ROWS('2.2-Equipment input'!$X$8:$X11),"N/A",INDEX('2.2-Equipment input'!B:B,SMALL(IF(INDEX(Equipment_Allocation_New,0,MATCH($C$107,Unit_codes,0))&gt;0,ROW(equipment_ID)),ROW('2.2-Equipment input'!B4))))</f>
        <v>eq0030</v>
      </c>
      <c r="C113" s="76" t="str">
        <f>IF($B113="N/A","N/A",INDEX(Equipment_name[],MATCH(B113,equipment_ID,0)))</f>
        <v>Measuring balance ("heavy" duty)</v>
      </c>
      <c r="D113" s="277">
        <f t="shared" si="12"/>
        <v>34.999999999999993</v>
      </c>
      <c r="E113" s="94">
        <f t="shared" si="13"/>
        <v>3</v>
      </c>
      <c r="F113" s="137">
        <f>IF($B113="N/A","",IF(INDEX(Equipment_Utility_Decision,MATCH($B113,equipment_ID,0))='4.2-Settings Internal'!$B$32,INDEX(Equipment_Utility_Run,MATCH($B113,equipment_ID,0)),""))</f>
        <v>0</v>
      </c>
      <c r="G113" s="137">
        <f>IF($B113="N/A","",IF(INDEX(Equipment_Utility_Decision,MATCH($B113,equipment_ID,0))='4.2-Settings Internal'!$B$32,INDEX(Equipment_Utility_Water,MATCH($B113,equipment_ID,0)),""))</f>
        <v>0</v>
      </c>
      <c r="H113" s="277">
        <f t="shared" si="14"/>
        <v>0</v>
      </c>
      <c r="I113" s="137">
        <f>IF($B113="N/A","",IF(INDEX(Equipment_Utility_Decision,MATCH($B113,equipment_ID,0))='4.2-Settings Internal'!$B$32,INDEX(Equipment_Utility_Electricity,MATCH($B113,equipment_ID,0)),""))</f>
        <v>0</v>
      </c>
      <c r="J113" s="277">
        <f t="shared" si="15"/>
        <v>0</v>
      </c>
      <c r="K113" s="137">
        <f>IF($B113="N/A","",IF(INDEX(Equipment_Utility_Decision,MATCH($B113,equipment_ID,0))=INDEX(Yes_No_Choice[],1),INDEX(Equipment_Utility_Fuel,MATCH($B113,equipment_ID,0)),""))</f>
        <v>0</v>
      </c>
      <c r="L113" s="277" t="str">
        <f t="shared" si="16"/>
        <v/>
      </c>
      <c r="M113" s="95">
        <f t="shared" si="17"/>
        <v>0.2</v>
      </c>
      <c r="N113" s="277">
        <f t="shared" si="18"/>
        <v>20.999999999999996</v>
      </c>
      <c r="O113" s="137" t="str">
        <f t="shared" si="19"/>
        <v/>
      </c>
    </row>
    <row r="114" spans="2:15">
      <c r="B114" s="76" t="str">
        <f t="array" ref="B114">IF(COUNTIFS(INDEX(Equipment_Allocation_New,0,MATCH($C$107,Unit_codes,0)),"&gt;0")&lt;ROWS('2.2-Equipment input'!$X$8:$X12),"N/A",INDEX('2.2-Equipment input'!B:B,SMALL(IF(INDEX(Equipment_Allocation_New,0,MATCH($C$107,Unit_codes,0))&gt;0,ROW(equipment_ID)),ROW('2.2-Equipment input'!B5))))</f>
        <v>eq0032</v>
      </c>
      <c r="C114" s="76" t="str">
        <f>IF($B114="N/A","N/A",INDEX(Equipment_name[],MATCH(B114,equipment_ID,0)))</f>
        <v>Measuring balance (nursery)</v>
      </c>
      <c r="D114" s="277">
        <f t="shared" si="12"/>
        <v>69.999999999999986</v>
      </c>
      <c r="E114" s="94">
        <f t="shared" si="13"/>
        <v>3</v>
      </c>
      <c r="F114" s="137">
        <f>IF($B114="N/A","",IF(INDEX(Equipment_Utility_Decision,MATCH($B114,equipment_ID,0))='4.2-Settings Internal'!$B$32,INDEX(Equipment_Utility_Run,MATCH($B114,equipment_ID,0)),""))</f>
        <v>0</v>
      </c>
      <c r="G114" s="137">
        <f>IF($B114="N/A","",IF(INDEX(Equipment_Utility_Decision,MATCH($B114,equipment_ID,0))='4.2-Settings Internal'!$B$32,INDEX(Equipment_Utility_Water,MATCH($B114,equipment_ID,0)),""))</f>
        <v>0</v>
      </c>
      <c r="H114" s="277">
        <f t="shared" si="14"/>
        <v>0</v>
      </c>
      <c r="I114" s="137">
        <f>IF($B114="N/A","",IF(INDEX(Equipment_Utility_Decision,MATCH($B114,equipment_ID,0))='4.2-Settings Internal'!$B$32,INDEX(Equipment_Utility_Electricity,MATCH($B114,equipment_ID,0)),""))</f>
        <v>0</v>
      </c>
      <c r="J114" s="277">
        <f t="shared" si="15"/>
        <v>0</v>
      </c>
      <c r="K114" s="137">
        <f>IF($B114="N/A","",IF(INDEX(Equipment_Utility_Decision,MATCH($B114,equipment_ID,0))=INDEX(Yes_No_Choice[],1),INDEX(Equipment_Utility_Fuel,MATCH($B114,equipment_ID,0)),""))</f>
        <v>0</v>
      </c>
      <c r="L114" s="277" t="str">
        <f t="shared" si="16"/>
        <v/>
      </c>
      <c r="M114" s="95">
        <f t="shared" si="17"/>
        <v>0.2</v>
      </c>
      <c r="N114" s="277">
        <f t="shared" si="18"/>
        <v>41.999999999999993</v>
      </c>
      <c r="O114" s="137" t="str">
        <f t="shared" si="19"/>
        <v/>
      </c>
    </row>
    <row r="115" spans="2:15">
      <c r="B115" s="76" t="str">
        <f t="array" ref="B115">IF(COUNTIFS(INDEX(Equipment_Allocation_New,0,MATCH($C$107,Unit_codes,0)),"&gt;0")&lt;ROWS('2.2-Equipment input'!$X$8:$X13),"N/A",INDEX('2.2-Equipment input'!B:B,SMALL(IF(INDEX(Equipment_Allocation_New,0,MATCH($C$107,Unit_codes,0))&gt;0,ROW(equipment_ID)),ROW('2.2-Equipment input'!B6))))</f>
        <v>eq0038</v>
      </c>
      <c r="C115" s="76" t="str">
        <f>IF($B115="N/A","N/A",INDEX(Equipment_name[],MATCH(B115,equipment_ID,0)))</f>
        <v>Sanitazing set</v>
      </c>
      <c r="D115" s="277">
        <f t="shared" si="12"/>
        <v>23.939999999999998</v>
      </c>
      <c r="E115" s="94">
        <f t="shared" si="13"/>
        <v>0</v>
      </c>
      <c r="F115" s="137">
        <f>IF($B115="N/A","",IF(INDEX(Equipment_Utility_Decision,MATCH($B115,equipment_ID,0))='4.2-Settings Internal'!$B$32,INDEX(Equipment_Utility_Run,MATCH($B115,equipment_ID,0)),""))</f>
        <v>0</v>
      </c>
      <c r="G115" s="137">
        <f>IF($B115="N/A","",IF(INDEX(Equipment_Utility_Decision,MATCH($B115,equipment_ID,0))='4.2-Settings Internal'!$B$32,INDEX(Equipment_Utility_Water,MATCH($B115,equipment_ID,0)),""))</f>
        <v>0.09</v>
      </c>
      <c r="H115" s="277">
        <f t="shared" si="14"/>
        <v>0</v>
      </c>
      <c r="I115" s="137">
        <f>IF($B115="N/A","",IF(INDEX(Equipment_Utility_Decision,MATCH($B115,equipment_ID,0))='4.2-Settings Internal'!$B$32,INDEX(Equipment_Utility_Electricity,MATCH($B115,equipment_ID,0)),""))</f>
        <v>0</v>
      </c>
      <c r="J115" s="277">
        <f t="shared" si="15"/>
        <v>0</v>
      </c>
      <c r="K115" s="137">
        <f>IF($B115="N/A","",IF(INDEX(Equipment_Utility_Decision,MATCH($B115,equipment_ID,0))=INDEX(Yes_No_Choice[],1),INDEX(Equipment_Utility_Fuel,MATCH($B115,equipment_ID,0)),""))</f>
        <v>0.5</v>
      </c>
      <c r="L115" s="277">
        <f t="shared" si="16"/>
        <v>0</v>
      </c>
      <c r="M115" s="95">
        <f t="shared" si="17"/>
        <v>1</v>
      </c>
      <c r="N115" s="277">
        <f t="shared" si="18"/>
        <v>0</v>
      </c>
      <c r="O115" s="137">
        <f t="shared" si="19"/>
        <v>0</v>
      </c>
    </row>
    <row r="116" spans="2:15">
      <c r="B116" s="76" t="str">
        <f t="array" ref="B116">IF(COUNTIFS(INDEX(Equipment_Allocation_New,0,MATCH($C$107,Unit_codes,0)),"&gt;0")&lt;ROWS('2.2-Equipment input'!$X$8:$X14),"N/A",INDEX('2.2-Equipment input'!B:B,SMALL(IF(INDEX(Equipment_Allocation_New,0,MATCH($C$107,Unit_codes,0))&gt;0,ROW(equipment_ID)),ROW('2.2-Equipment input'!B7))))</f>
        <v>eq0039</v>
      </c>
      <c r="C116" s="76" t="str">
        <f>IF($B116="N/A","N/A",INDEX(Equipment_name[],MATCH(B116,equipment_ID,0)))</f>
        <v>Microwave (MAX-30B)</v>
      </c>
      <c r="D116" s="277">
        <f t="shared" si="12"/>
        <v>2589.9999999999995</v>
      </c>
      <c r="E116" s="94">
        <f t="shared" si="13"/>
        <v>0</v>
      </c>
      <c r="F116" s="137">
        <f>IF($B116="N/A","",IF(INDEX(Equipment_Utility_Decision,MATCH($B116,equipment_ID,0))='4.2-Settings Internal'!$B$32,INDEX(Equipment_Utility_Run,MATCH($B116,equipment_ID,0)),""))</f>
        <v>0</v>
      </c>
      <c r="G116" s="137">
        <f>IF($B116="N/A","",IF(INDEX(Equipment_Utility_Decision,MATCH($B116,equipment_ID,0))='4.2-Settings Internal'!$B$32,INDEX(Equipment_Utility_Water,MATCH($B116,equipment_ID,0)),""))</f>
        <v>0</v>
      </c>
      <c r="H116" s="277">
        <f t="shared" si="14"/>
        <v>0</v>
      </c>
      <c r="I116" s="137">
        <f>IF($B116="N/A","",IF(INDEX(Equipment_Utility_Decision,MATCH($B116,equipment_ID,0))='4.2-Settings Internal'!$B$32,INDEX(Equipment_Utility_Electricity,MATCH($B116,equipment_ID,0)),""))</f>
        <v>30</v>
      </c>
      <c r="J116" s="277">
        <f t="shared" si="15"/>
        <v>0</v>
      </c>
      <c r="K116" s="137">
        <f>IF($B116="N/A","",IF(INDEX(Equipment_Utility_Decision,MATCH($B116,equipment_ID,0))=INDEX(Yes_No_Choice[],1),INDEX(Equipment_Utility_Fuel,MATCH($B116,equipment_ID,0)),""))</f>
        <v>0</v>
      </c>
      <c r="L116" s="277" t="str">
        <f t="shared" si="16"/>
        <v/>
      </c>
      <c r="M116" s="95">
        <f t="shared" si="17"/>
        <v>1</v>
      </c>
      <c r="N116" s="277">
        <f t="shared" si="18"/>
        <v>0</v>
      </c>
      <c r="O116" s="137">
        <f t="shared" si="19"/>
        <v>0</v>
      </c>
    </row>
    <row r="117" spans="2:15">
      <c r="B117" s="76" t="str">
        <f t="array" ref="B117">IF(COUNTIFS(INDEX(Equipment_Allocation_New,0,MATCH($C$107,Unit_codes,0)),"&gt;0")&lt;ROWS('2.2-Equipment input'!$X$8:$X15),"N/A",INDEX('2.2-Equipment input'!B:B,SMALL(IF(INDEX(Equipment_Allocation_New,0,MATCH($C$107,Unit_codes,0))&gt;0,ROW(equipment_ID)),ROW('2.2-Equipment input'!B8))))</f>
        <v>eq0040</v>
      </c>
      <c r="C117" s="76" t="str">
        <f>IF($B117="N/A","N/A",INDEX(Equipment_name[],MATCH(B117,equipment_ID,0)))</f>
        <v>Oil Press (for dried larvae)</v>
      </c>
      <c r="D117" s="277">
        <f t="shared" si="12"/>
        <v>587.99999999999989</v>
      </c>
      <c r="E117" s="94">
        <f t="shared" si="13"/>
        <v>0</v>
      </c>
      <c r="F117" s="137">
        <f>IF($B117="N/A","",IF(INDEX(Equipment_Utility_Decision,MATCH($B117,equipment_ID,0))='4.2-Settings Internal'!$B$32,INDEX(Equipment_Utility_Run,MATCH($B117,equipment_ID,0)),""))</f>
        <v>0</v>
      </c>
      <c r="G117" s="137">
        <f>IF($B117="N/A","",IF(INDEX(Equipment_Utility_Decision,MATCH($B117,equipment_ID,0))='4.2-Settings Internal'!$B$32,INDEX(Equipment_Utility_Water,MATCH($B117,equipment_ID,0)),""))</f>
        <v>0</v>
      </c>
      <c r="H117" s="277">
        <f t="shared" si="14"/>
        <v>0</v>
      </c>
      <c r="I117" s="137">
        <f>IF($B117="N/A","",IF(INDEX(Equipment_Utility_Decision,MATCH($B117,equipment_ID,0))='4.2-Settings Internal'!$B$32,INDEX(Equipment_Utility_Electricity,MATCH($B117,equipment_ID,0)),""))</f>
        <v>5.5</v>
      </c>
      <c r="J117" s="277">
        <f t="shared" si="15"/>
        <v>0</v>
      </c>
      <c r="K117" s="137">
        <f>IF($B117="N/A","",IF(INDEX(Equipment_Utility_Decision,MATCH($B117,equipment_ID,0))=INDEX(Yes_No_Choice[],1),INDEX(Equipment_Utility_Fuel,MATCH($B117,equipment_ID,0)),""))</f>
        <v>0</v>
      </c>
      <c r="L117" s="277" t="str">
        <f t="shared" si="16"/>
        <v/>
      </c>
      <c r="M117" s="95">
        <f t="shared" si="17"/>
        <v>1</v>
      </c>
      <c r="N117" s="277">
        <f t="shared" si="18"/>
        <v>0</v>
      </c>
      <c r="O117" s="137">
        <f t="shared" si="19"/>
        <v>0</v>
      </c>
    </row>
    <row r="118" spans="2:15">
      <c r="B118" s="76" t="str">
        <f t="array" ref="B118">IF(COUNTIFS(INDEX(Equipment_Allocation_New,0,MATCH($C$107,Unit_codes,0)),"&gt;0")&lt;ROWS('2.2-Equipment input'!$X$8:$X16),"N/A",INDEX('2.2-Equipment input'!B:B,SMALL(IF(INDEX(Equipment_Allocation_New,0,MATCH($C$107,Unit_codes,0))&gt;0,ROW(equipment_ID)),ROW('2.2-Equipment input'!B9))))</f>
        <v>eq0041</v>
      </c>
      <c r="C118" s="76" t="str">
        <f>IF($B118="N/A","N/A",INDEX(Equipment_name[],MATCH(B118,equipment_ID,0)))</f>
        <v>Grinder</v>
      </c>
      <c r="D118" s="277">
        <f t="shared" si="12"/>
        <v>65.799999999999983</v>
      </c>
      <c r="E118" s="94">
        <f t="shared" si="13"/>
        <v>0</v>
      </c>
      <c r="F118" s="137">
        <f>IF($B118="N/A","",IF(INDEX(Equipment_Utility_Decision,MATCH($B118,equipment_ID,0))='4.2-Settings Internal'!$B$32,INDEX(Equipment_Utility_Run,MATCH($B118,equipment_ID,0)),""))</f>
        <v>0</v>
      </c>
      <c r="G118" s="137">
        <f>IF($B118="N/A","",IF(INDEX(Equipment_Utility_Decision,MATCH($B118,equipment_ID,0))='4.2-Settings Internal'!$B$32,INDEX(Equipment_Utility_Water,MATCH($B118,equipment_ID,0)),""))</f>
        <v>0</v>
      </c>
      <c r="H118" s="277">
        <f t="shared" si="14"/>
        <v>0</v>
      </c>
      <c r="I118" s="137">
        <f>IF($B118="N/A","",IF(INDEX(Equipment_Utility_Decision,MATCH($B118,equipment_ID,0))='4.2-Settings Internal'!$B$32,INDEX(Equipment_Utility_Electricity,MATCH($B118,equipment_ID,0)),""))</f>
        <v>1.8</v>
      </c>
      <c r="J118" s="277">
        <f t="shared" si="15"/>
        <v>0</v>
      </c>
      <c r="K118" s="137">
        <f>IF($B118="N/A","",IF(INDEX(Equipment_Utility_Decision,MATCH($B118,equipment_ID,0))=INDEX(Yes_No_Choice[],1),INDEX(Equipment_Utility_Fuel,MATCH($B118,equipment_ID,0)),""))</f>
        <v>0</v>
      </c>
      <c r="L118" s="277" t="str">
        <f t="shared" si="16"/>
        <v/>
      </c>
      <c r="M118" s="95">
        <f t="shared" si="17"/>
        <v>1</v>
      </c>
      <c r="N118" s="277">
        <f t="shared" si="18"/>
        <v>0</v>
      </c>
      <c r="O118" s="137">
        <f t="shared" si="19"/>
        <v>0</v>
      </c>
    </row>
    <row r="119" spans="2:15">
      <c r="B119" s="76" t="str">
        <f t="array" ref="B119">IF(COUNTIFS(INDEX(Equipment_Allocation_New,0,MATCH($C$107,Unit_codes,0)),"&gt;0")&lt;ROWS('2.2-Equipment input'!$X$8:$X17),"N/A",INDEX('2.2-Equipment input'!B:B,SMALL(IF(INDEX(Equipment_Allocation_New,0,MATCH($C$107,Unit_codes,0))&gt;0,ROW(equipment_ID)),ROW('2.2-Equipment input'!B10))))</f>
        <v>eq0042</v>
      </c>
      <c r="C119" s="76" t="str">
        <f>IF($B119="N/A","N/A",INDEX(Equipment_name[],MATCH(B119,equipment_ID,0)))</f>
        <v>Rotary dryer</v>
      </c>
      <c r="D119" s="277">
        <f t="shared" si="12"/>
        <v>279.99999999999994</v>
      </c>
      <c r="E119" s="94">
        <f t="shared" si="13"/>
        <v>0</v>
      </c>
      <c r="F119" s="137">
        <f>IF($B119="N/A","",IF(INDEX(Equipment_Utility_Decision,MATCH($B119,equipment_ID,0))='4.2-Settings Internal'!$B$32,INDEX(Equipment_Utility_Run,MATCH($B119,equipment_ID,0)),""))</f>
        <v>0</v>
      </c>
      <c r="G119" s="137">
        <f>IF($B119="N/A","",IF(INDEX(Equipment_Utility_Decision,MATCH($B119,equipment_ID,0))='4.2-Settings Internal'!$B$32,INDEX(Equipment_Utility_Water,MATCH($B119,equipment_ID,0)),""))</f>
        <v>0</v>
      </c>
      <c r="H119" s="277">
        <f t="shared" si="14"/>
        <v>0</v>
      </c>
      <c r="I119" s="137">
        <f>IF($B119="N/A","",IF(INDEX(Equipment_Utility_Decision,MATCH($B119,equipment_ID,0))='4.2-Settings Internal'!$B$32,INDEX(Equipment_Utility_Electricity,MATCH($B119,equipment_ID,0)),""))</f>
        <v>0.3</v>
      </c>
      <c r="J119" s="277">
        <f t="shared" si="15"/>
        <v>0</v>
      </c>
      <c r="K119" s="137">
        <f>IF($B119="N/A","",IF(INDEX(Equipment_Utility_Decision,MATCH($B119,equipment_ID,0))=INDEX(Yes_No_Choice[],1),INDEX(Equipment_Utility_Fuel,MATCH($B119,equipment_ID,0)),""))</f>
        <v>1.5</v>
      </c>
      <c r="L119" s="277">
        <f t="shared" si="16"/>
        <v>0</v>
      </c>
      <c r="M119" s="95">
        <f t="shared" si="17"/>
        <v>1</v>
      </c>
      <c r="N119" s="277">
        <f t="shared" si="18"/>
        <v>0</v>
      </c>
      <c r="O119" s="137">
        <f t="shared" si="19"/>
        <v>0</v>
      </c>
    </row>
    <row r="120" spans="2:15">
      <c r="B120" s="76" t="str">
        <f t="array" ref="B120">IF(COUNTIFS(INDEX(Equipment_Allocation_New,0,MATCH($C$107,Unit_codes,0)),"&gt;0")&lt;ROWS('2.2-Equipment input'!$X$8:$X18),"N/A",INDEX('2.2-Equipment input'!B:B,SMALL(IF(INDEX(Equipment_Allocation_New,0,MATCH($C$107,Unit_codes,0))&gt;0,ROW(equipment_ID)),ROW('2.2-Equipment input'!B11))))</f>
        <v>eq0043</v>
      </c>
      <c r="C120" s="76" t="str">
        <f>IF($B120="N/A","N/A",INDEX(Equipment_name[],MATCH(B120,equipment_ID,0)))</f>
        <v>Sealer</v>
      </c>
      <c r="D120" s="277">
        <f t="shared" si="12"/>
        <v>59.5</v>
      </c>
      <c r="E120" s="94">
        <f t="shared" si="13"/>
        <v>0</v>
      </c>
      <c r="F120" s="137">
        <f>IF($B120="N/A","",IF(INDEX(Equipment_Utility_Decision,MATCH($B120,equipment_ID,0))='4.2-Settings Internal'!$B$32,INDEX(Equipment_Utility_Run,MATCH($B120,equipment_ID,0)),""))</f>
        <v>0.13</v>
      </c>
      <c r="G120" s="137">
        <f>IF($B120="N/A","",IF(INDEX(Equipment_Utility_Decision,MATCH($B120,equipment_ID,0))='4.2-Settings Internal'!$B$32,INDEX(Equipment_Utility_Water,MATCH($B120,equipment_ID,0)),""))</f>
        <v>0</v>
      </c>
      <c r="H120" s="277">
        <f t="shared" si="14"/>
        <v>0</v>
      </c>
      <c r="I120" s="137">
        <f>IF($B120="N/A","",IF(INDEX(Equipment_Utility_Decision,MATCH($B120,equipment_ID,0))='4.2-Settings Internal'!$B$32,INDEX(Equipment_Utility_Electricity,MATCH($B120,equipment_ID,0)),""))</f>
        <v>1.5</v>
      </c>
      <c r="J120" s="277">
        <f t="shared" si="15"/>
        <v>0</v>
      </c>
      <c r="K120" s="137">
        <f>IF($B120="N/A","",IF(INDEX(Equipment_Utility_Decision,MATCH($B120,equipment_ID,0))=INDEX(Yes_No_Choice[],1),INDEX(Equipment_Utility_Fuel,MATCH($B120,equipment_ID,0)),""))</f>
        <v>0</v>
      </c>
      <c r="L120" s="277" t="str">
        <f t="shared" si="16"/>
        <v/>
      </c>
      <c r="M120" s="95">
        <f t="shared" si="17"/>
        <v>1</v>
      </c>
      <c r="N120" s="277">
        <f t="shared" si="18"/>
        <v>0</v>
      </c>
      <c r="O120" s="137" t="str">
        <f t="shared" si="19"/>
        <v/>
      </c>
    </row>
    <row r="121" spans="2:15">
      <c r="B121" s="76" t="str">
        <f t="array" ref="B121">IF(COUNTIFS(INDEX(Equipment_Allocation_New,0,MATCH($C$107,Unit_codes,0)),"&gt;0")&lt;ROWS('2.2-Equipment input'!$X$8:$X19),"N/A",INDEX('2.2-Equipment input'!B:B,SMALL(IF(INDEX(Equipment_Allocation_New,0,MATCH($C$107,Unit_codes,0))&gt;0,ROW(equipment_ID)),ROW('2.2-Equipment input'!B12))))</f>
        <v>eq0044</v>
      </c>
      <c r="C121" s="76" t="str">
        <f>IF($B121="N/A","N/A",INDEX(Equipment_name[],MATCH(B121,equipment_ID,0)))</f>
        <v xml:space="preserve">Scale </v>
      </c>
      <c r="D121" s="277">
        <f t="shared" si="12"/>
        <v>87.499999999999986</v>
      </c>
      <c r="E121" s="94">
        <f t="shared" si="13"/>
        <v>4</v>
      </c>
      <c r="F121" s="137">
        <f>IF($B121="N/A","",IF(INDEX(Equipment_Utility_Decision,MATCH($B121,equipment_ID,0))='4.2-Settings Internal'!$B$32,INDEX(Equipment_Utility_Run,MATCH($B121,equipment_ID,0)),""))</f>
        <v>0.25</v>
      </c>
      <c r="G121" s="137">
        <f>IF($B121="N/A","",IF(INDEX(Equipment_Utility_Decision,MATCH($B121,equipment_ID,0))='4.2-Settings Internal'!$B$32,INDEX(Equipment_Utility_Water,MATCH($B121,equipment_ID,0)),""))</f>
        <v>0</v>
      </c>
      <c r="H121" s="277">
        <f t="shared" si="14"/>
        <v>0</v>
      </c>
      <c r="I121" s="137">
        <f>IF($B121="N/A","",IF(INDEX(Equipment_Utility_Decision,MATCH($B121,equipment_ID,0))='4.2-Settings Internal'!$B$32,INDEX(Equipment_Utility_Electricity,MATCH($B121,equipment_ID,0)),""))</f>
        <v>0</v>
      </c>
      <c r="J121" s="277">
        <f t="shared" si="15"/>
        <v>0</v>
      </c>
      <c r="K121" s="137">
        <f>IF($B121="N/A","",IF(INDEX(Equipment_Utility_Decision,MATCH($B121,equipment_ID,0))=INDEX(Yes_No_Choice[],1),INDEX(Equipment_Utility_Fuel,MATCH($B121,equipment_ID,0)),""))</f>
        <v>0</v>
      </c>
      <c r="L121" s="277" t="str">
        <f t="shared" si="16"/>
        <v/>
      </c>
      <c r="M121" s="95">
        <f t="shared" si="17"/>
        <v>1</v>
      </c>
      <c r="N121" s="277">
        <f t="shared" si="18"/>
        <v>349.99999999999994</v>
      </c>
      <c r="O121" s="137" t="str">
        <f t="shared" si="19"/>
        <v/>
      </c>
    </row>
    <row r="122" spans="2:15">
      <c r="B122" s="76" t="str">
        <f t="array" ref="B122">IF(COUNTIFS(INDEX(Equipment_Allocation_New,0,MATCH($C$107,Unit_codes,0)),"&gt;0")&lt;ROWS('2.2-Equipment input'!$X$8:$X20),"N/A",INDEX('2.2-Equipment input'!B:B,SMALL(IF(INDEX(Equipment_Allocation_New,0,MATCH($C$107,Unit_codes,0))&gt;0,ROW(equipment_ID)),ROW('2.2-Equipment input'!B13))))</f>
        <v>eq0045</v>
      </c>
      <c r="C122" s="76" t="str">
        <f>IF($B122="N/A","N/A",INDEX(Equipment_name[],MATCH(B122,equipment_ID,0)))</f>
        <v xml:space="preserve">Refrigerator </v>
      </c>
      <c r="D122" s="277">
        <f t="shared" si="12"/>
        <v>39.185999999999993</v>
      </c>
      <c r="E122" s="94">
        <f t="shared" si="13"/>
        <v>0</v>
      </c>
      <c r="F122" s="137">
        <f>IF($B122="N/A","",IF(INDEX(Equipment_Utility_Decision,MATCH($B122,equipment_ID,0))='4.2-Settings Internal'!$B$32,INDEX(Equipment_Utility_Run,MATCH($B122,equipment_ID,0)),""))</f>
        <v>24</v>
      </c>
      <c r="G122" s="137">
        <f>IF($B122="N/A","",IF(INDEX(Equipment_Utility_Decision,MATCH($B122,equipment_ID,0))='4.2-Settings Internal'!$B$32,INDEX(Equipment_Utility_Water,MATCH($B122,equipment_ID,0)),""))</f>
        <v>0</v>
      </c>
      <c r="H122" s="277">
        <f t="shared" si="14"/>
        <v>0</v>
      </c>
      <c r="I122" s="137">
        <f>IF($B122="N/A","",IF(INDEX(Equipment_Utility_Decision,MATCH($B122,equipment_ID,0))='4.2-Settings Internal'!$B$32,INDEX(Equipment_Utility_Electricity,MATCH($B122,equipment_ID,0)),""))</f>
        <v>0.33</v>
      </c>
      <c r="J122" s="277">
        <f t="shared" si="15"/>
        <v>0</v>
      </c>
      <c r="K122" s="137">
        <f>IF($B122="N/A","",IF(INDEX(Equipment_Utility_Decision,MATCH($B122,equipment_ID,0))=INDEX(Yes_No_Choice[],1),INDEX(Equipment_Utility_Fuel,MATCH($B122,equipment_ID,0)),""))</f>
        <v>0</v>
      </c>
      <c r="L122" s="277" t="str">
        <f t="shared" si="16"/>
        <v/>
      </c>
      <c r="M122" s="95">
        <f t="shared" si="17"/>
        <v>1</v>
      </c>
      <c r="N122" s="277">
        <f t="shared" si="18"/>
        <v>0</v>
      </c>
      <c r="O122" s="137" t="str">
        <f t="shared" si="19"/>
        <v/>
      </c>
    </row>
    <row r="123" spans="2:15">
      <c r="B123" s="76" t="str">
        <f t="array" ref="B123">IF(COUNTIFS(INDEX(Equipment_Allocation_New,0,MATCH($C$107,Unit_codes,0)),"&gt;0")&lt;ROWS('2.2-Equipment input'!$X$8:$X21),"N/A",INDEX('2.2-Equipment input'!B:B,SMALL(IF(INDEX(Equipment_Allocation_New,0,MATCH($C$107,Unit_codes,0))&gt;0,ROW(equipment_ID)),ROW('2.2-Equipment input'!B14))))</f>
        <v>eq0046</v>
      </c>
      <c r="C123" s="76" t="str">
        <f>IF($B123="N/A","N/A",INDEX(Equipment_name[],MATCH(B123,equipment_ID,0)))</f>
        <v>Freezer</v>
      </c>
      <c r="D123" s="277">
        <f t="shared" si="12"/>
        <v>20.999999999999996</v>
      </c>
      <c r="E123" s="94">
        <f t="shared" si="13"/>
        <v>0</v>
      </c>
      <c r="F123" s="137">
        <f>IF($B123="N/A","",IF(INDEX(Equipment_Utility_Decision,MATCH($B123,equipment_ID,0))='4.2-Settings Internal'!$B$32,INDEX(Equipment_Utility_Run,MATCH($B123,equipment_ID,0)),""))</f>
        <v>24</v>
      </c>
      <c r="G123" s="137">
        <f>IF($B123="N/A","",IF(INDEX(Equipment_Utility_Decision,MATCH($B123,equipment_ID,0))='4.2-Settings Internal'!$B$32,INDEX(Equipment_Utility_Water,MATCH($B123,equipment_ID,0)),""))</f>
        <v>0</v>
      </c>
      <c r="H123" s="277">
        <f t="shared" si="14"/>
        <v>0</v>
      </c>
      <c r="I123" s="137">
        <f>IF($B123="N/A","",IF(INDEX(Equipment_Utility_Decision,MATCH($B123,equipment_ID,0))='4.2-Settings Internal'!$B$32,INDEX(Equipment_Utility_Electricity,MATCH($B123,equipment_ID,0)),""))</f>
        <v>0.25</v>
      </c>
      <c r="J123" s="277">
        <f t="shared" si="15"/>
        <v>0</v>
      </c>
      <c r="K123" s="137">
        <f>IF($B123="N/A","",IF(INDEX(Equipment_Utility_Decision,MATCH($B123,equipment_ID,0))=INDEX(Yes_No_Choice[],1),INDEX(Equipment_Utility_Fuel,MATCH($B123,equipment_ID,0)),""))</f>
        <v>4.1666666666666666E-3</v>
      </c>
      <c r="L123" s="277">
        <f t="shared" si="16"/>
        <v>0</v>
      </c>
      <c r="M123" s="95">
        <f t="shared" si="17"/>
        <v>1</v>
      </c>
      <c r="N123" s="277">
        <f t="shared" si="18"/>
        <v>0</v>
      </c>
      <c r="O123" s="137" t="str">
        <f t="shared" si="19"/>
        <v/>
      </c>
    </row>
    <row r="124" spans="2:15">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2"/>
        <v>N/A</v>
      </c>
      <c r="E124" s="94" t="str">
        <f t="shared" si="13"/>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4"/>
        <v/>
      </c>
      <c r="I124" s="137" t="str">
        <f>IF($B124="N/A","",IF(INDEX(Equipment_Utility_Decision,MATCH($B124,equipment_ID,0))='4.2-Settings Internal'!$B$32,INDEX(Equipment_Utility_Electricity,MATCH($B124,equipment_ID,0)),""))</f>
        <v/>
      </c>
      <c r="J124" s="277" t="str">
        <f t="shared" si="15"/>
        <v/>
      </c>
      <c r="K124" s="137" t="str">
        <f>IF($B124="N/A","",IF(INDEX(Equipment_Utility_Decision,MATCH($B124,equipment_ID,0))=INDEX(Yes_No_Choice[],1),INDEX(Equipment_Utility_Fuel,MATCH($B124,equipment_ID,0)),""))</f>
        <v/>
      </c>
      <c r="L124" s="277" t="str">
        <f t="shared" si="16"/>
        <v/>
      </c>
      <c r="M124" s="95" t="str">
        <f t="shared" si="17"/>
        <v/>
      </c>
      <c r="N124" s="277" t="str">
        <f t="shared" si="18"/>
        <v/>
      </c>
      <c r="O124" s="137" t="str">
        <f t="shared" si="19"/>
        <v/>
      </c>
    </row>
    <row r="125" spans="2:15">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2"/>
        <v>N/A</v>
      </c>
      <c r="E125" s="94" t="str">
        <f t="shared" si="13"/>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4"/>
        <v/>
      </c>
      <c r="I125" s="137" t="str">
        <f>IF($B125="N/A","",IF(INDEX(Equipment_Utility_Decision,MATCH($B125,equipment_ID,0))='4.2-Settings Internal'!$B$32,INDEX(Equipment_Utility_Electricity,MATCH($B125,equipment_ID,0)),""))</f>
        <v/>
      </c>
      <c r="J125" s="277" t="str">
        <f t="shared" si="15"/>
        <v/>
      </c>
      <c r="K125" s="137" t="str">
        <f>IF($B125="N/A","",IF(INDEX(Equipment_Utility_Decision,MATCH($B125,equipment_ID,0))=INDEX(Yes_No_Choice[],1),INDEX(Equipment_Utility_Fuel,MATCH($B125,equipment_ID,0)),""))</f>
        <v/>
      </c>
      <c r="L125" s="277" t="str">
        <f t="shared" si="16"/>
        <v/>
      </c>
      <c r="M125" s="95" t="str">
        <f t="shared" si="17"/>
        <v/>
      </c>
      <c r="N125" s="277" t="str">
        <f t="shared" si="18"/>
        <v/>
      </c>
      <c r="O125" s="137" t="str">
        <f t="shared" si="19"/>
        <v/>
      </c>
    </row>
    <row r="126" spans="2:15">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2"/>
        <v>N/A</v>
      </c>
      <c r="E126" s="94" t="str">
        <f t="shared" si="13"/>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4"/>
        <v/>
      </c>
      <c r="I126" s="137" t="str">
        <f>IF($B126="N/A","",IF(INDEX(Equipment_Utility_Decision,MATCH($B126,equipment_ID,0))='4.2-Settings Internal'!$B$32,INDEX(Equipment_Utility_Electricity,MATCH($B126,equipment_ID,0)),""))</f>
        <v/>
      </c>
      <c r="J126" s="277" t="str">
        <f t="shared" si="15"/>
        <v/>
      </c>
      <c r="K126" s="137" t="str">
        <f>IF($B126="N/A","",IF(INDEX(Equipment_Utility_Decision,MATCH($B126,equipment_ID,0))=INDEX(Yes_No_Choice[],1),INDEX(Equipment_Utility_Fuel,MATCH($B126,equipment_ID,0)),""))</f>
        <v/>
      </c>
      <c r="L126" s="277" t="str">
        <f t="shared" si="16"/>
        <v/>
      </c>
      <c r="M126" s="95" t="str">
        <f t="shared" si="17"/>
        <v/>
      </c>
      <c r="N126" s="277" t="str">
        <f t="shared" si="18"/>
        <v/>
      </c>
      <c r="O126" s="137" t="str">
        <f t="shared" si="19"/>
        <v/>
      </c>
    </row>
    <row r="127" spans="2:15">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2"/>
        <v>N/A</v>
      </c>
      <c r="E127" s="94" t="str">
        <f t="shared" si="13"/>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4"/>
        <v/>
      </c>
      <c r="I127" s="137" t="str">
        <f>IF($B127="N/A","",IF(INDEX(Equipment_Utility_Decision,MATCH($B127,equipment_ID,0))='4.2-Settings Internal'!$B$32,INDEX(Equipment_Utility_Electricity,MATCH($B127,equipment_ID,0)),""))</f>
        <v/>
      </c>
      <c r="J127" s="277" t="str">
        <f t="shared" si="15"/>
        <v/>
      </c>
      <c r="K127" s="137" t="str">
        <f>IF($B127="N/A","",IF(INDEX(Equipment_Utility_Decision,MATCH($B127,equipment_ID,0))=INDEX(Yes_No_Choice[],1),INDEX(Equipment_Utility_Fuel,MATCH($B127,equipment_ID,0)),""))</f>
        <v/>
      </c>
      <c r="L127" s="277" t="str">
        <f t="shared" si="16"/>
        <v/>
      </c>
      <c r="M127" s="95" t="str">
        <f t="shared" si="17"/>
        <v/>
      </c>
      <c r="N127" s="277" t="str">
        <f t="shared" si="18"/>
        <v/>
      </c>
      <c r="O127" s="137" t="str">
        <f t="shared" si="19"/>
        <v/>
      </c>
    </row>
    <row r="128" spans="2:15">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2"/>
        <v>N/A</v>
      </c>
      <c r="E128" s="94" t="str">
        <f t="shared" si="13"/>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4"/>
        <v/>
      </c>
      <c r="I128" s="137" t="str">
        <f>IF($B128="N/A","",IF(INDEX(Equipment_Utility_Decision,MATCH($B128,equipment_ID,0))='4.2-Settings Internal'!$B$32,INDEX(Equipment_Utility_Electricity,MATCH($B128,equipment_ID,0)),""))</f>
        <v/>
      </c>
      <c r="J128" s="277" t="str">
        <f t="shared" si="15"/>
        <v/>
      </c>
      <c r="K128" s="137" t="str">
        <f>IF($B128="N/A","",IF(INDEX(Equipment_Utility_Decision,MATCH($B128,equipment_ID,0))=INDEX(Yes_No_Choice[],1),INDEX(Equipment_Utility_Fuel,MATCH($B128,equipment_ID,0)),""))</f>
        <v/>
      </c>
      <c r="L128" s="277" t="str">
        <f t="shared" si="16"/>
        <v/>
      </c>
      <c r="M128" s="95" t="str">
        <f t="shared" si="17"/>
        <v/>
      </c>
      <c r="N128" s="277" t="str">
        <f t="shared" si="18"/>
        <v/>
      </c>
      <c r="O128" s="137" t="str">
        <f t="shared" si="19"/>
        <v/>
      </c>
    </row>
    <row r="129" spans="2:15">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2"/>
        <v>N/A</v>
      </c>
      <c r="E129" s="94" t="str">
        <f t="shared" si="13"/>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4"/>
        <v/>
      </c>
      <c r="I129" s="137" t="str">
        <f>IF($B129="N/A","",IF(INDEX(Equipment_Utility_Decision,MATCH($B129,equipment_ID,0))='4.2-Settings Internal'!$B$32,INDEX(Equipment_Utility_Electricity,MATCH($B129,equipment_ID,0)),""))</f>
        <v/>
      </c>
      <c r="J129" s="277" t="str">
        <f t="shared" si="15"/>
        <v/>
      </c>
      <c r="K129" s="137" t="str">
        <f>IF($B129="N/A","",IF(INDEX(Equipment_Utility_Decision,MATCH($B129,equipment_ID,0))=INDEX(Yes_No_Choice[],1),INDEX(Equipment_Utility_Fuel,MATCH($B129,equipment_ID,0)),""))</f>
        <v/>
      </c>
      <c r="L129" s="277" t="str">
        <f t="shared" si="16"/>
        <v/>
      </c>
      <c r="M129" s="95" t="str">
        <f t="shared" si="17"/>
        <v/>
      </c>
      <c r="N129" s="277" t="str">
        <f t="shared" si="18"/>
        <v/>
      </c>
      <c r="O129" s="137" t="str">
        <f t="shared" si="19"/>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2"/>
        <v>N/A</v>
      </c>
      <c r="E130" s="94" t="str">
        <f t="shared" si="13"/>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4"/>
        <v/>
      </c>
      <c r="I130" s="137" t="str">
        <f>IF($B130="N/A","",IF(INDEX(Equipment_Utility_Decision,MATCH($B130,equipment_ID,0))='4.2-Settings Internal'!$B$32,INDEX(Equipment_Utility_Electricity,MATCH($B130,equipment_ID,0)),""))</f>
        <v/>
      </c>
      <c r="J130" s="277" t="str">
        <f t="shared" si="15"/>
        <v/>
      </c>
      <c r="K130" s="137" t="str">
        <f>IF($B130="N/A","",IF(INDEX(Equipment_Utility_Decision,MATCH($B130,equipment_ID,0))=INDEX(Yes_No_Choice[],1),INDEX(Equipment_Utility_Fuel,MATCH($B130,equipment_ID,0)),""))</f>
        <v/>
      </c>
      <c r="L130" s="277" t="str">
        <f t="shared" si="16"/>
        <v/>
      </c>
      <c r="M130" s="95" t="str">
        <f t="shared" si="17"/>
        <v/>
      </c>
      <c r="N130" s="277" t="str">
        <f t="shared" si="18"/>
        <v/>
      </c>
      <c r="O130" s="137" t="str">
        <f t="shared" si="19"/>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2"/>
        <v>N/A</v>
      </c>
      <c r="E131" s="94" t="str">
        <f t="shared" si="13"/>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4"/>
        <v/>
      </c>
      <c r="I131" s="137" t="str">
        <f>IF($B131="N/A","",IF(INDEX(Equipment_Utility_Decision,MATCH($B131,equipment_ID,0))='4.2-Settings Internal'!$B$32,INDEX(Equipment_Utility_Electricity,MATCH($B131,equipment_ID,0)),""))</f>
        <v/>
      </c>
      <c r="J131" s="277" t="str">
        <f t="shared" si="15"/>
        <v/>
      </c>
      <c r="K131" s="137" t="str">
        <f>IF($B131="N/A","",IF(INDEX(Equipment_Utility_Decision,MATCH($B131,equipment_ID,0))=INDEX(Yes_No_Choice[],1),INDEX(Equipment_Utility_Fuel,MATCH($B131,equipment_ID,0)),""))</f>
        <v/>
      </c>
      <c r="L131" s="277" t="str">
        <f t="shared" si="16"/>
        <v/>
      </c>
      <c r="M131" s="95" t="str">
        <f t="shared" si="17"/>
        <v/>
      </c>
      <c r="N131" s="277" t="str">
        <f t="shared" si="18"/>
        <v/>
      </c>
      <c r="O131" s="137" t="str">
        <f t="shared" si="19"/>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2"/>
        <v>N/A</v>
      </c>
      <c r="E132" s="94" t="str">
        <f t="shared" si="13"/>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4"/>
        <v/>
      </c>
      <c r="I132" s="137" t="str">
        <f>IF($B132="N/A","",IF(INDEX(Equipment_Utility_Decision,MATCH($B132,equipment_ID,0))='4.2-Settings Internal'!$B$32,INDEX(Equipment_Utility_Electricity,MATCH($B132,equipment_ID,0)),""))</f>
        <v/>
      </c>
      <c r="J132" s="277" t="str">
        <f t="shared" si="15"/>
        <v/>
      </c>
      <c r="K132" s="137" t="str">
        <f>IF($B132="N/A","",IF(INDEX(Equipment_Utility_Decision,MATCH($B132,equipment_ID,0))=INDEX(Yes_No_Choice[],1),INDEX(Equipment_Utility_Fuel,MATCH($B132,equipment_ID,0)),""))</f>
        <v/>
      </c>
      <c r="L132" s="277" t="str">
        <f t="shared" si="16"/>
        <v/>
      </c>
      <c r="M132" s="95" t="str">
        <f t="shared" si="17"/>
        <v/>
      </c>
      <c r="N132" s="277" t="str">
        <f t="shared" si="18"/>
        <v/>
      </c>
      <c r="O132" s="137" t="str">
        <f t="shared" si="19"/>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2"/>
        <v>N/A</v>
      </c>
      <c r="E133" s="94" t="str">
        <f t="shared" si="13"/>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4"/>
        <v/>
      </c>
      <c r="I133" s="137" t="str">
        <f>IF($B133="N/A","",IF(INDEX(Equipment_Utility_Decision,MATCH($B133,equipment_ID,0))='4.2-Settings Internal'!$B$32,INDEX(Equipment_Utility_Electricity,MATCH($B133,equipment_ID,0)),""))</f>
        <v/>
      </c>
      <c r="J133" s="277" t="str">
        <f t="shared" si="15"/>
        <v/>
      </c>
      <c r="K133" s="137" t="str">
        <f>IF($B133="N/A","",IF(INDEX(Equipment_Utility_Decision,MATCH($B133,equipment_ID,0))=INDEX(Yes_No_Choice[],1),INDEX(Equipment_Utility_Fuel,MATCH($B133,equipment_ID,0)),""))</f>
        <v/>
      </c>
      <c r="L133" s="277" t="str">
        <f t="shared" si="16"/>
        <v/>
      </c>
      <c r="M133" s="95" t="str">
        <f t="shared" si="17"/>
        <v/>
      </c>
      <c r="N133" s="277" t="str">
        <f t="shared" si="18"/>
        <v/>
      </c>
      <c r="O133" s="137" t="str">
        <f t="shared" si="19"/>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2"/>
        <v>N/A</v>
      </c>
      <c r="E134" s="94" t="str">
        <f t="shared" si="13"/>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4"/>
        <v/>
      </c>
      <c r="I134" s="137" t="str">
        <f>IF($B134="N/A","",IF(INDEX(Equipment_Utility_Decision,MATCH($B134,equipment_ID,0))='4.2-Settings Internal'!$B$32,INDEX(Equipment_Utility_Electricity,MATCH($B134,equipment_ID,0)),""))</f>
        <v/>
      </c>
      <c r="J134" s="277" t="str">
        <f t="shared" si="15"/>
        <v/>
      </c>
      <c r="K134" s="137" t="str">
        <f>IF($B134="N/A","",IF(INDEX(Equipment_Utility_Decision,MATCH($B134,equipment_ID,0))=INDEX(Yes_No_Choice[],1),INDEX(Equipment_Utility_Fuel,MATCH($B134,equipment_ID,0)),""))</f>
        <v/>
      </c>
      <c r="L134" s="277" t="str">
        <f t="shared" si="16"/>
        <v/>
      </c>
      <c r="M134" s="95" t="str">
        <f t="shared" si="17"/>
        <v/>
      </c>
      <c r="N134" s="277" t="str">
        <f t="shared" si="18"/>
        <v/>
      </c>
      <c r="O134" s="137" t="str">
        <f t="shared" si="19"/>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2"/>
        <v>N/A</v>
      </c>
      <c r="E135" s="94" t="str">
        <f t="shared" si="13"/>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4"/>
        <v/>
      </c>
      <c r="I135" s="137" t="str">
        <f>IF($B135="N/A","",IF(INDEX(Equipment_Utility_Decision,MATCH($B135,equipment_ID,0))='4.2-Settings Internal'!$B$32,INDEX(Equipment_Utility_Electricity,MATCH($B135,equipment_ID,0)),""))</f>
        <v/>
      </c>
      <c r="J135" s="277" t="str">
        <f t="shared" si="15"/>
        <v/>
      </c>
      <c r="K135" s="137" t="str">
        <f>IF($B135="N/A","",IF(INDEX(Equipment_Utility_Decision,MATCH($B135,equipment_ID,0))=INDEX(Yes_No_Choice[],1),INDEX(Equipment_Utility_Fuel,MATCH($B135,equipment_ID,0)),""))</f>
        <v/>
      </c>
      <c r="L135" s="277" t="str">
        <f t="shared" si="16"/>
        <v/>
      </c>
      <c r="M135" s="95" t="str">
        <f t="shared" si="17"/>
        <v/>
      </c>
      <c r="N135" s="277" t="str">
        <f t="shared" si="18"/>
        <v/>
      </c>
      <c r="O135" s="137" t="str">
        <f t="shared" si="19"/>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2"/>
        <v>N/A</v>
      </c>
      <c r="E136" s="94" t="str">
        <f t="shared" si="13"/>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4"/>
        <v/>
      </c>
      <c r="I136" s="137" t="str">
        <f>IF($B136="N/A","",IF(INDEX(Equipment_Utility_Decision,MATCH($B136,equipment_ID,0))='4.2-Settings Internal'!$B$32,INDEX(Equipment_Utility_Electricity,MATCH($B136,equipment_ID,0)),""))</f>
        <v/>
      </c>
      <c r="J136" s="277" t="str">
        <f t="shared" si="15"/>
        <v/>
      </c>
      <c r="K136" s="137" t="str">
        <f>IF($B136="N/A","",IF(INDEX(Equipment_Utility_Decision,MATCH($B136,equipment_ID,0))=INDEX(Yes_No_Choice[],1),INDEX(Equipment_Utility_Fuel,MATCH($B136,equipment_ID,0)),""))</f>
        <v/>
      </c>
      <c r="L136" s="277" t="str">
        <f t="shared" si="16"/>
        <v/>
      </c>
      <c r="M136" s="95" t="str">
        <f t="shared" si="17"/>
        <v/>
      </c>
      <c r="N136" s="277" t="str">
        <f t="shared" si="18"/>
        <v/>
      </c>
      <c r="O136" s="137" t="str">
        <f t="shared" si="19"/>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2"/>
        <v>N/A</v>
      </c>
      <c r="E137" s="94" t="str">
        <f t="shared" si="13"/>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4"/>
        <v/>
      </c>
      <c r="I137" s="137" t="str">
        <f>IF($B137="N/A","",IF(INDEX(Equipment_Utility_Decision,MATCH($B137,equipment_ID,0))='4.2-Settings Internal'!$B$32,INDEX(Equipment_Utility_Electricity,MATCH($B137,equipment_ID,0)),""))</f>
        <v/>
      </c>
      <c r="J137" s="277" t="str">
        <f t="shared" si="15"/>
        <v/>
      </c>
      <c r="K137" s="137" t="str">
        <f>IF($B137="N/A","",IF(INDEX(Equipment_Utility_Decision,MATCH($B137,equipment_ID,0))=INDEX(Yes_No_Choice[],1),INDEX(Equipment_Utility_Fuel,MATCH($B137,equipment_ID,0)),""))</f>
        <v/>
      </c>
      <c r="L137" s="277" t="str">
        <f t="shared" si="16"/>
        <v/>
      </c>
      <c r="M137" s="95" t="str">
        <f t="shared" si="17"/>
        <v/>
      </c>
      <c r="N137" s="277" t="str">
        <f t="shared" si="18"/>
        <v/>
      </c>
      <c r="O137" s="137" t="str">
        <f t="shared" si="19"/>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2"/>
        <v>N/A</v>
      </c>
      <c r="E138" s="94" t="str">
        <f t="shared" si="13"/>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4"/>
        <v/>
      </c>
      <c r="I138" s="137" t="str">
        <f>IF($B138="N/A","",IF(INDEX(Equipment_Utility_Decision,MATCH($B138,equipment_ID,0))='4.2-Settings Internal'!$B$32,INDEX(Equipment_Utility_Electricity,MATCH($B138,equipment_ID,0)),""))</f>
        <v/>
      </c>
      <c r="J138" s="277" t="str">
        <f t="shared" si="15"/>
        <v/>
      </c>
      <c r="K138" s="137" t="str">
        <f>IF($B138="N/A","",IF(INDEX(Equipment_Utility_Decision,MATCH($B138,equipment_ID,0))=INDEX(Yes_No_Choice[],1),INDEX(Equipment_Utility_Fuel,MATCH($B138,equipment_ID,0)),""))</f>
        <v/>
      </c>
      <c r="L138" s="277" t="str">
        <f t="shared" si="16"/>
        <v/>
      </c>
      <c r="M138" s="95" t="str">
        <f t="shared" si="17"/>
        <v/>
      </c>
      <c r="N138" s="277" t="str">
        <f t="shared" si="18"/>
        <v/>
      </c>
      <c r="O138" s="137" t="str">
        <f t="shared" si="19"/>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2"/>
        <v>N/A</v>
      </c>
      <c r="E139" s="94" t="str">
        <f t="shared" si="13"/>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4"/>
        <v/>
      </c>
      <c r="I139" s="137" t="str">
        <f>IF($B139="N/A","",IF(INDEX(Equipment_Utility_Decision,MATCH($B139,equipment_ID,0))='4.2-Settings Internal'!$B$32,INDEX(Equipment_Utility_Electricity,MATCH($B139,equipment_ID,0)),""))</f>
        <v/>
      </c>
      <c r="J139" s="277" t="str">
        <f t="shared" si="15"/>
        <v/>
      </c>
      <c r="K139" s="137" t="str">
        <f>IF($B139="N/A","",IF(INDEX(Equipment_Utility_Decision,MATCH($B139,equipment_ID,0))=INDEX(Yes_No_Choice[],1),INDEX(Equipment_Utility_Fuel,MATCH($B139,equipment_ID,0)),""))</f>
        <v/>
      </c>
      <c r="L139" s="277" t="str">
        <f t="shared" si="16"/>
        <v/>
      </c>
      <c r="M139" s="95" t="str">
        <f t="shared" si="17"/>
        <v/>
      </c>
      <c r="N139" s="277" t="str">
        <f t="shared" si="18"/>
        <v/>
      </c>
      <c r="O139" s="137" t="str">
        <f t="shared" si="19"/>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2"/>
        <v>N/A</v>
      </c>
      <c r="E140" s="94" t="str">
        <f t="shared" si="13"/>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4"/>
        <v/>
      </c>
      <c r="I140" s="137" t="str">
        <f>IF($B140="N/A","",IF(INDEX(Equipment_Utility_Decision,MATCH($B140,equipment_ID,0))='4.2-Settings Internal'!$B$32,INDEX(Equipment_Utility_Electricity,MATCH($B140,equipment_ID,0)),""))</f>
        <v/>
      </c>
      <c r="J140" s="277" t="str">
        <f t="shared" si="15"/>
        <v/>
      </c>
      <c r="K140" s="137" t="str">
        <f>IF($B140="N/A","",IF(INDEX(Equipment_Utility_Decision,MATCH($B140,equipment_ID,0))=INDEX(Yes_No_Choice[],1),INDEX(Equipment_Utility_Fuel,MATCH($B140,equipment_ID,0)),""))</f>
        <v/>
      </c>
      <c r="L140" s="277" t="str">
        <f t="shared" si="16"/>
        <v/>
      </c>
      <c r="M140" s="95" t="str">
        <f t="shared" si="17"/>
        <v/>
      </c>
      <c r="N140" s="277" t="str">
        <f t="shared" si="18"/>
        <v/>
      </c>
      <c r="O140" s="137" t="str">
        <f t="shared" si="19"/>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2"/>
        <v>N/A</v>
      </c>
      <c r="E141" s="94" t="str">
        <f t="shared" si="13"/>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4"/>
        <v/>
      </c>
      <c r="I141" s="137" t="str">
        <f>IF($B141="N/A","",IF(INDEX(Equipment_Utility_Decision,MATCH($B141,equipment_ID,0))='4.2-Settings Internal'!$B$32,INDEX(Equipment_Utility_Electricity,MATCH($B141,equipment_ID,0)),""))</f>
        <v/>
      </c>
      <c r="J141" s="277" t="str">
        <f t="shared" si="15"/>
        <v/>
      </c>
      <c r="K141" s="137" t="str">
        <f>IF($B141="N/A","",IF(INDEX(Equipment_Utility_Decision,MATCH($B141,equipment_ID,0))=INDEX(Yes_No_Choice[],1),INDEX(Equipment_Utility_Fuel,MATCH($B141,equipment_ID,0)),""))</f>
        <v/>
      </c>
      <c r="L141" s="277" t="str">
        <f t="shared" si="16"/>
        <v/>
      </c>
      <c r="M141" s="95" t="str">
        <f t="shared" si="17"/>
        <v/>
      </c>
      <c r="N141" s="277" t="str">
        <f t="shared" si="18"/>
        <v/>
      </c>
      <c r="O141" s="137" t="str">
        <f t="shared" si="19"/>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2"/>
        <v>N/A</v>
      </c>
      <c r="E142" s="94" t="str">
        <f t="shared" si="13"/>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4"/>
        <v/>
      </c>
      <c r="I142" s="137" t="str">
        <f>IF($B142="N/A","",IF(INDEX(Equipment_Utility_Decision,MATCH($B142,equipment_ID,0))='4.2-Settings Internal'!$B$32,INDEX(Equipment_Utility_Electricity,MATCH($B142,equipment_ID,0)),""))</f>
        <v/>
      </c>
      <c r="J142" s="277" t="str">
        <f t="shared" si="15"/>
        <v/>
      </c>
      <c r="K142" s="137" t="str">
        <f>IF($B142="N/A","",IF(INDEX(Equipment_Utility_Decision,MATCH($B142,equipment_ID,0))=INDEX(Yes_No_Choice[],1),INDEX(Equipment_Utility_Fuel,MATCH($B142,equipment_ID,0)),""))</f>
        <v/>
      </c>
      <c r="L142" s="277" t="str">
        <f t="shared" si="16"/>
        <v/>
      </c>
      <c r="M142" s="95" t="str">
        <f t="shared" si="17"/>
        <v/>
      </c>
      <c r="N142" s="277" t="str">
        <f t="shared" si="18"/>
        <v/>
      </c>
      <c r="O142" s="137" t="str">
        <f t="shared" si="19"/>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2"/>
        <v>N/A</v>
      </c>
      <c r="E143" s="94" t="str">
        <f t="shared" si="13"/>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4"/>
        <v/>
      </c>
      <c r="I143" s="137" t="str">
        <f>IF($B143="N/A","",IF(INDEX(Equipment_Utility_Decision,MATCH($B143,equipment_ID,0))='4.2-Settings Internal'!$B$32,INDEX(Equipment_Utility_Electricity,MATCH($B143,equipment_ID,0)),""))</f>
        <v/>
      </c>
      <c r="J143" s="277" t="str">
        <f t="shared" si="15"/>
        <v/>
      </c>
      <c r="K143" s="137" t="str">
        <f>IF($B143="N/A","",IF(INDEX(Equipment_Utility_Decision,MATCH($B143,equipment_ID,0))=INDEX(Yes_No_Choice[],1),INDEX(Equipment_Utility_Fuel,MATCH($B143,equipment_ID,0)),""))</f>
        <v/>
      </c>
      <c r="L143" s="277" t="str">
        <f t="shared" si="16"/>
        <v/>
      </c>
      <c r="M143" s="95" t="str">
        <f t="shared" si="17"/>
        <v/>
      </c>
      <c r="N143" s="277" t="str">
        <f t="shared" si="18"/>
        <v/>
      </c>
      <c r="O143" s="137" t="str">
        <f t="shared" si="19"/>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2"/>
        <v>N/A</v>
      </c>
      <c r="E144" s="94" t="str">
        <f t="shared" si="13"/>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4"/>
        <v/>
      </c>
      <c r="I144" s="137" t="str">
        <f>IF($B144="N/A","",IF(INDEX(Equipment_Utility_Decision,MATCH($B144,equipment_ID,0))='4.2-Settings Internal'!$B$32,INDEX(Equipment_Utility_Electricity,MATCH($B144,equipment_ID,0)),""))</f>
        <v/>
      </c>
      <c r="J144" s="277" t="str">
        <f t="shared" si="15"/>
        <v/>
      </c>
      <c r="K144" s="137" t="str">
        <f>IF($B144="N/A","",IF(INDEX(Equipment_Utility_Decision,MATCH($B144,equipment_ID,0))=INDEX(Yes_No_Choice[],1),INDEX(Equipment_Utility_Fuel,MATCH($B144,equipment_ID,0)),""))</f>
        <v/>
      </c>
      <c r="L144" s="277" t="str">
        <f t="shared" si="16"/>
        <v/>
      </c>
      <c r="M144" s="95" t="str">
        <f t="shared" si="17"/>
        <v/>
      </c>
      <c r="N144" s="277" t="str">
        <f t="shared" si="18"/>
        <v/>
      </c>
      <c r="O144" s="137" t="str">
        <f t="shared" si="19"/>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2"/>
        <v>N/A</v>
      </c>
      <c r="E145" s="94" t="str">
        <f t="shared" si="13"/>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4"/>
        <v/>
      </c>
      <c r="I145" s="137" t="str">
        <f>IF($B145="N/A","",IF(INDEX(Equipment_Utility_Decision,MATCH($B145,equipment_ID,0))='4.2-Settings Internal'!$B$32,INDEX(Equipment_Utility_Electricity,MATCH($B145,equipment_ID,0)),""))</f>
        <v/>
      </c>
      <c r="J145" s="277" t="str">
        <f t="shared" si="15"/>
        <v/>
      </c>
      <c r="K145" s="137" t="str">
        <f>IF($B145="N/A","",IF(INDEX(Equipment_Utility_Decision,MATCH($B145,equipment_ID,0))=INDEX(Yes_No_Choice[],1),INDEX(Equipment_Utility_Fuel,MATCH($B145,equipment_ID,0)),""))</f>
        <v/>
      </c>
      <c r="L145" s="277" t="str">
        <f t="shared" si="16"/>
        <v/>
      </c>
      <c r="M145" s="95" t="str">
        <f t="shared" si="17"/>
        <v/>
      </c>
      <c r="N145" s="277" t="str">
        <f t="shared" si="18"/>
        <v/>
      </c>
      <c r="O145" s="137" t="str">
        <f t="shared" si="19"/>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2"/>
        <v>N/A</v>
      </c>
      <c r="E146" s="94" t="str">
        <f t="shared" si="13"/>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4"/>
        <v/>
      </c>
      <c r="I146" s="137" t="str">
        <f>IF($B146="N/A","",IF(INDEX(Equipment_Utility_Decision,MATCH($B146,equipment_ID,0))='4.2-Settings Internal'!$B$32,INDEX(Equipment_Utility_Electricity,MATCH($B146,equipment_ID,0)),""))</f>
        <v/>
      </c>
      <c r="J146" s="277" t="str">
        <f t="shared" si="15"/>
        <v/>
      </c>
      <c r="K146" s="137" t="str">
        <f>IF($B146="N/A","",IF(INDEX(Equipment_Utility_Decision,MATCH($B146,equipment_ID,0))=INDEX(Yes_No_Choice[],1),INDEX(Equipment_Utility_Fuel,MATCH($B146,equipment_ID,0)),""))</f>
        <v/>
      </c>
      <c r="L146" s="277" t="str">
        <f t="shared" si="16"/>
        <v/>
      </c>
      <c r="M146" s="95" t="str">
        <f t="shared" si="17"/>
        <v/>
      </c>
      <c r="N146" s="277" t="str">
        <f t="shared" si="18"/>
        <v/>
      </c>
      <c r="O146" s="137" t="str">
        <f t="shared" si="19"/>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2"/>
        <v>N/A</v>
      </c>
      <c r="E147" s="94" t="str">
        <f t="shared" si="13"/>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4"/>
        <v/>
      </c>
      <c r="I147" s="137" t="str">
        <f>IF($B147="N/A","",IF(INDEX(Equipment_Utility_Decision,MATCH($B147,equipment_ID,0))='4.2-Settings Internal'!$B$32,INDEX(Equipment_Utility_Electricity,MATCH($B147,equipment_ID,0)),""))</f>
        <v/>
      </c>
      <c r="J147" s="277" t="str">
        <f t="shared" si="15"/>
        <v/>
      </c>
      <c r="K147" s="137" t="str">
        <f>IF($B147="N/A","",IF(INDEX(Equipment_Utility_Decision,MATCH($B147,equipment_ID,0))=INDEX(Yes_No_Choice[],1),INDEX(Equipment_Utility_Fuel,MATCH($B147,equipment_ID,0)),""))</f>
        <v/>
      </c>
      <c r="L147" s="277" t="str">
        <f t="shared" si="16"/>
        <v/>
      </c>
      <c r="M147" s="95" t="str">
        <f t="shared" si="17"/>
        <v/>
      </c>
      <c r="N147" s="277" t="str">
        <f t="shared" si="18"/>
        <v/>
      </c>
      <c r="O147" s="137" t="str">
        <f t="shared" si="19"/>
        <v/>
      </c>
    </row>
    <row r="148" spans="2:23" ht="33" customHeight="1"/>
    <row r="149" spans="2:23" ht="33" customHeight="1">
      <c r="G149" s="188" t="s">
        <v>620</v>
      </c>
      <c r="H149" s="288">
        <f>SUM(H152:H189)</f>
        <v>2384.1999999999998</v>
      </c>
      <c r="I149" s="288">
        <f t="shared" ref="I149:W149" si="20">SUM(I152:I189)</f>
        <v>0</v>
      </c>
      <c r="J149" s="288">
        <f t="shared" si="20"/>
        <v>0</v>
      </c>
      <c r="K149" s="288">
        <f t="shared" si="20"/>
        <v>151.19999999999999</v>
      </c>
      <c r="L149" s="288">
        <f t="shared" si="20"/>
        <v>0</v>
      </c>
      <c r="M149" s="288">
        <f t="shared" si="20"/>
        <v>2233</v>
      </c>
      <c r="N149" s="288">
        <f t="shared" si="20"/>
        <v>151.19999999999999</v>
      </c>
      <c r="O149" s="288">
        <f t="shared" si="20"/>
        <v>0</v>
      </c>
      <c r="P149" s="288">
        <f t="shared" si="20"/>
        <v>0</v>
      </c>
      <c r="Q149" s="288">
        <f t="shared" si="20"/>
        <v>151.19999999999999</v>
      </c>
      <c r="R149" s="288">
        <f t="shared" si="20"/>
        <v>2233</v>
      </c>
      <c r="S149" s="288">
        <f t="shared" si="20"/>
        <v>0</v>
      </c>
      <c r="T149" s="288">
        <f t="shared" si="20"/>
        <v>151.19999999999999</v>
      </c>
      <c r="U149" s="288">
        <f t="shared" si="20"/>
        <v>0</v>
      </c>
      <c r="V149" s="288">
        <f t="shared" si="20"/>
        <v>0</v>
      </c>
      <c r="W149" s="288">
        <f t="shared" si="20"/>
        <v>2384.1999999999998</v>
      </c>
    </row>
    <row r="151" spans="2:23" ht="31.5">
      <c r="B151" s="97" t="s">
        <v>84</v>
      </c>
      <c r="C151" s="97" t="s">
        <v>53</v>
      </c>
      <c r="D151" s="123" t="s">
        <v>52</v>
      </c>
      <c r="E151" s="184" t="s">
        <v>149</v>
      </c>
      <c r="F151" s="123" t="s">
        <v>50</v>
      </c>
      <c r="G151" s="123" t="s">
        <v>121</v>
      </c>
      <c r="H151" s="123" t="s">
        <v>617</v>
      </c>
      <c r="I151" s="123" t="s">
        <v>595</v>
      </c>
      <c r="J151" s="123" t="s">
        <v>596</v>
      </c>
      <c r="K151" s="123" t="s">
        <v>597</v>
      </c>
      <c r="L151" s="123" t="s">
        <v>598</v>
      </c>
      <c r="M151" s="123" t="s">
        <v>599</v>
      </c>
      <c r="N151" s="123" t="s">
        <v>600</v>
      </c>
      <c r="O151" s="123" t="s">
        <v>601</v>
      </c>
      <c r="P151" s="123" t="s">
        <v>602</v>
      </c>
      <c r="Q151" s="123" t="s">
        <v>603</v>
      </c>
      <c r="R151" s="123" t="s">
        <v>604</v>
      </c>
      <c r="S151" s="123" t="s">
        <v>605</v>
      </c>
      <c r="T151" s="123" t="s">
        <v>606</v>
      </c>
      <c r="U151" s="123" t="s">
        <v>607</v>
      </c>
      <c r="V151" s="123" t="s">
        <v>608</v>
      </c>
      <c r="W151" s="123"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eq0004</v>
      </c>
      <c r="C152" s="76" t="str">
        <f>IF($B152="N/A","N/A",INDEX(Equipment_name[],MATCH(B152,equipment_ID,0)))</f>
        <v>Pallets</v>
      </c>
      <c r="D152" s="277">
        <f t="shared" ref="D152:D189" si="21">IF($B152="N/A","N/A",INDEX(Equipment_Capital_Cost,MATCH($B152,equipment_ID,0)))</f>
        <v>10.499999999999998</v>
      </c>
      <c r="E152" s="94">
        <f t="shared" ref="E152:E189" si="22">IF($B152="N/A","N/A",INDEX(Equipment_Lifetime,MATCH($B152,equipment_ID,0)))</f>
        <v>5</v>
      </c>
      <c r="F152" s="94">
        <f t="shared" ref="F152:F189" si="23">IF($B152="N/A","N/A",INDEX(Equipment_Quantity_New,MATCH($B152,equipment_ID,0)))</f>
        <v>120</v>
      </c>
      <c r="G152" s="92">
        <f t="shared" ref="G152:G189" si="24">IF($B152="N/A","N/A",INDEX(Equipment_Allocation_New,MATCH($B152,equipment_ID,0),MATCH($C$107,Unit_codes,0)))</f>
        <v>0.1</v>
      </c>
      <c r="H152" s="277">
        <f>IFERROR(IF($B152="N/A","N/A",IF(MOD(COLUMNS(H$151:$H$151)-1,$E152)=0,$F152*$D152*$G152,)),)</f>
        <v>125.99999999999999</v>
      </c>
      <c r="I152" s="277">
        <f>IFERROR(IF($B152="N/A","N/A",IF(MOD(COLUMNS($H$151:I$151)-1,$E152)=0,$F152*$D152*$G152,)),)</f>
        <v>0</v>
      </c>
      <c r="J152" s="277">
        <f>IFERROR(IF($B152="N/A","N/A",IF(MOD(COLUMNS($H$151:J$151)-1,$E152)=0,$F152*$D152*$G152,)),)</f>
        <v>0</v>
      </c>
      <c r="K152" s="277">
        <f>IFERROR(IF($B152="N/A","N/A",IF(MOD(COLUMNS($H$151:K$151)-1,$E152)=0,$F152*$D152*$G152,)),)</f>
        <v>0</v>
      </c>
      <c r="L152" s="277">
        <f>IFERROR(IF($B152="N/A","N/A",IF(MOD(COLUMNS($H$151:L$151)-1,$E152)=0,$F152*$D152*$G152,)),)</f>
        <v>0</v>
      </c>
      <c r="M152" s="277">
        <f>IFERROR(IF($B152="N/A","N/A",IF(MOD(COLUMNS($H$151:M$151)-1,$E152)=0,$F152*$D152*$G152,)),)</f>
        <v>125.99999999999999</v>
      </c>
      <c r="N152" s="277">
        <f>IFERROR(IF($B152="N/A","N/A",IF(MOD(COLUMNS($H$151:N$151)-1,$E152)=0,$F152*$D152*$G152,)),)</f>
        <v>0</v>
      </c>
      <c r="O152" s="277">
        <f>IFERROR(IF($B152="N/A","N/A",IF(MOD(COLUMNS($H$151:O$151)-1,$E152)=0,$F152*$D152*$G152,)),)</f>
        <v>0</v>
      </c>
      <c r="P152" s="277">
        <f>IFERROR(IF($B152="N/A","N/A",IF(MOD(COLUMNS($H$151:P$151)-1,$E152)=0,$F152*$D152*$G152,)),)</f>
        <v>0</v>
      </c>
      <c r="Q152" s="277">
        <f>IFERROR(IF($B152="N/A","N/A",IF(MOD(COLUMNS($H$151:Q$151)-1,$E152)=0,$F152*$D152*$G152,)),)</f>
        <v>0</v>
      </c>
      <c r="R152" s="277">
        <f>IFERROR(IF($B152="N/A","N/A",IF(MOD(COLUMNS($H$151:R$151)-1,$E152)=0,$F152*$D152*$G152,)),)</f>
        <v>125.99999999999999</v>
      </c>
      <c r="S152" s="277">
        <f>IFERROR(IF($B152="N/A","N/A",IF(MOD(COLUMNS($H$151:S$151)-1,$E152)=0,$F152*$D152*$G152,)),)</f>
        <v>0</v>
      </c>
      <c r="T152" s="277">
        <f>IFERROR(IF($B152="N/A","N/A",IF(MOD(COLUMNS($H$151:T$151)-1,$E152)=0,$F152*$D152*$G152,)),)</f>
        <v>0</v>
      </c>
      <c r="U152" s="277">
        <f>IFERROR(IF($B152="N/A","N/A",IF(MOD(COLUMNS($H$151:U$151)-1,$E152)=0,$F152*$D152*$G152,)),)</f>
        <v>0</v>
      </c>
      <c r="V152" s="277">
        <f>IFERROR(IF($B152="N/A","N/A",IF(MOD(COLUMNS($H$151:V$151)-1,$E152)=0,$F152*$D152*$G152,)),)</f>
        <v>0</v>
      </c>
      <c r="W152" s="277">
        <f>IFERROR(IF($B152="N/A","N/A",IF(MOD(COLUMNS($H$151:W$151)-1,$E152)=0,$F152*$D152*$G152,)),)</f>
        <v>125.99999999999999</v>
      </c>
    </row>
    <row r="153" spans="2:23">
      <c r="B153" s="76" t="str">
        <f t="array" ref="B153">IF(COUNTIFS(INDEX(Equipment_Allocation_New,0,MATCH($C$107,Unit_codes,0)),"&gt;0")&lt;ROWS('2.2-Equipment input'!$X$8:$X9),"N/A",INDEX('2.2-Equipment input'!B:B,SMALL(IF(INDEX(Equipment_Allocation_New,0,MATCH($C$107,Unit_codes,0))&gt;0,ROW(equipment_ID)),ROW('2.2-Equipment input'!B2))))</f>
        <v>eq0006</v>
      </c>
      <c r="C153" s="76" t="str">
        <f>IF($B153="N/A","N/A",INDEX(Equipment_name[],MATCH(B153,equipment_ID,0)))</f>
        <v>Pallet trolley</v>
      </c>
      <c r="D153" s="277">
        <f t="shared" si="21"/>
        <v>209.99999999999997</v>
      </c>
      <c r="E153" s="94">
        <f t="shared" si="22"/>
        <v>5</v>
      </c>
      <c r="F153" s="94">
        <f t="shared" si="23"/>
        <v>2</v>
      </c>
      <c r="G153" s="92">
        <f t="shared" si="24"/>
        <v>0.1</v>
      </c>
      <c r="H153" s="277">
        <f>IFERROR(IF($B153="N/A","N/A",IF(MOD(COLUMNS(H$151:$H$151)-1,$E153)=0,$F153*$D153*$G153,)),)</f>
        <v>42</v>
      </c>
      <c r="I153" s="277">
        <f>IFERROR(IF($B153="N/A","N/A",IF(MOD(COLUMNS($H$151:I$151)-1,$E153)=0,$F153*$D153*$G153,)),)</f>
        <v>0</v>
      </c>
      <c r="J153" s="277">
        <f>IFERROR(IF($B153="N/A","N/A",IF(MOD(COLUMNS($H$151:J$151)-1,$E153)=0,$F153*$D153*$G153,)),)</f>
        <v>0</v>
      </c>
      <c r="K153" s="277">
        <f>IFERROR(IF($B153="N/A","N/A",IF(MOD(COLUMNS($H$151:K$151)-1,$E153)=0,$F153*$D153*$G153,)),)</f>
        <v>0</v>
      </c>
      <c r="L153" s="277">
        <f>IFERROR(IF($B153="N/A","N/A",IF(MOD(COLUMNS($H$151:L$151)-1,$E153)=0,$F153*$D153*$G153,)),)</f>
        <v>0</v>
      </c>
      <c r="M153" s="277">
        <f>IFERROR(IF($B153="N/A","N/A",IF(MOD(COLUMNS($H$151:M$151)-1,$E153)=0,$F153*$D153*$G153,)),)</f>
        <v>42</v>
      </c>
      <c r="N153" s="277">
        <f>IFERROR(IF($B153="N/A","N/A",IF(MOD(COLUMNS($H$151:N$151)-1,$E153)=0,$F153*$D153*$G153,)),)</f>
        <v>0</v>
      </c>
      <c r="O153" s="277">
        <f>IFERROR(IF($B153="N/A","N/A",IF(MOD(COLUMNS($H$151:O$151)-1,$E153)=0,$F153*$D153*$G153,)),)</f>
        <v>0</v>
      </c>
      <c r="P153" s="277">
        <f>IFERROR(IF($B153="N/A","N/A",IF(MOD(COLUMNS($H$151:P$151)-1,$E153)=0,$F153*$D153*$G153,)),)</f>
        <v>0</v>
      </c>
      <c r="Q153" s="277">
        <f>IFERROR(IF($B153="N/A","N/A",IF(MOD(COLUMNS($H$151:Q$151)-1,$E153)=0,$F153*$D153*$G153,)),)</f>
        <v>0</v>
      </c>
      <c r="R153" s="277">
        <f>IFERROR(IF($B153="N/A","N/A",IF(MOD(COLUMNS($H$151:R$151)-1,$E153)=0,$F153*$D153*$G153,)),)</f>
        <v>42</v>
      </c>
      <c r="S153" s="277">
        <f>IFERROR(IF($B153="N/A","N/A",IF(MOD(COLUMNS($H$151:S$151)-1,$E153)=0,$F153*$D153*$G153,)),)</f>
        <v>0</v>
      </c>
      <c r="T153" s="277">
        <f>IFERROR(IF($B153="N/A","N/A",IF(MOD(COLUMNS($H$151:T$151)-1,$E153)=0,$F153*$D153*$G153,)),)</f>
        <v>0</v>
      </c>
      <c r="U153" s="277">
        <f>IFERROR(IF($B153="N/A","N/A",IF(MOD(COLUMNS($H$151:U$151)-1,$E153)=0,$F153*$D153*$G153,)),)</f>
        <v>0</v>
      </c>
      <c r="V153" s="277">
        <f>IFERROR(IF($B153="N/A","N/A",IF(MOD(COLUMNS($H$151:V$151)-1,$E153)=0,$F153*$D153*$G153,)),)</f>
        <v>0</v>
      </c>
      <c r="W153" s="277">
        <f>IFERROR(IF($B153="N/A","N/A",IF(MOD(COLUMNS($H$151:W$151)-1,$E153)=0,$F153*$D153*$G153,)),)</f>
        <v>42</v>
      </c>
    </row>
    <row r="154" spans="2:23">
      <c r="B154" s="76" t="str">
        <f t="array" ref="B154">IF(COUNTIFS(INDEX(Equipment_Allocation_New,0,MATCH($C$107,Unit_codes,0)),"&gt;0")&lt;ROWS('2.2-Equipment input'!$X$8:$X10),"N/A",INDEX('2.2-Equipment input'!B:B,SMALL(IF(INDEX(Equipment_Allocation_New,0,MATCH($C$107,Unit_codes,0))&gt;0,ROW(equipment_ID)),ROW('2.2-Equipment input'!B3))))</f>
        <v>eq0008</v>
      </c>
      <c r="C154" s="76" t="str">
        <f>IF($B154="N/A","N/A",INDEX(Equipment_name[],MATCH(B154,equipment_ID,0)))</f>
        <v>High pressure cleaner</v>
      </c>
      <c r="D154" s="277">
        <f t="shared" si="21"/>
        <v>630</v>
      </c>
      <c r="E154" s="94">
        <f t="shared" si="22"/>
        <v>3</v>
      </c>
      <c r="F154" s="94">
        <f t="shared" si="23"/>
        <v>2</v>
      </c>
      <c r="G154" s="92">
        <f t="shared" si="24"/>
        <v>0.12</v>
      </c>
      <c r="H154" s="277">
        <f>IFERROR(IF($B154="N/A","N/A",IF(MOD(COLUMNS(H$151:$H$151)-1,$E154)=0,$F154*$D154*$G154,)),)</f>
        <v>151.19999999999999</v>
      </c>
      <c r="I154" s="277">
        <f>IFERROR(IF($B154="N/A","N/A",IF(MOD(COLUMNS($H$151:I$151)-1,$E154)=0,$F154*$D154*$G154,)),)</f>
        <v>0</v>
      </c>
      <c r="J154" s="277">
        <f>IFERROR(IF($B154="N/A","N/A",IF(MOD(COLUMNS($H$151:J$151)-1,$E154)=0,$F154*$D154*$G154,)),)</f>
        <v>0</v>
      </c>
      <c r="K154" s="277">
        <f>IFERROR(IF($B154="N/A","N/A",IF(MOD(COLUMNS($H$151:K$151)-1,$E154)=0,$F154*$D154*$G154,)),)</f>
        <v>151.19999999999999</v>
      </c>
      <c r="L154" s="277">
        <f>IFERROR(IF($B154="N/A","N/A",IF(MOD(COLUMNS($H$151:L$151)-1,$E154)=0,$F154*$D154*$G154,)),)</f>
        <v>0</v>
      </c>
      <c r="M154" s="277">
        <f>IFERROR(IF($B154="N/A","N/A",IF(MOD(COLUMNS($H$151:M$151)-1,$E154)=0,$F154*$D154*$G154,)),)</f>
        <v>0</v>
      </c>
      <c r="N154" s="277">
        <f>IFERROR(IF($B154="N/A","N/A",IF(MOD(COLUMNS($H$151:N$151)-1,$E154)=0,$F154*$D154*$G154,)),)</f>
        <v>151.19999999999999</v>
      </c>
      <c r="O154" s="277">
        <f>IFERROR(IF($B154="N/A","N/A",IF(MOD(COLUMNS($H$151:O$151)-1,$E154)=0,$F154*$D154*$G154,)),)</f>
        <v>0</v>
      </c>
      <c r="P154" s="277">
        <f>IFERROR(IF($B154="N/A","N/A",IF(MOD(COLUMNS($H$151:P$151)-1,$E154)=0,$F154*$D154*$G154,)),)</f>
        <v>0</v>
      </c>
      <c r="Q154" s="277">
        <f>IFERROR(IF($B154="N/A","N/A",IF(MOD(COLUMNS($H$151:Q$151)-1,$E154)=0,$F154*$D154*$G154,)),)</f>
        <v>151.19999999999999</v>
      </c>
      <c r="R154" s="277">
        <f>IFERROR(IF($B154="N/A","N/A",IF(MOD(COLUMNS($H$151:R$151)-1,$E154)=0,$F154*$D154*$G154,)),)</f>
        <v>0</v>
      </c>
      <c r="S154" s="277">
        <f>IFERROR(IF($B154="N/A","N/A",IF(MOD(COLUMNS($H$151:S$151)-1,$E154)=0,$F154*$D154*$G154,)),)</f>
        <v>0</v>
      </c>
      <c r="T154" s="277">
        <f>IFERROR(IF($B154="N/A","N/A",IF(MOD(COLUMNS($H$151:T$151)-1,$E154)=0,$F154*$D154*$G154,)),)</f>
        <v>151.19999999999999</v>
      </c>
      <c r="U154" s="277">
        <f>IFERROR(IF($B154="N/A","N/A",IF(MOD(COLUMNS($H$151:U$151)-1,$E154)=0,$F154*$D154*$G154,)),)</f>
        <v>0</v>
      </c>
      <c r="V154" s="277">
        <f>IFERROR(IF($B154="N/A","N/A",IF(MOD(COLUMNS($H$151:V$151)-1,$E154)=0,$F154*$D154*$G154,)),)</f>
        <v>0</v>
      </c>
      <c r="W154" s="277">
        <f>IFERROR(IF($B154="N/A","N/A",IF(MOD(COLUMNS($H$151:W$151)-1,$E154)=0,$F154*$D154*$G154,)),)</f>
        <v>151.19999999999999</v>
      </c>
    </row>
    <row r="155" spans="2:23">
      <c r="B155" s="76" t="str">
        <f t="array" ref="B155">IF(COUNTIFS(INDEX(Equipment_Allocation_New,0,MATCH($C$107,Unit_codes,0)),"&gt;0")&lt;ROWS('2.2-Equipment input'!$X$8:$X11),"N/A",INDEX('2.2-Equipment input'!B:B,SMALL(IF(INDEX(Equipment_Allocation_New,0,MATCH($C$107,Unit_codes,0))&gt;0,ROW(equipment_ID)),ROW('2.2-Equipment input'!B4))))</f>
        <v>eq0030</v>
      </c>
      <c r="C155" s="76" t="str">
        <f>IF($B155="N/A","N/A",INDEX(Equipment_name[],MATCH(B155,equipment_ID,0)))</f>
        <v>Measuring balance ("heavy" duty)</v>
      </c>
      <c r="D155" s="277">
        <f t="shared" si="21"/>
        <v>174.99999999999997</v>
      </c>
      <c r="E155" s="94">
        <f t="shared" si="22"/>
        <v>5</v>
      </c>
      <c r="F155" s="94">
        <f t="shared" si="23"/>
        <v>3</v>
      </c>
      <c r="G155" s="92">
        <f t="shared" si="24"/>
        <v>0.2</v>
      </c>
      <c r="H155" s="277">
        <f>IFERROR(IF($B155="N/A","N/A",IF(MOD(COLUMNS(H$151:$H$151)-1,$E155)=0,$F155*$D155*$G155,)),)</f>
        <v>104.99999999999999</v>
      </c>
      <c r="I155" s="277">
        <f>IFERROR(IF($B155="N/A","N/A",IF(MOD(COLUMNS($H$151:I$151)-1,$E155)=0,$F155*$D155*$G155,)),)</f>
        <v>0</v>
      </c>
      <c r="J155" s="277">
        <f>IFERROR(IF($B155="N/A","N/A",IF(MOD(COLUMNS($H$151:J$151)-1,$E155)=0,$F155*$D155*$G155,)),)</f>
        <v>0</v>
      </c>
      <c r="K155" s="277">
        <f>IFERROR(IF($B155="N/A","N/A",IF(MOD(COLUMNS($H$151:K$151)-1,$E155)=0,$F155*$D155*$G155,)),)</f>
        <v>0</v>
      </c>
      <c r="L155" s="277">
        <f>IFERROR(IF($B155="N/A","N/A",IF(MOD(COLUMNS($H$151:L$151)-1,$E155)=0,$F155*$D155*$G155,)),)</f>
        <v>0</v>
      </c>
      <c r="M155" s="277">
        <f>IFERROR(IF($B155="N/A","N/A",IF(MOD(COLUMNS($H$151:M$151)-1,$E155)=0,$F155*$D155*$G155,)),)</f>
        <v>104.99999999999999</v>
      </c>
      <c r="N155" s="277">
        <f>IFERROR(IF($B155="N/A","N/A",IF(MOD(COLUMNS($H$151:N$151)-1,$E155)=0,$F155*$D155*$G155,)),)</f>
        <v>0</v>
      </c>
      <c r="O155" s="277">
        <f>IFERROR(IF($B155="N/A","N/A",IF(MOD(COLUMNS($H$151:O$151)-1,$E155)=0,$F155*$D155*$G155,)),)</f>
        <v>0</v>
      </c>
      <c r="P155" s="277">
        <f>IFERROR(IF($B155="N/A","N/A",IF(MOD(COLUMNS($H$151:P$151)-1,$E155)=0,$F155*$D155*$G155,)),)</f>
        <v>0</v>
      </c>
      <c r="Q155" s="277">
        <f>IFERROR(IF($B155="N/A","N/A",IF(MOD(COLUMNS($H$151:Q$151)-1,$E155)=0,$F155*$D155*$G155,)),)</f>
        <v>0</v>
      </c>
      <c r="R155" s="277">
        <f>IFERROR(IF($B155="N/A","N/A",IF(MOD(COLUMNS($H$151:R$151)-1,$E155)=0,$F155*$D155*$G155,)),)</f>
        <v>104.99999999999999</v>
      </c>
      <c r="S155" s="277">
        <f>IFERROR(IF($B155="N/A","N/A",IF(MOD(COLUMNS($H$151:S$151)-1,$E155)=0,$F155*$D155*$G155,)),)</f>
        <v>0</v>
      </c>
      <c r="T155" s="277">
        <f>IFERROR(IF($B155="N/A","N/A",IF(MOD(COLUMNS($H$151:T$151)-1,$E155)=0,$F155*$D155*$G155,)),)</f>
        <v>0</v>
      </c>
      <c r="U155" s="277">
        <f>IFERROR(IF($B155="N/A","N/A",IF(MOD(COLUMNS($H$151:U$151)-1,$E155)=0,$F155*$D155*$G155,)),)</f>
        <v>0</v>
      </c>
      <c r="V155" s="277">
        <f>IFERROR(IF($B155="N/A","N/A",IF(MOD(COLUMNS($H$151:V$151)-1,$E155)=0,$F155*$D155*$G155,)),)</f>
        <v>0</v>
      </c>
      <c r="W155" s="277">
        <f>IFERROR(IF($B155="N/A","N/A",IF(MOD(COLUMNS($H$151:W$151)-1,$E155)=0,$F155*$D155*$G155,)),)</f>
        <v>104.99999999999999</v>
      </c>
    </row>
    <row r="156" spans="2:23">
      <c r="B156" s="76" t="str">
        <f t="array" ref="B156">IF(COUNTIFS(INDEX(Equipment_Allocation_New,0,MATCH($C$107,Unit_codes,0)),"&gt;0")&lt;ROWS('2.2-Equipment input'!$X$8:$X12),"N/A",INDEX('2.2-Equipment input'!B:B,SMALL(IF(INDEX(Equipment_Allocation_New,0,MATCH($C$107,Unit_codes,0))&gt;0,ROW(equipment_ID)),ROW('2.2-Equipment input'!B5))))</f>
        <v>eq0032</v>
      </c>
      <c r="C156" s="76" t="str">
        <f>IF($B156="N/A","N/A",INDEX(Equipment_name[],MATCH(B156,equipment_ID,0)))</f>
        <v>Measuring balance (nursery)</v>
      </c>
      <c r="D156" s="277">
        <f t="shared" si="21"/>
        <v>349.99999999999994</v>
      </c>
      <c r="E156" s="94">
        <f t="shared" si="22"/>
        <v>5</v>
      </c>
      <c r="F156" s="94">
        <f t="shared" si="23"/>
        <v>3</v>
      </c>
      <c r="G156" s="92">
        <f t="shared" si="24"/>
        <v>0.2</v>
      </c>
      <c r="H156" s="277">
        <f>IFERROR(IF($B156="N/A","N/A",IF(MOD(COLUMNS(H$151:$H$151)-1,$E156)=0,$F156*$D156*$G156,)),)</f>
        <v>209.99999999999997</v>
      </c>
      <c r="I156" s="277">
        <f>IFERROR(IF($B156="N/A","N/A",IF(MOD(COLUMNS($H$151:I$151)-1,$E156)=0,$F156*$D156*$G156,)),)</f>
        <v>0</v>
      </c>
      <c r="J156" s="277">
        <f>IFERROR(IF($B156="N/A","N/A",IF(MOD(COLUMNS($H$151:J$151)-1,$E156)=0,$F156*$D156*$G156,)),)</f>
        <v>0</v>
      </c>
      <c r="K156" s="277">
        <f>IFERROR(IF($B156="N/A","N/A",IF(MOD(COLUMNS($H$151:K$151)-1,$E156)=0,$F156*$D156*$G156,)),)</f>
        <v>0</v>
      </c>
      <c r="L156" s="277">
        <f>IFERROR(IF($B156="N/A","N/A",IF(MOD(COLUMNS($H$151:L$151)-1,$E156)=0,$F156*$D156*$G156,)),)</f>
        <v>0</v>
      </c>
      <c r="M156" s="277">
        <f>IFERROR(IF($B156="N/A","N/A",IF(MOD(COLUMNS($H$151:M$151)-1,$E156)=0,$F156*$D156*$G156,)),)</f>
        <v>209.99999999999997</v>
      </c>
      <c r="N156" s="277">
        <f>IFERROR(IF($B156="N/A","N/A",IF(MOD(COLUMNS($H$151:N$151)-1,$E156)=0,$F156*$D156*$G156,)),)</f>
        <v>0</v>
      </c>
      <c r="O156" s="277">
        <f>IFERROR(IF($B156="N/A","N/A",IF(MOD(COLUMNS($H$151:O$151)-1,$E156)=0,$F156*$D156*$G156,)),)</f>
        <v>0</v>
      </c>
      <c r="P156" s="277">
        <f>IFERROR(IF($B156="N/A","N/A",IF(MOD(COLUMNS($H$151:P$151)-1,$E156)=0,$F156*$D156*$G156,)),)</f>
        <v>0</v>
      </c>
      <c r="Q156" s="277">
        <f>IFERROR(IF($B156="N/A","N/A",IF(MOD(COLUMNS($H$151:Q$151)-1,$E156)=0,$F156*$D156*$G156,)),)</f>
        <v>0</v>
      </c>
      <c r="R156" s="277">
        <f>IFERROR(IF($B156="N/A","N/A",IF(MOD(COLUMNS($H$151:R$151)-1,$E156)=0,$F156*$D156*$G156,)),)</f>
        <v>209.99999999999997</v>
      </c>
      <c r="S156" s="277">
        <f>IFERROR(IF($B156="N/A","N/A",IF(MOD(COLUMNS($H$151:S$151)-1,$E156)=0,$F156*$D156*$G156,)),)</f>
        <v>0</v>
      </c>
      <c r="T156" s="277">
        <f>IFERROR(IF($B156="N/A","N/A",IF(MOD(COLUMNS($H$151:T$151)-1,$E156)=0,$F156*$D156*$G156,)),)</f>
        <v>0</v>
      </c>
      <c r="U156" s="277">
        <f>IFERROR(IF($B156="N/A","N/A",IF(MOD(COLUMNS($H$151:U$151)-1,$E156)=0,$F156*$D156*$G156,)),)</f>
        <v>0</v>
      </c>
      <c r="V156" s="277">
        <f>IFERROR(IF($B156="N/A","N/A",IF(MOD(COLUMNS($H$151:V$151)-1,$E156)=0,$F156*$D156*$G156,)),)</f>
        <v>0</v>
      </c>
      <c r="W156" s="277">
        <f>IFERROR(IF($B156="N/A","N/A",IF(MOD(COLUMNS($H$151:W$151)-1,$E156)=0,$F156*$D156*$G156,)),)</f>
        <v>209.99999999999997</v>
      </c>
    </row>
    <row r="157" spans="2:23">
      <c r="B157" s="76" t="str">
        <f t="array" ref="B157">IF(COUNTIFS(INDEX(Equipment_Allocation_New,0,MATCH($C$107,Unit_codes,0)),"&gt;0")&lt;ROWS('2.2-Equipment input'!$X$8:$X13),"N/A",INDEX('2.2-Equipment input'!B:B,SMALL(IF(INDEX(Equipment_Allocation_New,0,MATCH($C$107,Unit_codes,0))&gt;0,ROW(equipment_ID)),ROW('2.2-Equipment input'!B6))))</f>
        <v>eq0038</v>
      </c>
      <c r="C157" s="76" t="str">
        <f>IF($B157="N/A","N/A",INDEX(Equipment_name[],MATCH(B157,equipment_ID,0)))</f>
        <v>Sanitazing set</v>
      </c>
      <c r="D157" s="277">
        <f t="shared" si="21"/>
        <v>47.879999999999995</v>
      </c>
      <c r="E157" s="94">
        <f t="shared" si="22"/>
        <v>2</v>
      </c>
      <c r="F157" s="94">
        <f t="shared" si="23"/>
        <v>0</v>
      </c>
      <c r="G157" s="92">
        <f t="shared" si="24"/>
        <v>1</v>
      </c>
      <c r="H157" s="277">
        <f>IFERROR(IF($B157="N/A","N/A",IF(MOD(COLUMNS(H$151:$H$151)-1,$E157)=0,$F157*$D157*$G157,)),)</f>
        <v>0</v>
      </c>
      <c r="I157" s="277">
        <f>IFERROR(IF($B157="N/A","N/A",IF(MOD(COLUMNS($H$151:I$151)-1,$E157)=0,$F157*$D157*$G157,)),)</f>
        <v>0</v>
      </c>
      <c r="J157" s="277">
        <f>IFERROR(IF($B157="N/A","N/A",IF(MOD(COLUMNS($H$151:J$151)-1,$E157)=0,$F157*$D157*$G157,)),)</f>
        <v>0</v>
      </c>
      <c r="K157" s="277">
        <f>IFERROR(IF($B157="N/A","N/A",IF(MOD(COLUMNS($H$151:K$151)-1,$E157)=0,$F157*$D157*$G157,)),)</f>
        <v>0</v>
      </c>
      <c r="L157" s="277">
        <f>IFERROR(IF($B157="N/A","N/A",IF(MOD(COLUMNS($H$151:L$151)-1,$E157)=0,$F157*$D157*$G157,)),)</f>
        <v>0</v>
      </c>
      <c r="M157" s="277">
        <f>IFERROR(IF($B157="N/A","N/A",IF(MOD(COLUMNS($H$151:M$151)-1,$E157)=0,$F157*$D157*$G157,)),)</f>
        <v>0</v>
      </c>
      <c r="N157" s="277">
        <f>IFERROR(IF($B157="N/A","N/A",IF(MOD(COLUMNS($H$151:N$151)-1,$E157)=0,$F157*$D157*$G157,)),)</f>
        <v>0</v>
      </c>
      <c r="O157" s="277">
        <f>IFERROR(IF($B157="N/A","N/A",IF(MOD(COLUMNS($H$151:O$151)-1,$E157)=0,$F157*$D157*$G157,)),)</f>
        <v>0</v>
      </c>
      <c r="P157" s="277">
        <f>IFERROR(IF($B157="N/A","N/A",IF(MOD(COLUMNS($H$151:P$151)-1,$E157)=0,$F157*$D157*$G157,)),)</f>
        <v>0</v>
      </c>
      <c r="Q157" s="277">
        <f>IFERROR(IF($B157="N/A","N/A",IF(MOD(COLUMNS($H$151:Q$151)-1,$E157)=0,$F157*$D157*$G157,)),)</f>
        <v>0</v>
      </c>
      <c r="R157" s="277">
        <f>IFERROR(IF($B157="N/A","N/A",IF(MOD(COLUMNS($H$151:R$151)-1,$E157)=0,$F157*$D157*$G157,)),)</f>
        <v>0</v>
      </c>
      <c r="S157" s="277">
        <f>IFERROR(IF($B157="N/A","N/A",IF(MOD(COLUMNS($H$151:S$151)-1,$E157)=0,$F157*$D157*$G157,)),)</f>
        <v>0</v>
      </c>
      <c r="T157" s="277">
        <f>IFERROR(IF($B157="N/A","N/A",IF(MOD(COLUMNS($H$151:T$151)-1,$E157)=0,$F157*$D157*$G157,)),)</f>
        <v>0</v>
      </c>
      <c r="U157" s="277">
        <f>IFERROR(IF($B157="N/A","N/A",IF(MOD(COLUMNS($H$151:U$151)-1,$E157)=0,$F157*$D157*$G157,)),)</f>
        <v>0</v>
      </c>
      <c r="V157" s="277">
        <f>IFERROR(IF($B157="N/A","N/A",IF(MOD(COLUMNS($H$151:V$151)-1,$E157)=0,$F157*$D157*$G157,)),)</f>
        <v>0</v>
      </c>
      <c r="W157" s="277">
        <f>IFERROR(IF($B157="N/A","N/A",IF(MOD(COLUMNS($H$151:W$151)-1,$E157)=0,$F157*$D157*$G157,)),)</f>
        <v>0</v>
      </c>
    </row>
    <row r="158" spans="2:23">
      <c r="B158" s="76" t="str">
        <f t="array" ref="B158">IF(COUNTIFS(INDEX(Equipment_Allocation_New,0,MATCH($C$107,Unit_codes,0)),"&gt;0")&lt;ROWS('2.2-Equipment input'!$X$8:$X14),"N/A",INDEX('2.2-Equipment input'!B:B,SMALL(IF(INDEX(Equipment_Allocation_New,0,MATCH($C$107,Unit_codes,0))&gt;0,ROW(equipment_ID)),ROW('2.2-Equipment input'!B7))))</f>
        <v>eq0039</v>
      </c>
      <c r="C158" s="76" t="str">
        <f>IF($B158="N/A","N/A",INDEX(Equipment_name[],MATCH(B158,equipment_ID,0)))</f>
        <v>Microwave (MAX-30B)</v>
      </c>
      <c r="D158" s="277">
        <f t="shared" si="21"/>
        <v>12949.999999999998</v>
      </c>
      <c r="E158" s="94">
        <f t="shared" si="22"/>
        <v>5</v>
      </c>
      <c r="F158" s="94">
        <f t="shared" si="23"/>
        <v>0</v>
      </c>
      <c r="G158" s="92">
        <f t="shared" si="24"/>
        <v>1</v>
      </c>
      <c r="H158" s="277">
        <f>IFERROR(IF($B158="N/A","N/A",IF(MOD(COLUMNS(H$151:$H$151)-1,$E158)=0,$F158*$D158*$G158,)),)</f>
        <v>0</v>
      </c>
      <c r="I158" s="277">
        <f>IFERROR(IF($B158="N/A","N/A",IF(MOD(COLUMNS($H$151:I$151)-1,$E158)=0,$F158*$D158*$G158,)),)</f>
        <v>0</v>
      </c>
      <c r="J158" s="277">
        <f>IFERROR(IF($B158="N/A","N/A",IF(MOD(COLUMNS($H$151:J$151)-1,$E158)=0,$F158*$D158*$G158,)),)</f>
        <v>0</v>
      </c>
      <c r="K158" s="277">
        <f>IFERROR(IF($B158="N/A","N/A",IF(MOD(COLUMNS($H$151:K$151)-1,$E158)=0,$F158*$D158*$G158,)),)</f>
        <v>0</v>
      </c>
      <c r="L158" s="277">
        <f>IFERROR(IF($B158="N/A","N/A",IF(MOD(COLUMNS($H$151:L$151)-1,$E158)=0,$F158*$D158*$G158,)),)</f>
        <v>0</v>
      </c>
      <c r="M158" s="277">
        <f>IFERROR(IF($B158="N/A","N/A",IF(MOD(COLUMNS($H$151:M$151)-1,$E158)=0,$F158*$D158*$G158,)),)</f>
        <v>0</v>
      </c>
      <c r="N158" s="277">
        <f>IFERROR(IF($B158="N/A","N/A",IF(MOD(COLUMNS($H$151:N$151)-1,$E158)=0,$F158*$D158*$G158,)),)</f>
        <v>0</v>
      </c>
      <c r="O158" s="277">
        <f>IFERROR(IF($B158="N/A","N/A",IF(MOD(COLUMNS($H$151:O$151)-1,$E158)=0,$F158*$D158*$G158,)),)</f>
        <v>0</v>
      </c>
      <c r="P158" s="277">
        <f>IFERROR(IF($B158="N/A","N/A",IF(MOD(COLUMNS($H$151:P$151)-1,$E158)=0,$F158*$D158*$G158,)),)</f>
        <v>0</v>
      </c>
      <c r="Q158" s="277">
        <f>IFERROR(IF($B158="N/A","N/A",IF(MOD(COLUMNS($H$151:Q$151)-1,$E158)=0,$F158*$D158*$G158,)),)</f>
        <v>0</v>
      </c>
      <c r="R158" s="277">
        <f>IFERROR(IF($B158="N/A","N/A",IF(MOD(COLUMNS($H$151:R$151)-1,$E158)=0,$F158*$D158*$G158,)),)</f>
        <v>0</v>
      </c>
      <c r="S158" s="277">
        <f>IFERROR(IF($B158="N/A","N/A",IF(MOD(COLUMNS($H$151:S$151)-1,$E158)=0,$F158*$D158*$G158,)),)</f>
        <v>0</v>
      </c>
      <c r="T158" s="277">
        <f>IFERROR(IF($B158="N/A","N/A",IF(MOD(COLUMNS($H$151:T$151)-1,$E158)=0,$F158*$D158*$G158,)),)</f>
        <v>0</v>
      </c>
      <c r="U158" s="277">
        <f>IFERROR(IF($B158="N/A","N/A",IF(MOD(COLUMNS($H$151:U$151)-1,$E158)=0,$F158*$D158*$G158,)),)</f>
        <v>0</v>
      </c>
      <c r="V158" s="277">
        <f>IFERROR(IF($B158="N/A","N/A",IF(MOD(COLUMNS($H$151:V$151)-1,$E158)=0,$F158*$D158*$G158,)),)</f>
        <v>0</v>
      </c>
      <c r="W158" s="277">
        <f>IFERROR(IF($B158="N/A","N/A",IF(MOD(COLUMNS($H$151:W$151)-1,$E158)=0,$F158*$D158*$G158,)),)</f>
        <v>0</v>
      </c>
    </row>
    <row r="159" spans="2:23">
      <c r="B159" s="76" t="str">
        <f t="array" ref="B159">IF(COUNTIFS(INDEX(Equipment_Allocation_New,0,MATCH($C$107,Unit_codes,0)),"&gt;0")&lt;ROWS('2.2-Equipment input'!$X$8:$X15),"N/A",INDEX('2.2-Equipment input'!B:B,SMALL(IF(INDEX(Equipment_Allocation_New,0,MATCH($C$107,Unit_codes,0))&gt;0,ROW(equipment_ID)),ROW('2.2-Equipment input'!B8))))</f>
        <v>eq0040</v>
      </c>
      <c r="C159" s="76" t="str">
        <f>IF($B159="N/A","N/A",INDEX(Equipment_name[],MATCH(B159,equipment_ID,0)))</f>
        <v>Oil Press (for dried larvae)</v>
      </c>
      <c r="D159" s="277">
        <f t="shared" si="21"/>
        <v>2939.9999999999995</v>
      </c>
      <c r="E159" s="94">
        <f t="shared" si="22"/>
        <v>5</v>
      </c>
      <c r="F159" s="94">
        <f t="shared" si="23"/>
        <v>0</v>
      </c>
      <c r="G159" s="92">
        <f t="shared" si="24"/>
        <v>1</v>
      </c>
      <c r="H159" s="277">
        <f>IFERROR(IF($B159="N/A","N/A",IF(MOD(COLUMNS(H$151:$H$151)-1,$E159)=0,$F159*$D159*$G159,)),)</f>
        <v>0</v>
      </c>
      <c r="I159" s="277">
        <f>IFERROR(IF($B159="N/A","N/A",IF(MOD(COLUMNS($H$151:I$151)-1,$E159)=0,$F159*$D159*$G159,)),)</f>
        <v>0</v>
      </c>
      <c r="J159" s="277">
        <f>IFERROR(IF($B159="N/A","N/A",IF(MOD(COLUMNS($H$151:J$151)-1,$E159)=0,$F159*$D159*$G159,)),)</f>
        <v>0</v>
      </c>
      <c r="K159" s="277">
        <f>IFERROR(IF($B159="N/A","N/A",IF(MOD(COLUMNS($H$151:K$151)-1,$E159)=0,$F159*$D159*$G159,)),)</f>
        <v>0</v>
      </c>
      <c r="L159" s="277">
        <f>IFERROR(IF($B159="N/A","N/A",IF(MOD(COLUMNS($H$151:L$151)-1,$E159)=0,$F159*$D159*$G159,)),)</f>
        <v>0</v>
      </c>
      <c r="M159" s="277">
        <f>IFERROR(IF($B159="N/A","N/A",IF(MOD(COLUMNS($H$151:M$151)-1,$E159)=0,$F159*$D159*$G159,)),)</f>
        <v>0</v>
      </c>
      <c r="N159" s="277">
        <f>IFERROR(IF($B159="N/A","N/A",IF(MOD(COLUMNS($H$151:N$151)-1,$E159)=0,$F159*$D159*$G159,)),)</f>
        <v>0</v>
      </c>
      <c r="O159" s="277">
        <f>IFERROR(IF($B159="N/A","N/A",IF(MOD(COLUMNS($H$151:O$151)-1,$E159)=0,$F159*$D159*$G159,)),)</f>
        <v>0</v>
      </c>
      <c r="P159" s="277">
        <f>IFERROR(IF($B159="N/A","N/A",IF(MOD(COLUMNS($H$151:P$151)-1,$E159)=0,$F159*$D159*$G159,)),)</f>
        <v>0</v>
      </c>
      <c r="Q159" s="277">
        <f>IFERROR(IF($B159="N/A","N/A",IF(MOD(COLUMNS($H$151:Q$151)-1,$E159)=0,$F159*$D159*$G159,)),)</f>
        <v>0</v>
      </c>
      <c r="R159" s="277">
        <f>IFERROR(IF($B159="N/A","N/A",IF(MOD(COLUMNS($H$151:R$151)-1,$E159)=0,$F159*$D159*$G159,)),)</f>
        <v>0</v>
      </c>
      <c r="S159" s="277">
        <f>IFERROR(IF($B159="N/A","N/A",IF(MOD(COLUMNS($H$151:S$151)-1,$E159)=0,$F159*$D159*$G159,)),)</f>
        <v>0</v>
      </c>
      <c r="T159" s="277">
        <f>IFERROR(IF($B159="N/A","N/A",IF(MOD(COLUMNS($H$151:T$151)-1,$E159)=0,$F159*$D159*$G159,)),)</f>
        <v>0</v>
      </c>
      <c r="U159" s="277">
        <f>IFERROR(IF($B159="N/A","N/A",IF(MOD(COLUMNS($H$151:U$151)-1,$E159)=0,$F159*$D159*$G159,)),)</f>
        <v>0</v>
      </c>
      <c r="V159" s="277">
        <f>IFERROR(IF($B159="N/A","N/A",IF(MOD(COLUMNS($H$151:V$151)-1,$E159)=0,$F159*$D159*$G159,)),)</f>
        <v>0</v>
      </c>
      <c r="W159" s="277">
        <f>IFERROR(IF($B159="N/A","N/A",IF(MOD(COLUMNS($H$151:W$151)-1,$E159)=0,$F159*$D159*$G159,)),)</f>
        <v>0</v>
      </c>
    </row>
    <row r="160" spans="2:23">
      <c r="B160" s="76" t="str">
        <f t="array" ref="B160">IF(COUNTIFS(INDEX(Equipment_Allocation_New,0,MATCH($C$107,Unit_codes,0)),"&gt;0")&lt;ROWS('2.2-Equipment input'!$X$8:$X16),"N/A",INDEX('2.2-Equipment input'!B:B,SMALL(IF(INDEX(Equipment_Allocation_New,0,MATCH($C$107,Unit_codes,0))&gt;0,ROW(equipment_ID)),ROW('2.2-Equipment input'!B9))))</f>
        <v>eq0041</v>
      </c>
      <c r="C160" s="76" t="str">
        <f>IF($B160="N/A","N/A",INDEX(Equipment_name[],MATCH(B160,equipment_ID,0)))</f>
        <v>Grinder</v>
      </c>
      <c r="D160" s="277">
        <f t="shared" si="21"/>
        <v>328.99999999999994</v>
      </c>
      <c r="E160" s="94">
        <f t="shared" si="22"/>
        <v>5</v>
      </c>
      <c r="F160" s="94">
        <f t="shared" si="23"/>
        <v>0</v>
      </c>
      <c r="G160" s="92">
        <f t="shared" si="24"/>
        <v>1</v>
      </c>
      <c r="H160" s="277">
        <f>IFERROR(IF($B160="N/A","N/A",IF(MOD(COLUMNS(H$151:$H$151)-1,$E160)=0,$F160*$D160*$G160,)),)</f>
        <v>0</v>
      </c>
      <c r="I160" s="277">
        <f>IFERROR(IF($B160="N/A","N/A",IF(MOD(COLUMNS($H$151:I$151)-1,$E160)=0,$F160*$D160*$G160,)),)</f>
        <v>0</v>
      </c>
      <c r="J160" s="277">
        <f>IFERROR(IF($B160="N/A","N/A",IF(MOD(COLUMNS($H$151:J$151)-1,$E160)=0,$F160*$D160*$G160,)),)</f>
        <v>0</v>
      </c>
      <c r="K160" s="277">
        <f>IFERROR(IF($B160="N/A","N/A",IF(MOD(COLUMNS($H$151:K$151)-1,$E160)=0,$F160*$D160*$G160,)),)</f>
        <v>0</v>
      </c>
      <c r="L160" s="277">
        <f>IFERROR(IF($B160="N/A","N/A",IF(MOD(COLUMNS($H$151:L$151)-1,$E160)=0,$F160*$D160*$G160,)),)</f>
        <v>0</v>
      </c>
      <c r="M160" s="277">
        <f>IFERROR(IF($B160="N/A","N/A",IF(MOD(COLUMNS($H$151:M$151)-1,$E160)=0,$F160*$D160*$G160,)),)</f>
        <v>0</v>
      </c>
      <c r="N160" s="277">
        <f>IFERROR(IF($B160="N/A","N/A",IF(MOD(COLUMNS($H$151:N$151)-1,$E160)=0,$F160*$D160*$G160,)),)</f>
        <v>0</v>
      </c>
      <c r="O160" s="277">
        <f>IFERROR(IF($B160="N/A","N/A",IF(MOD(COLUMNS($H$151:O$151)-1,$E160)=0,$F160*$D160*$G160,)),)</f>
        <v>0</v>
      </c>
      <c r="P160" s="277">
        <f>IFERROR(IF($B160="N/A","N/A",IF(MOD(COLUMNS($H$151:P$151)-1,$E160)=0,$F160*$D160*$G160,)),)</f>
        <v>0</v>
      </c>
      <c r="Q160" s="277">
        <f>IFERROR(IF($B160="N/A","N/A",IF(MOD(COLUMNS($H$151:Q$151)-1,$E160)=0,$F160*$D160*$G160,)),)</f>
        <v>0</v>
      </c>
      <c r="R160" s="277">
        <f>IFERROR(IF($B160="N/A","N/A",IF(MOD(COLUMNS($H$151:R$151)-1,$E160)=0,$F160*$D160*$G160,)),)</f>
        <v>0</v>
      </c>
      <c r="S160" s="277">
        <f>IFERROR(IF($B160="N/A","N/A",IF(MOD(COLUMNS($H$151:S$151)-1,$E160)=0,$F160*$D160*$G160,)),)</f>
        <v>0</v>
      </c>
      <c r="T160" s="277">
        <f>IFERROR(IF($B160="N/A","N/A",IF(MOD(COLUMNS($H$151:T$151)-1,$E160)=0,$F160*$D160*$G160,)),)</f>
        <v>0</v>
      </c>
      <c r="U160" s="277">
        <f>IFERROR(IF($B160="N/A","N/A",IF(MOD(COLUMNS($H$151:U$151)-1,$E160)=0,$F160*$D160*$G160,)),)</f>
        <v>0</v>
      </c>
      <c r="V160" s="277">
        <f>IFERROR(IF($B160="N/A","N/A",IF(MOD(COLUMNS($H$151:V$151)-1,$E160)=0,$F160*$D160*$G160,)),)</f>
        <v>0</v>
      </c>
      <c r="W160" s="277">
        <f>IFERROR(IF($B160="N/A","N/A",IF(MOD(COLUMNS($H$151:W$151)-1,$E160)=0,$F160*$D160*$G160,)),)</f>
        <v>0</v>
      </c>
    </row>
    <row r="161" spans="2:23">
      <c r="B161" s="76" t="str">
        <f t="array" ref="B161">IF(COUNTIFS(INDEX(Equipment_Allocation_New,0,MATCH($C$107,Unit_codes,0)),"&gt;0")&lt;ROWS('2.2-Equipment input'!$X$8:$X17),"N/A",INDEX('2.2-Equipment input'!B:B,SMALL(IF(INDEX(Equipment_Allocation_New,0,MATCH($C$107,Unit_codes,0))&gt;0,ROW(equipment_ID)),ROW('2.2-Equipment input'!B10))))</f>
        <v>eq0042</v>
      </c>
      <c r="C161" s="76" t="str">
        <f>IF($B161="N/A","N/A",INDEX(Equipment_name[],MATCH(B161,equipment_ID,0)))</f>
        <v>Rotary dryer</v>
      </c>
      <c r="D161" s="277">
        <f t="shared" si="21"/>
        <v>1399.9999999999998</v>
      </c>
      <c r="E161" s="94">
        <f t="shared" si="22"/>
        <v>5</v>
      </c>
      <c r="F161" s="94">
        <f t="shared" si="23"/>
        <v>0</v>
      </c>
      <c r="G161" s="94">
        <f t="shared" si="24"/>
        <v>1</v>
      </c>
      <c r="H161" s="277">
        <f>IFERROR(IF($B161="N/A","N/A",IF(MOD(COLUMNS(H$151:$H$151)-1,$E161)=0,$F161*$D161*$G161,)),)</f>
        <v>0</v>
      </c>
      <c r="I161" s="277">
        <f>IFERROR(IF($B161="N/A","N/A",IF(MOD(COLUMNS($H$151:I$151)-1,$E161)=0,$F161*$D161*$G161,)),)</f>
        <v>0</v>
      </c>
      <c r="J161" s="277">
        <f>IFERROR(IF($B161="N/A","N/A",IF(MOD(COLUMNS($H$151:J$151)-1,$E161)=0,$F161*$D161*$G161,)),)</f>
        <v>0</v>
      </c>
      <c r="K161" s="277">
        <f>IFERROR(IF($B161="N/A","N/A",IF(MOD(COLUMNS($H$151:K$151)-1,$E161)=0,$F161*$D161*$G161,)),)</f>
        <v>0</v>
      </c>
      <c r="L161" s="277">
        <f>IFERROR(IF($B161="N/A","N/A",IF(MOD(COLUMNS($H$151:L$151)-1,$E161)=0,$F161*$D161*$G161,)),)</f>
        <v>0</v>
      </c>
      <c r="M161" s="277">
        <f>IFERROR(IF($B161="N/A","N/A",IF(MOD(COLUMNS($H$151:M$151)-1,$E161)=0,$F161*$D161*$G161,)),)</f>
        <v>0</v>
      </c>
      <c r="N161" s="277">
        <f>IFERROR(IF($B161="N/A","N/A",IF(MOD(COLUMNS($H$151:N$151)-1,$E161)=0,$F161*$D161*$G161,)),)</f>
        <v>0</v>
      </c>
      <c r="O161" s="277">
        <f>IFERROR(IF($B161="N/A","N/A",IF(MOD(COLUMNS($H$151:O$151)-1,$E161)=0,$F161*$D161*$G161,)),)</f>
        <v>0</v>
      </c>
      <c r="P161" s="277">
        <f>IFERROR(IF($B161="N/A","N/A",IF(MOD(COLUMNS($H$151:P$151)-1,$E161)=0,$F161*$D161*$G161,)),)</f>
        <v>0</v>
      </c>
      <c r="Q161" s="277">
        <f>IFERROR(IF($B161="N/A","N/A",IF(MOD(COLUMNS($H$151:Q$151)-1,$E161)=0,$F161*$D161*$G161,)),)</f>
        <v>0</v>
      </c>
      <c r="R161" s="277">
        <f>IFERROR(IF($B161="N/A","N/A",IF(MOD(COLUMNS($H$151:R$151)-1,$E161)=0,$F161*$D161*$G161,)),)</f>
        <v>0</v>
      </c>
      <c r="S161" s="277">
        <f>IFERROR(IF($B161="N/A","N/A",IF(MOD(COLUMNS($H$151:S$151)-1,$E161)=0,$F161*$D161*$G161,)),)</f>
        <v>0</v>
      </c>
      <c r="T161" s="277">
        <f>IFERROR(IF($B161="N/A","N/A",IF(MOD(COLUMNS($H$151:T$151)-1,$E161)=0,$F161*$D161*$G161,)),)</f>
        <v>0</v>
      </c>
      <c r="U161" s="277">
        <f>IFERROR(IF($B161="N/A","N/A",IF(MOD(COLUMNS($H$151:U$151)-1,$E161)=0,$F161*$D161*$G161,)),)</f>
        <v>0</v>
      </c>
      <c r="V161" s="277">
        <f>IFERROR(IF($B161="N/A","N/A",IF(MOD(COLUMNS($H$151:V$151)-1,$E161)=0,$F161*$D161*$G161,)),)</f>
        <v>0</v>
      </c>
      <c r="W161" s="277">
        <f>IFERROR(IF($B161="N/A","N/A",IF(MOD(COLUMNS($H$151:W$151)-1,$E161)=0,$F161*$D161*$G161,)),)</f>
        <v>0</v>
      </c>
    </row>
    <row r="162" spans="2:23">
      <c r="B162" s="76" t="str">
        <f t="array" ref="B162">IF(COUNTIFS(INDEX(Equipment_Allocation_New,0,MATCH($C$107,Unit_codes,0)),"&gt;0")&lt;ROWS('2.2-Equipment input'!$X$8:$X18),"N/A",INDEX('2.2-Equipment input'!B:B,SMALL(IF(INDEX(Equipment_Allocation_New,0,MATCH($C$107,Unit_codes,0))&gt;0,ROW(equipment_ID)),ROW('2.2-Equipment input'!B11))))</f>
        <v>eq0043</v>
      </c>
      <c r="C162" s="76" t="str">
        <f>IF($B162="N/A","N/A",INDEX(Equipment_name[],MATCH(B162,equipment_ID,0)))</f>
        <v>Sealer</v>
      </c>
      <c r="D162" s="277">
        <f t="shared" si="21"/>
        <v>595</v>
      </c>
      <c r="E162" s="94">
        <f t="shared" si="22"/>
        <v>10</v>
      </c>
      <c r="F162" s="94">
        <f t="shared" si="23"/>
        <v>0</v>
      </c>
      <c r="G162" s="94">
        <f t="shared" si="24"/>
        <v>1</v>
      </c>
      <c r="H162" s="277">
        <f>IFERROR(IF($B162="N/A","N/A",IF(MOD(COLUMNS(H$151:$H$151)-1,$E162)=0,$F162*$D162*$G162,)),)</f>
        <v>0</v>
      </c>
      <c r="I162" s="277">
        <f>IFERROR(IF($B162="N/A","N/A",IF(MOD(COLUMNS($H$151:I$151)-1,$E162)=0,$F162*$D162*$G162,)),)</f>
        <v>0</v>
      </c>
      <c r="J162" s="277">
        <f>IFERROR(IF($B162="N/A","N/A",IF(MOD(COLUMNS($H$151:J$151)-1,$E162)=0,$F162*$D162*$G162,)),)</f>
        <v>0</v>
      </c>
      <c r="K162" s="277">
        <f>IFERROR(IF($B162="N/A","N/A",IF(MOD(COLUMNS($H$151:K$151)-1,$E162)=0,$F162*$D162*$G162,)),)</f>
        <v>0</v>
      </c>
      <c r="L162" s="277">
        <f>IFERROR(IF($B162="N/A","N/A",IF(MOD(COLUMNS($H$151:L$151)-1,$E162)=0,$F162*$D162*$G162,)),)</f>
        <v>0</v>
      </c>
      <c r="M162" s="277">
        <f>IFERROR(IF($B162="N/A","N/A",IF(MOD(COLUMNS($H$151:M$151)-1,$E162)=0,$F162*$D162*$G162,)),)</f>
        <v>0</v>
      </c>
      <c r="N162" s="277">
        <f>IFERROR(IF($B162="N/A","N/A",IF(MOD(COLUMNS($H$151:N$151)-1,$E162)=0,$F162*$D162*$G162,)),)</f>
        <v>0</v>
      </c>
      <c r="O162" s="277">
        <f>IFERROR(IF($B162="N/A","N/A",IF(MOD(COLUMNS($H$151:O$151)-1,$E162)=0,$F162*$D162*$G162,)),)</f>
        <v>0</v>
      </c>
      <c r="P162" s="277">
        <f>IFERROR(IF($B162="N/A","N/A",IF(MOD(COLUMNS($H$151:P$151)-1,$E162)=0,$F162*$D162*$G162,)),)</f>
        <v>0</v>
      </c>
      <c r="Q162" s="277">
        <f>IFERROR(IF($B162="N/A","N/A",IF(MOD(COLUMNS($H$151:Q$151)-1,$E162)=0,$F162*$D162*$G162,)),)</f>
        <v>0</v>
      </c>
      <c r="R162" s="277">
        <f>IFERROR(IF($B162="N/A","N/A",IF(MOD(COLUMNS($H$151:R$151)-1,$E162)=0,$F162*$D162*$G162,)),)</f>
        <v>0</v>
      </c>
      <c r="S162" s="277">
        <f>IFERROR(IF($B162="N/A","N/A",IF(MOD(COLUMNS($H$151:S$151)-1,$E162)=0,$F162*$D162*$G162,)),)</f>
        <v>0</v>
      </c>
      <c r="T162" s="277">
        <f>IFERROR(IF($B162="N/A","N/A",IF(MOD(COLUMNS($H$151:T$151)-1,$E162)=0,$F162*$D162*$G162,)),)</f>
        <v>0</v>
      </c>
      <c r="U162" s="277">
        <f>IFERROR(IF($B162="N/A","N/A",IF(MOD(COLUMNS($H$151:U$151)-1,$E162)=0,$F162*$D162*$G162,)),)</f>
        <v>0</v>
      </c>
      <c r="V162" s="277">
        <f>IFERROR(IF($B162="N/A","N/A",IF(MOD(COLUMNS($H$151:V$151)-1,$E162)=0,$F162*$D162*$G162,)),)</f>
        <v>0</v>
      </c>
      <c r="W162" s="277">
        <f>IFERROR(IF($B162="N/A","N/A",IF(MOD(COLUMNS($H$151:W$151)-1,$E162)=0,$F162*$D162*$G162,)),)</f>
        <v>0</v>
      </c>
    </row>
    <row r="163" spans="2:23">
      <c r="B163" s="76" t="str">
        <f t="array" ref="B163">IF(COUNTIFS(INDEX(Equipment_Allocation_New,0,MATCH($C$107,Unit_codes,0)),"&gt;0")&lt;ROWS('2.2-Equipment input'!$X$8:$X19),"N/A",INDEX('2.2-Equipment input'!B:B,SMALL(IF(INDEX(Equipment_Allocation_New,0,MATCH($C$107,Unit_codes,0))&gt;0,ROW(equipment_ID)),ROW('2.2-Equipment input'!B12))))</f>
        <v>eq0044</v>
      </c>
      <c r="C163" s="76" t="str">
        <f>IF($B163="N/A","N/A",INDEX(Equipment_name[],MATCH(B163,equipment_ID,0)))</f>
        <v xml:space="preserve">Scale </v>
      </c>
      <c r="D163" s="277">
        <f t="shared" si="21"/>
        <v>437.49999999999994</v>
      </c>
      <c r="E163" s="94">
        <f t="shared" si="22"/>
        <v>5</v>
      </c>
      <c r="F163" s="94">
        <f t="shared" si="23"/>
        <v>4</v>
      </c>
      <c r="G163" s="94">
        <f t="shared" si="24"/>
        <v>1</v>
      </c>
      <c r="H163" s="277">
        <f>IFERROR(IF($B163="N/A","N/A",IF(MOD(COLUMNS(H$151:$H$151)-1,$E163)=0,$F163*$D163*$G163,)),)</f>
        <v>1749.9999999999998</v>
      </c>
      <c r="I163" s="277">
        <f>IFERROR(IF($B163="N/A","N/A",IF(MOD(COLUMNS($H$151:I$151)-1,$E163)=0,$F163*$D163*$G163,)),)</f>
        <v>0</v>
      </c>
      <c r="J163" s="277">
        <f>IFERROR(IF($B163="N/A","N/A",IF(MOD(COLUMNS($H$151:J$151)-1,$E163)=0,$F163*$D163*$G163,)),)</f>
        <v>0</v>
      </c>
      <c r="K163" s="277">
        <f>IFERROR(IF($B163="N/A","N/A",IF(MOD(COLUMNS($H$151:K$151)-1,$E163)=0,$F163*$D163*$G163,)),)</f>
        <v>0</v>
      </c>
      <c r="L163" s="277">
        <f>IFERROR(IF($B163="N/A","N/A",IF(MOD(COLUMNS($H$151:L$151)-1,$E163)=0,$F163*$D163*$G163,)),)</f>
        <v>0</v>
      </c>
      <c r="M163" s="277">
        <f>IFERROR(IF($B163="N/A","N/A",IF(MOD(COLUMNS($H$151:M$151)-1,$E163)=0,$F163*$D163*$G163,)),)</f>
        <v>1749.9999999999998</v>
      </c>
      <c r="N163" s="277">
        <f>IFERROR(IF($B163="N/A","N/A",IF(MOD(COLUMNS($H$151:N$151)-1,$E163)=0,$F163*$D163*$G163,)),)</f>
        <v>0</v>
      </c>
      <c r="O163" s="277">
        <f>IFERROR(IF($B163="N/A","N/A",IF(MOD(COLUMNS($H$151:O$151)-1,$E163)=0,$F163*$D163*$G163,)),)</f>
        <v>0</v>
      </c>
      <c r="P163" s="277">
        <f>IFERROR(IF($B163="N/A","N/A",IF(MOD(COLUMNS($H$151:P$151)-1,$E163)=0,$F163*$D163*$G163,)),)</f>
        <v>0</v>
      </c>
      <c r="Q163" s="277">
        <f>IFERROR(IF($B163="N/A","N/A",IF(MOD(COLUMNS($H$151:Q$151)-1,$E163)=0,$F163*$D163*$G163,)),)</f>
        <v>0</v>
      </c>
      <c r="R163" s="277">
        <f>IFERROR(IF($B163="N/A","N/A",IF(MOD(COLUMNS($H$151:R$151)-1,$E163)=0,$F163*$D163*$G163,)),)</f>
        <v>1749.9999999999998</v>
      </c>
      <c r="S163" s="277">
        <f>IFERROR(IF($B163="N/A","N/A",IF(MOD(COLUMNS($H$151:S$151)-1,$E163)=0,$F163*$D163*$G163,)),)</f>
        <v>0</v>
      </c>
      <c r="T163" s="277">
        <f>IFERROR(IF($B163="N/A","N/A",IF(MOD(COLUMNS($H$151:T$151)-1,$E163)=0,$F163*$D163*$G163,)),)</f>
        <v>0</v>
      </c>
      <c r="U163" s="277">
        <f>IFERROR(IF($B163="N/A","N/A",IF(MOD(COLUMNS($H$151:U$151)-1,$E163)=0,$F163*$D163*$G163,)),)</f>
        <v>0</v>
      </c>
      <c r="V163" s="277">
        <f>IFERROR(IF($B163="N/A","N/A",IF(MOD(COLUMNS($H$151:V$151)-1,$E163)=0,$F163*$D163*$G163,)),)</f>
        <v>0</v>
      </c>
      <c r="W163" s="277">
        <f>IFERROR(IF($B163="N/A","N/A",IF(MOD(COLUMNS($H$151:W$151)-1,$E163)=0,$F163*$D163*$G163,)),)</f>
        <v>1749.9999999999998</v>
      </c>
    </row>
    <row r="164" spans="2:23">
      <c r="B164" s="76" t="str">
        <f t="array" ref="B164">IF(COUNTIFS(INDEX(Equipment_Allocation_New,0,MATCH($C$107,Unit_codes,0)),"&gt;0")&lt;ROWS('2.2-Equipment input'!$X$8:$X20),"N/A",INDEX('2.2-Equipment input'!B:B,SMALL(IF(INDEX(Equipment_Allocation_New,0,MATCH($C$107,Unit_codes,0))&gt;0,ROW(equipment_ID)),ROW('2.2-Equipment input'!B13))))</f>
        <v>eq0045</v>
      </c>
      <c r="C164" s="76" t="str">
        <f>IF($B164="N/A","N/A",INDEX(Equipment_name[],MATCH(B164,equipment_ID,0)))</f>
        <v xml:space="preserve">Refrigerator </v>
      </c>
      <c r="D164" s="277">
        <f t="shared" si="21"/>
        <v>195.92999999999998</v>
      </c>
      <c r="E164" s="94">
        <f t="shared" si="22"/>
        <v>5</v>
      </c>
      <c r="F164" s="94">
        <f t="shared" si="23"/>
        <v>0</v>
      </c>
      <c r="G164" s="94">
        <f t="shared" si="24"/>
        <v>1</v>
      </c>
      <c r="H164" s="277">
        <f>IFERROR(IF($B164="N/A","N/A",IF(MOD(COLUMNS(H$151:$H$151)-1,$E164)=0,$F164*$D164*$G164,)),)</f>
        <v>0</v>
      </c>
      <c r="I164" s="277">
        <f>IFERROR(IF($B164="N/A","N/A",IF(MOD(COLUMNS($H$151:I$151)-1,$E164)=0,$F164*$D164*$G164,)),)</f>
        <v>0</v>
      </c>
      <c r="J164" s="277">
        <f>IFERROR(IF($B164="N/A","N/A",IF(MOD(COLUMNS($H$151:J$151)-1,$E164)=0,$F164*$D164*$G164,)),)</f>
        <v>0</v>
      </c>
      <c r="K164" s="277">
        <f>IFERROR(IF($B164="N/A","N/A",IF(MOD(COLUMNS($H$151:K$151)-1,$E164)=0,$F164*$D164*$G164,)),)</f>
        <v>0</v>
      </c>
      <c r="L164" s="277">
        <f>IFERROR(IF($B164="N/A","N/A",IF(MOD(COLUMNS($H$151:L$151)-1,$E164)=0,$F164*$D164*$G164,)),)</f>
        <v>0</v>
      </c>
      <c r="M164" s="277">
        <f>IFERROR(IF($B164="N/A","N/A",IF(MOD(COLUMNS($H$151:M$151)-1,$E164)=0,$F164*$D164*$G164,)),)</f>
        <v>0</v>
      </c>
      <c r="N164" s="277">
        <f>IFERROR(IF($B164="N/A","N/A",IF(MOD(COLUMNS($H$151:N$151)-1,$E164)=0,$F164*$D164*$G164,)),)</f>
        <v>0</v>
      </c>
      <c r="O164" s="277">
        <f>IFERROR(IF($B164="N/A","N/A",IF(MOD(COLUMNS($H$151:O$151)-1,$E164)=0,$F164*$D164*$G164,)),)</f>
        <v>0</v>
      </c>
      <c r="P164" s="277">
        <f>IFERROR(IF($B164="N/A","N/A",IF(MOD(COLUMNS($H$151:P$151)-1,$E164)=0,$F164*$D164*$G164,)),)</f>
        <v>0</v>
      </c>
      <c r="Q164" s="277">
        <f>IFERROR(IF($B164="N/A","N/A",IF(MOD(COLUMNS($H$151:Q$151)-1,$E164)=0,$F164*$D164*$G164,)),)</f>
        <v>0</v>
      </c>
      <c r="R164" s="277">
        <f>IFERROR(IF($B164="N/A","N/A",IF(MOD(COLUMNS($H$151:R$151)-1,$E164)=0,$F164*$D164*$G164,)),)</f>
        <v>0</v>
      </c>
      <c r="S164" s="277">
        <f>IFERROR(IF($B164="N/A","N/A",IF(MOD(COLUMNS($H$151:S$151)-1,$E164)=0,$F164*$D164*$G164,)),)</f>
        <v>0</v>
      </c>
      <c r="T164" s="277">
        <f>IFERROR(IF($B164="N/A","N/A",IF(MOD(COLUMNS($H$151:T$151)-1,$E164)=0,$F164*$D164*$G164,)),)</f>
        <v>0</v>
      </c>
      <c r="U164" s="277">
        <f>IFERROR(IF($B164="N/A","N/A",IF(MOD(COLUMNS($H$151:U$151)-1,$E164)=0,$F164*$D164*$G164,)),)</f>
        <v>0</v>
      </c>
      <c r="V164" s="277">
        <f>IFERROR(IF($B164="N/A","N/A",IF(MOD(COLUMNS($H$151:V$151)-1,$E164)=0,$F164*$D164*$G164,)),)</f>
        <v>0</v>
      </c>
      <c r="W164" s="277">
        <f>IFERROR(IF($B164="N/A","N/A",IF(MOD(COLUMNS($H$151:W$151)-1,$E164)=0,$F164*$D164*$G164,)),)</f>
        <v>0</v>
      </c>
    </row>
    <row r="165" spans="2:23">
      <c r="B165" s="76" t="str">
        <f t="array" ref="B165">IF(COUNTIFS(INDEX(Equipment_Allocation_New,0,MATCH($C$107,Unit_codes,0)),"&gt;0")&lt;ROWS('2.2-Equipment input'!$X$8:$X21),"N/A",INDEX('2.2-Equipment input'!B:B,SMALL(IF(INDEX(Equipment_Allocation_New,0,MATCH($C$107,Unit_codes,0))&gt;0,ROW(equipment_ID)),ROW('2.2-Equipment input'!B14))))</f>
        <v>eq0046</v>
      </c>
      <c r="C165" s="76" t="str">
        <f>IF($B165="N/A","N/A",INDEX(Equipment_name[],MATCH(B165,equipment_ID,0)))</f>
        <v>Freezer</v>
      </c>
      <c r="D165" s="277">
        <f t="shared" si="21"/>
        <v>41.999999999999993</v>
      </c>
      <c r="E165" s="94">
        <f t="shared" si="22"/>
        <v>2</v>
      </c>
      <c r="F165" s="94">
        <f t="shared" si="23"/>
        <v>0</v>
      </c>
      <c r="G165" s="94">
        <f t="shared" si="24"/>
        <v>1</v>
      </c>
      <c r="H165" s="277">
        <f>IFERROR(IF($B165="N/A","N/A",IF(MOD(COLUMNS(H$151:$H$151)-1,$E165)=0,$F165*$D165*$G165,)),)</f>
        <v>0</v>
      </c>
      <c r="I165" s="277">
        <f>IFERROR(IF($B165="N/A","N/A",IF(MOD(COLUMNS($H$151:I$151)-1,$E165)=0,$F165*$D165*$G165,)),)</f>
        <v>0</v>
      </c>
      <c r="J165" s="277">
        <f>IFERROR(IF($B165="N/A","N/A",IF(MOD(COLUMNS($H$151:J$151)-1,$E165)=0,$F165*$D165*$G165,)),)</f>
        <v>0</v>
      </c>
      <c r="K165" s="277">
        <f>IFERROR(IF($B165="N/A","N/A",IF(MOD(COLUMNS($H$151:K$151)-1,$E165)=0,$F165*$D165*$G165,)),)</f>
        <v>0</v>
      </c>
      <c r="L165" s="277">
        <f>IFERROR(IF($B165="N/A","N/A",IF(MOD(COLUMNS($H$151:L$151)-1,$E165)=0,$F165*$D165*$G165,)),)</f>
        <v>0</v>
      </c>
      <c r="M165" s="277">
        <f>IFERROR(IF($B165="N/A","N/A",IF(MOD(COLUMNS($H$151:M$151)-1,$E165)=0,$F165*$D165*$G165,)),)</f>
        <v>0</v>
      </c>
      <c r="N165" s="277">
        <f>IFERROR(IF($B165="N/A","N/A",IF(MOD(COLUMNS($H$151:N$151)-1,$E165)=0,$F165*$D165*$G165,)),)</f>
        <v>0</v>
      </c>
      <c r="O165" s="277">
        <f>IFERROR(IF($B165="N/A","N/A",IF(MOD(COLUMNS($H$151:O$151)-1,$E165)=0,$F165*$D165*$G165,)),)</f>
        <v>0</v>
      </c>
      <c r="P165" s="277">
        <f>IFERROR(IF($B165="N/A","N/A",IF(MOD(COLUMNS($H$151:P$151)-1,$E165)=0,$F165*$D165*$G165,)),)</f>
        <v>0</v>
      </c>
      <c r="Q165" s="277">
        <f>IFERROR(IF($B165="N/A","N/A",IF(MOD(COLUMNS($H$151:Q$151)-1,$E165)=0,$F165*$D165*$G165,)),)</f>
        <v>0</v>
      </c>
      <c r="R165" s="277">
        <f>IFERROR(IF($B165="N/A","N/A",IF(MOD(COLUMNS($H$151:R$151)-1,$E165)=0,$F165*$D165*$G165,)),)</f>
        <v>0</v>
      </c>
      <c r="S165" s="277">
        <f>IFERROR(IF($B165="N/A","N/A",IF(MOD(COLUMNS($H$151:S$151)-1,$E165)=0,$F165*$D165*$G165,)),)</f>
        <v>0</v>
      </c>
      <c r="T165" s="277">
        <f>IFERROR(IF($B165="N/A","N/A",IF(MOD(COLUMNS($H$151:T$151)-1,$E165)=0,$F165*$D165*$G165,)),)</f>
        <v>0</v>
      </c>
      <c r="U165" s="277">
        <f>IFERROR(IF($B165="N/A","N/A",IF(MOD(COLUMNS($H$151:U$151)-1,$E165)=0,$F165*$D165*$G165,)),)</f>
        <v>0</v>
      </c>
      <c r="V165" s="277">
        <f>IFERROR(IF($B165="N/A","N/A",IF(MOD(COLUMNS($H$151:V$151)-1,$E165)=0,$F165*$D165*$G165,)),)</f>
        <v>0</v>
      </c>
      <c r="W165" s="277">
        <f>IFERROR(IF($B165="N/A","N/A",IF(MOD(COLUMNS($H$151:W$151)-1,$E165)=0,$F165*$D165*$G165,)),)</f>
        <v>0</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21"/>
        <v>N/A</v>
      </c>
      <c r="E166" s="94" t="str">
        <f t="shared" si="22"/>
        <v>N/A</v>
      </c>
      <c r="F166" s="94" t="str">
        <f t="shared" si="23"/>
        <v>N/A</v>
      </c>
      <c r="G166" s="94" t="str">
        <f t="shared" si="24"/>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21"/>
        <v>N/A</v>
      </c>
      <c r="E167" s="94" t="str">
        <f t="shared" si="22"/>
        <v>N/A</v>
      </c>
      <c r="F167" s="94" t="str">
        <f t="shared" si="23"/>
        <v>N/A</v>
      </c>
      <c r="G167" s="94" t="str">
        <f t="shared" si="24"/>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21"/>
        <v>N/A</v>
      </c>
      <c r="E168" s="94" t="str">
        <f t="shared" si="22"/>
        <v>N/A</v>
      </c>
      <c r="F168" s="94" t="str">
        <f t="shared" si="23"/>
        <v>N/A</v>
      </c>
      <c r="G168" s="94" t="str">
        <f t="shared" si="24"/>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21"/>
        <v>N/A</v>
      </c>
      <c r="E169" s="94" t="str">
        <f t="shared" si="22"/>
        <v>N/A</v>
      </c>
      <c r="F169" s="94" t="str">
        <f t="shared" si="23"/>
        <v>N/A</v>
      </c>
      <c r="G169" s="94" t="str">
        <f t="shared" si="24"/>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21"/>
        <v>N/A</v>
      </c>
      <c r="E170" s="94" t="str">
        <f t="shared" si="22"/>
        <v>N/A</v>
      </c>
      <c r="F170" s="94" t="str">
        <f t="shared" si="23"/>
        <v>N/A</v>
      </c>
      <c r="G170" s="94" t="str">
        <f t="shared" si="24"/>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21"/>
        <v>N/A</v>
      </c>
      <c r="E171" s="94" t="str">
        <f t="shared" si="22"/>
        <v>N/A</v>
      </c>
      <c r="F171" s="94" t="str">
        <f t="shared" si="23"/>
        <v>N/A</v>
      </c>
      <c r="G171" s="94" t="str">
        <f t="shared" si="24"/>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21"/>
        <v>N/A</v>
      </c>
      <c r="E172" s="94" t="str">
        <f t="shared" si="22"/>
        <v>N/A</v>
      </c>
      <c r="F172" s="94" t="str">
        <f t="shared" si="23"/>
        <v>N/A</v>
      </c>
      <c r="G172" s="94" t="str">
        <f t="shared" si="24"/>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21"/>
        <v>N/A</v>
      </c>
      <c r="E173" s="94" t="str">
        <f t="shared" si="22"/>
        <v>N/A</v>
      </c>
      <c r="F173" s="94" t="str">
        <f t="shared" si="23"/>
        <v>N/A</v>
      </c>
      <c r="G173" s="94" t="str">
        <f t="shared" si="24"/>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21"/>
        <v>N/A</v>
      </c>
      <c r="E174" s="94" t="str">
        <f t="shared" si="22"/>
        <v>N/A</v>
      </c>
      <c r="F174" s="94" t="str">
        <f t="shared" si="23"/>
        <v>N/A</v>
      </c>
      <c r="G174" s="94" t="str">
        <f t="shared" si="24"/>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21"/>
        <v>N/A</v>
      </c>
      <c r="E175" s="94" t="str">
        <f t="shared" si="22"/>
        <v>N/A</v>
      </c>
      <c r="F175" s="94" t="str">
        <f t="shared" si="23"/>
        <v>N/A</v>
      </c>
      <c r="G175" s="94" t="str">
        <f t="shared" si="24"/>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21"/>
        <v>N/A</v>
      </c>
      <c r="E176" s="94" t="str">
        <f t="shared" si="22"/>
        <v>N/A</v>
      </c>
      <c r="F176" s="94" t="str">
        <f t="shared" si="23"/>
        <v>N/A</v>
      </c>
      <c r="G176" s="94" t="str">
        <f t="shared" si="24"/>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21"/>
        <v>N/A</v>
      </c>
      <c r="E177" s="94" t="str">
        <f t="shared" si="22"/>
        <v>N/A</v>
      </c>
      <c r="F177" s="94" t="str">
        <f t="shared" si="23"/>
        <v>N/A</v>
      </c>
      <c r="G177" s="94" t="str">
        <f t="shared" si="24"/>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21"/>
        <v>N/A</v>
      </c>
      <c r="E178" s="94" t="str">
        <f t="shared" si="22"/>
        <v>N/A</v>
      </c>
      <c r="F178" s="94" t="str">
        <f t="shared" si="23"/>
        <v>N/A</v>
      </c>
      <c r="G178" s="94" t="str">
        <f t="shared" si="24"/>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21"/>
        <v>N/A</v>
      </c>
      <c r="E179" s="94" t="str">
        <f t="shared" si="22"/>
        <v>N/A</v>
      </c>
      <c r="F179" s="94" t="str">
        <f t="shared" si="23"/>
        <v>N/A</v>
      </c>
      <c r="G179" s="94" t="str">
        <f t="shared" si="24"/>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21"/>
        <v>N/A</v>
      </c>
      <c r="E180" s="94" t="str">
        <f t="shared" si="22"/>
        <v>N/A</v>
      </c>
      <c r="F180" s="94" t="str">
        <f t="shared" si="23"/>
        <v>N/A</v>
      </c>
      <c r="G180" s="94" t="str">
        <f t="shared" si="24"/>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21"/>
        <v>N/A</v>
      </c>
      <c r="E181" s="94" t="str">
        <f t="shared" si="22"/>
        <v>N/A</v>
      </c>
      <c r="F181" s="94" t="str">
        <f t="shared" si="23"/>
        <v>N/A</v>
      </c>
      <c r="G181" s="94" t="str">
        <f t="shared" si="24"/>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21"/>
        <v>N/A</v>
      </c>
      <c r="E182" s="94" t="str">
        <f t="shared" si="22"/>
        <v>N/A</v>
      </c>
      <c r="F182" s="94" t="str">
        <f t="shared" si="23"/>
        <v>N/A</v>
      </c>
      <c r="G182" s="94" t="str">
        <f t="shared" si="24"/>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21"/>
        <v>N/A</v>
      </c>
      <c r="E183" s="94" t="str">
        <f t="shared" si="22"/>
        <v>N/A</v>
      </c>
      <c r="F183" s="94" t="str">
        <f t="shared" si="23"/>
        <v>N/A</v>
      </c>
      <c r="G183" s="94" t="str">
        <f t="shared" si="24"/>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21"/>
        <v>N/A</v>
      </c>
      <c r="E184" s="94" t="str">
        <f t="shared" si="22"/>
        <v>N/A</v>
      </c>
      <c r="F184" s="94" t="str">
        <f t="shared" si="23"/>
        <v>N/A</v>
      </c>
      <c r="G184" s="94" t="str">
        <f t="shared" si="24"/>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21"/>
        <v>N/A</v>
      </c>
      <c r="E185" s="94" t="str">
        <f t="shared" si="22"/>
        <v>N/A</v>
      </c>
      <c r="F185" s="94" t="str">
        <f t="shared" si="23"/>
        <v>N/A</v>
      </c>
      <c r="G185" s="94" t="str">
        <f t="shared" si="24"/>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21"/>
        <v>N/A</v>
      </c>
      <c r="E186" s="94" t="str">
        <f t="shared" si="22"/>
        <v>N/A</v>
      </c>
      <c r="F186" s="94" t="str">
        <f t="shared" si="23"/>
        <v>N/A</v>
      </c>
      <c r="G186" s="94" t="str">
        <f t="shared" si="24"/>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21"/>
        <v>N/A</v>
      </c>
      <c r="E187" s="94" t="str">
        <f t="shared" si="22"/>
        <v>N/A</v>
      </c>
      <c r="F187" s="94" t="str">
        <f t="shared" si="23"/>
        <v>N/A</v>
      </c>
      <c r="G187" s="94" t="str">
        <f t="shared" si="24"/>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21"/>
        <v>N/A</v>
      </c>
      <c r="E188" s="94" t="str">
        <f t="shared" si="22"/>
        <v>N/A</v>
      </c>
      <c r="F188" s="94" t="str">
        <f t="shared" si="23"/>
        <v>N/A</v>
      </c>
      <c r="G188" s="94" t="str">
        <f t="shared" si="24"/>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21"/>
        <v>N/A</v>
      </c>
      <c r="E189" s="94" t="str">
        <f t="shared" si="22"/>
        <v>N/A</v>
      </c>
      <c r="F189" s="94" t="str">
        <f t="shared" si="23"/>
        <v>N/A</v>
      </c>
      <c r="G189" s="94" t="str">
        <f t="shared" si="24"/>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3IaU8xtnBffBG2fN0uQkXGwtLiDovlsMIuFPSv1GxiyPtqh13ed9H0ZZ7hviHzsP6NQGQQky6bGBqCOEIu/LOw==" saltValue="/zVyjH6PcL1WeYnQqjDjUQ==" spinCount="100000" sheet="1" objects="1" scenarios="1"/>
  <mergeCells count="6">
    <mergeCell ref="B33:D33"/>
    <mergeCell ref="C48:D48"/>
    <mergeCell ref="C49:D49"/>
    <mergeCell ref="C79:D79"/>
    <mergeCell ref="C80:D80"/>
    <mergeCell ref="B43:D43"/>
  </mergeCells>
  <conditionalFormatting sqref="B110:C147 B20:D31">
    <cfRule type="containsText" dxfId="208" priority="109" operator="containsText" text="N/A">
      <formula>NOT(ISERROR(SEARCH("N/A",B20)))</formula>
    </cfRule>
  </conditionalFormatting>
  <conditionalFormatting sqref="E110:E147">
    <cfRule type="containsText" dxfId="207" priority="108" operator="containsText" text="N/A">
      <formula>NOT(ISERROR(SEARCH("N/A",E110)))</formula>
    </cfRule>
  </conditionalFormatting>
  <conditionalFormatting sqref="B83:B103 E83:E103">
    <cfRule type="containsText" dxfId="206" priority="107" operator="containsText" text="N/A">
      <formula>NOT(ISERROR(SEARCH("N/A",B83)))</formula>
    </cfRule>
  </conditionalFormatting>
  <conditionalFormatting sqref="C83:C103">
    <cfRule type="containsText" dxfId="205" priority="106" operator="containsText" text="N/A">
      <formula>NOT(ISERROR(SEARCH("N/A",C83)))</formula>
    </cfRule>
  </conditionalFormatting>
  <conditionalFormatting sqref="F83:F103">
    <cfRule type="containsText" dxfId="204" priority="104" operator="containsText" text="N/A">
      <formula>NOT(ISERROR(SEARCH("N/A",F83)))</formula>
    </cfRule>
  </conditionalFormatting>
  <conditionalFormatting sqref="E52:E74 B52:B74">
    <cfRule type="containsText" dxfId="203" priority="103" operator="containsText" text="N/A">
      <formula>NOT(ISERROR(SEARCH("N/A",B52)))</formula>
    </cfRule>
  </conditionalFormatting>
  <conditionalFormatting sqref="C52:C74">
    <cfRule type="containsText" dxfId="202" priority="102" operator="containsText" text="N/A">
      <formula>NOT(ISERROR(SEARCH("N/A",C52)))</formula>
    </cfRule>
  </conditionalFormatting>
  <conditionalFormatting sqref="O110:O147">
    <cfRule type="containsText" dxfId="201" priority="75" operator="containsText" text="N/A">
      <formula>NOT(ISERROR(SEARCH("N/A",O110)))</formula>
    </cfRule>
  </conditionalFormatting>
  <conditionalFormatting sqref="F52:F74">
    <cfRule type="containsText" dxfId="200" priority="100" operator="containsText" text="N/A">
      <formula>NOT(ISERROR(SEARCH("N/A",F52)))</formula>
    </cfRule>
  </conditionalFormatting>
  <conditionalFormatting sqref="G110:G147">
    <cfRule type="containsText" dxfId="199" priority="98" operator="containsText" text="N/A">
      <formula>NOT(ISERROR(SEARCH("N/A",G110)))</formula>
    </cfRule>
  </conditionalFormatting>
  <conditionalFormatting sqref="I110:I147">
    <cfRule type="containsText" dxfId="198" priority="97" operator="containsText" text="N/A">
      <formula>NOT(ISERROR(SEARCH("N/A",I110)))</formula>
    </cfRule>
  </conditionalFormatting>
  <conditionalFormatting sqref="K110:K147">
    <cfRule type="containsText" dxfId="197" priority="96" operator="containsText" text="N/A">
      <formula>NOT(ISERROR(SEARCH("N/A",K110)))</formula>
    </cfRule>
  </conditionalFormatting>
  <conditionalFormatting sqref="F110:F147">
    <cfRule type="containsText" dxfId="196" priority="95" operator="containsText" text="N/A">
      <formula>NOT(ISERROR(SEARCH("N/A",F110)))</formula>
    </cfRule>
  </conditionalFormatting>
  <conditionalFormatting sqref="B152:B189">
    <cfRule type="containsText" dxfId="195" priority="93" operator="containsText" text="N/A">
      <formula>NOT(ISERROR(SEARCH("N/A",B152)))</formula>
    </cfRule>
  </conditionalFormatting>
  <conditionalFormatting sqref="C152:C189">
    <cfRule type="containsText" dxfId="194" priority="92" operator="containsText" text="N/A">
      <formula>NOT(ISERROR(SEARCH("N/A",C152)))</formula>
    </cfRule>
  </conditionalFormatting>
  <conditionalFormatting sqref="F152:F189">
    <cfRule type="containsText" dxfId="193" priority="91" operator="containsText" text="N/A">
      <formula>NOT(ISERROR(SEARCH("N/A",F152)))</formula>
    </cfRule>
  </conditionalFormatting>
  <conditionalFormatting sqref="E152:E189">
    <cfRule type="containsText" dxfId="192" priority="89" operator="containsText" text="N/A">
      <formula>NOT(ISERROR(SEARCH("N/A",E152)))</formula>
    </cfRule>
  </conditionalFormatting>
  <conditionalFormatting sqref="E21:E31">
    <cfRule type="containsText" dxfId="191" priority="80" operator="containsText" text="N/A">
      <formula>NOT(ISERROR(SEARCH("N/A",E21)))</formula>
    </cfRule>
  </conditionalFormatting>
  <conditionalFormatting sqref="H153:W189 I152:W152">
    <cfRule type="containsText" dxfId="190" priority="86" operator="containsText" text="N/A">
      <formula>NOT(ISERROR(SEARCH("N/A",H152)))</formula>
    </cfRule>
  </conditionalFormatting>
  <conditionalFormatting sqref="G152:G189">
    <cfRule type="containsText" dxfId="189" priority="83" operator="containsText" text="N/A">
      <formula>NOT(ISERROR(SEARCH("N/A",G152)))</formula>
    </cfRule>
  </conditionalFormatting>
  <conditionalFormatting sqref="G20:H20 H21:H31">
    <cfRule type="containsText" dxfId="188" priority="79" operator="containsText" text="N/A">
      <formula>NOT(ISERROR(SEARCH("N/A",G20)))</formula>
    </cfRule>
  </conditionalFormatting>
  <conditionalFormatting sqref="E20">
    <cfRule type="containsText" dxfId="187" priority="78" operator="containsText" text="N/A">
      <formula>NOT(ISERROR(SEARCH("N/A",E20)))</formula>
    </cfRule>
  </conditionalFormatting>
  <conditionalFormatting sqref="G21:G31">
    <cfRule type="containsText" dxfId="186" priority="76" operator="containsText" text="N/A">
      <formula>NOT(ISERROR(SEARCH("N/A",G21)))</formula>
    </cfRule>
  </conditionalFormatting>
  <conditionalFormatting sqref="F39:F41">
    <cfRule type="expression" dxfId="185" priority="69">
      <formula>IF(INDIRECT("General_Currency_Selection")="CHF",TRUE)</formula>
    </cfRule>
    <cfRule type="expression" dxfId="184" priority="70">
      <formula>IF(INDIRECT("General_Currency_Selection")="EUR",TRUE)</formula>
    </cfRule>
    <cfRule type="expression" dxfId="183" priority="71">
      <formula>IF(INDIRECT("General_Currency_Selection")="USD",TRUE)</formula>
    </cfRule>
  </conditionalFormatting>
  <conditionalFormatting sqref="E39:E41">
    <cfRule type="expression" dxfId="182" priority="66">
      <formula>IF(INDIRECT("General_Currency_Selection")="CHF",TRUE)</formula>
    </cfRule>
    <cfRule type="expression" dxfId="181" priority="67">
      <formula>IF(INDIRECT("General_Currency_Selection")="EUR",TRUE)</formula>
    </cfRule>
    <cfRule type="expression" dxfId="180" priority="68">
      <formula>IF(INDIRECT("General_Currency_Selection")="USD",TRUE)</formula>
    </cfRule>
  </conditionalFormatting>
  <conditionalFormatting sqref="E43:F43">
    <cfRule type="expression" dxfId="179" priority="63">
      <formula>IF(INDIRECT("General_Currency_Selection")="CHF",TRUE)</formula>
    </cfRule>
    <cfRule type="expression" dxfId="178" priority="64">
      <formula>IF(INDIRECT("General_Currency_Selection")="EUR",TRUE)</formula>
    </cfRule>
    <cfRule type="expression" dxfId="177" priority="65">
      <formula>IF(INDIRECT("General_Currency_Selection")="USD",TRUE)</formula>
    </cfRule>
  </conditionalFormatting>
  <conditionalFormatting sqref="G35">
    <cfRule type="expression" dxfId="176" priority="60">
      <formula>IF(INDIRECT("General_Currency_Selection")="CHF",TRUE)</formula>
    </cfRule>
    <cfRule type="expression" dxfId="175" priority="61">
      <formula>IF(INDIRECT("General_Currency_Selection")="EUR",TRUE)</formula>
    </cfRule>
    <cfRule type="expression" dxfId="174" priority="62">
      <formula>IF(INDIRECT("General_Currency_Selection")="USD",TRUE)</formula>
    </cfRule>
  </conditionalFormatting>
  <conditionalFormatting sqref="G15">
    <cfRule type="expression" dxfId="173" priority="57">
      <formula>IF(INDIRECT("General_Currency_Selection")="CHF",TRUE)</formula>
    </cfRule>
    <cfRule type="expression" dxfId="172" priority="58">
      <formula>IF(INDIRECT("General_Currency_Selection")="EUR",TRUE)</formula>
    </cfRule>
    <cfRule type="expression" dxfId="171" priority="59">
      <formula>IF(INDIRECT("General_Currency_Selection")="USD",TRUE)</formula>
    </cfRule>
  </conditionalFormatting>
  <conditionalFormatting sqref="G45">
    <cfRule type="expression" dxfId="170" priority="54">
      <formula>IF(INDIRECT("General_Currency_Selection")="CHF",TRUE)</formula>
    </cfRule>
    <cfRule type="expression" dxfId="169" priority="55">
      <formula>IF(INDIRECT("General_Currency_Selection")="EUR",TRUE)</formula>
    </cfRule>
    <cfRule type="expression" dxfId="168" priority="56">
      <formula>IF(INDIRECT("General_Currency_Selection")="USD",TRUE)</formula>
    </cfRule>
  </conditionalFormatting>
  <conditionalFormatting sqref="F20:F31">
    <cfRule type="expression" dxfId="167" priority="51">
      <formula>IF(INDIRECT("General_Currency_Selection")="CHF",TRUE)</formula>
    </cfRule>
    <cfRule type="expression" dxfId="166" priority="52">
      <formula>IF(INDIRECT("General_Currency_Selection")="EUR",TRUE)</formula>
    </cfRule>
    <cfRule type="expression" dxfId="165" priority="53">
      <formula>IF(INDIRECT("General_Currency_Selection")="USD",TRUE)</formula>
    </cfRule>
  </conditionalFormatting>
  <conditionalFormatting sqref="E33">
    <cfRule type="expression" dxfId="164" priority="48">
      <formula>IF(INDIRECT("General_Currency_Selection")="CHF",TRUE)</formula>
    </cfRule>
    <cfRule type="expression" dxfId="163" priority="49">
      <formula>IF(INDIRECT("General_Currency_Selection")="EUR",TRUE)</formula>
    </cfRule>
    <cfRule type="expression" dxfId="162" priority="50">
      <formula>IF(INDIRECT("General_Currency_Selection")="USD",TRUE)</formula>
    </cfRule>
  </conditionalFormatting>
  <conditionalFormatting sqref="D52:D74">
    <cfRule type="expression" dxfId="161" priority="45">
      <formula>IF(INDIRECT("General_Currency_Selection")="CHF",TRUE)</formula>
    </cfRule>
    <cfRule type="expression" dxfId="160" priority="46">
      <formula>IF(INDIRECT("General_Currency_Selection")="EUR",TRUE)</formula>
    </cfRule>
    <cfRule type="expression" dxfId="159" priority="47">
      <formula>IF(INDIRECT("General_Currency_Selection")="USD",TRUE)</formula>
    </cfRule>
  </conditionalFormatting>
  <conditionalFormatting sqref="G52:G74">
    <cfRule type="expression" dxfId="158" priority="42">
      <formula>IF(INDIRECT("General_Currency_Selection")="CHF",TRUE)</formula>
    </cfRule>
    <cfRule type="expression" dxfId="157" priority="43">
      <formula>IF(INDIRECT("General_Currency_Selection")="EUR",TRUE)</formula>
    </cfRule>
    <cfRule type="expression" dxfId="156" priority="44">
      <formula>IF(INDIRECT("General_Currency_Selection")="USD",TRUE)</formula>
    </cfRule>
  </conditionalFormatting>
  <conditionalFormatting sqref="G76">
    <cfRule type="expression" dxfId="155" priority="39">
      <formula>IF(INDIRECT("General_Currency_Selection")="CHF",TRUE)</formula>
    </cfRule>
    <cfRule type="expression" dxfId="154" priority="40">
      <formula>IF(INDIRECT("General_Currency_Selection")="EUR",TRUE)</formula>
    </cfRule>
    <cfRule type="expression" dxfId="153" priority="41">
      <formula>IF(INDIRECT("General_Currency_Selection")="USD",TRUE)</formula>
    </cfRule>
  </conditionalFormatting>
  <conditionalFormatting sqref="D83:D103">
    <cfRule type="expression" dxfId="152" priority="36">
      <formula>IF(INDIRECT("General_Currency_Selection")="CHF",TRUE)</formula>
    </cfRule>
    <cfRule type="expression" dxfId="151" priority="37">
      <formula>IF(INDIRECT("General_Currency_Selection")="EUR",TRUE)</formula>
    </cfRule>
    <cfRule type="expression" dxfId="150" priority="38">
      <formula>IF(INDIRECT("General_Currency_Selection")="USD",TRUE)</formula>
    </cfRule>
  </conditionalFormatting>
  <conditionalFormatting sqref="G83:G103">
    <cfRule type="expression" dxfId="149" priority="33">
      <formula>IF(INDIRECT("General_Currency_Selection")="CHF",TRUE)</formula>
    </cfRule>
    <cfRule type="expression" dxfId="148" priority="34">
      <formula>IF(INDIRECT("General_Currency_Selection")="EUR",TRUE)</formula>
    </cfRule>
    <cfRule type="expression" dxfId="147" priority="35">
      <formula>IF(INDIRECT("General_Currency_Selection")="USD",TRUE)</formula>
    </cfRule>
  </conditionalFormatting>
  <conditionalFormatting sqref="G105">
    <cfRule type="expression" dxfId="146" priority="30">
      <formula>IF(INDIRECT("General_Currency_Selection")="CHF",TRUE)</formula>
    </cfRule>
    <cfRule type="expression" dxfId="145" priority="31">
      <formula>IF(INDIRECT("General_Currency_Selection")="EUR",TRUE)</formula>
    </cfRule>
    <cfRule type="expression" dxfId="144" priority="32">
      <formula>IF(INDIRECT("General_Currency_Selection")="USD",TRUE)</formula>
    </cfRule>
  </conditionalFormatting>
  <conditionalFormatting sqref="D110:D147">
    <cfRule type="expression" dxfId="143" priority="27">
      <formula>IF(INDIRECT("General_Currency_Selection")="CHF",TRUE)</formula>
    </cfRule>
    <cfRule type="expression" dxfId="142" priority="28">
      <formula>IF(INDIRECT("General_Currency_Selection")="EUR",TRUE)</formula>
    </cfRule>
    <cfRule type="expression" dxfId="141" priority="29">
      <formula>IF(INDIRECT("General_Currency_Selection")="USD",TRUE)</formula>
    </cfRule>
  </conditionalFormatting>
  <conditionalFormatting sqref="N110:N147">
    <cfRule type="expression" dxfId="140" priority="24">
      <formula>IF(INDIRECT("General_Currency_Selection")="CHF",TRUE)</formula>
    </cfRule>
    <cfRule type="expression" dxfId="139" priority="25">
      <formula>IF(INDIRECT("General_Currency_Selection")="EUR",TRUE)</formula>
    </cfRule>
    <cfRule type="expression" dxfId="138" priority="26">
      <formula>IF(INDIRECT("General_Currency_Selection")="USD",TRUE)</formula>
    </cfRule>
  </conditionalFormatting>
  <conditionalFormatting sqref="D152:D189">
    <cfRule type="expression" dxfId="137" priority="21">
      <formula>IF(INDIRECT("General_Currency_Selection")="CHF",TRUE)</formula>
    </cfRule>
    <cfRule type="expression" dxfId="136" priority="22">
      <formula>IF(INDIRECT("General_Currency_Selection")="EUR",TRUE)</formula>
    </cfRule>
    <cfRule type="expression" dxfId="135" priority="23">
      <formula>IF(INDIRECT("General_Currency_Selection")="USD",TRUE)</formula>
    </cfRule>
  </conditionalFormatting>
  <conditionalFormatting sqref="H149:W149">
    <cfRule type="expression" dxfId="134" priority="18">
      <formula>IF(INDIRECT("General_Currency_Selection")="CHF",TRUE)</formula>
    </cfRule>
    <cfRule type="expression" dxfId="133" priority="19">
      <formula>IF(INDIRECT("General_Currency_Selection")="EUR",TRUE)</formula>
    </cfRule>
    <cfRule type="expression" dxfId="132" priority="20">
      <formula>IF(INDIRECT("General_Currency_Selection")="USD",TRUE)</formula>
    </cfRule>
  </conditionalFormatting>
  <conditionalFormatting sqref="H152:W189">
    <cfRule type="expression" dxfId="131" priority="15">
      <formula>IF(INDIRECT("General_Currency_Selection")="CHF",TRUE)</formula>
    </cfRule>
    <cfRule type="expression" dxfId="130" priority="16">
      <formula>IF(INDIRECT("General_Currency_Selection")="EUR",TRUE)</formula>
    </cfRule>
    <cfRule type="expression" dxfId="129" priority="17">
      <formula>IF(INDIRECT("General_Currency_Selection")="USD",TRUE)</formula>
    </cfRule>
  </conditionalFormatting>
  <conditionalFormatting sqref="H110:H147">
    <cfRule type="expression" dxfId="128" priority="10">
      <formula>IF(INDIRECT("General_Currency_Selection")="CHF",TRUE)</formula>
    </cfRule>
    <cfRule type="expression" dxfId="127" priority="11">
      <formula>IF(INDIRECT("General_Currency_Selection")="EUR",TRUE)</formula>
    </cfRule>
    <cfRule type="expression" dxfId="126" priority="12">
      <formula>IF(INDIRECT("General_Currency_Selection")="USD",TRUE)</formula>
    </cfRule>
  </conditionalFormatting>
  <conditionalFormatting sqref="J110:J147">
    <cfRule type="expression" dxfId="125" priority="7">
      <formula>IF(INDIRECT("General_Currency_Selection")="CHF",TRUE)</formula>
    </cfRule>
    <cfRule type="expression" dxfId="124" priority="8">
      <formula>IF(INDIRECT("General_Currency_Selection")="EUR",TRUE)</formula>
    </cfRule>
    <cfRule type="expression" dxfId="123" priority="9">
      <formula>IF(INDIRECT("General_Currency_Selection")="USD",TRUE)</formula>
    </cfRule>
  </conditionalFormatting>
  <conditionalFormatting sqref="L110:L147">
    <cfRule type="expression" dxfId="122" priority="4">
      <formula>IF(INDIRECT("General_Currency_Selection")="CHF",TRUE)</formula>
    </cfRule>
    <cfRule type="expression" dxfId="121" priority="5">
      <formula>IF(INDIRECT("General_Currency_Selection")="EUR",TRUE)</formula>
    </cfRule>
    <cfRule type="expression" dxfId="120" priority="6">
      <formula>IF(INDIRECT("General_Currency_Selection")="USD",TRUE)</formula>
    </cfRule>
  </conditionalFormatting>
  <conditionalFormatting sqref="G17">
    <cfRule type="expression" dxfId="119" priority="1">
      <formula>IF(INDIRECT("General_Currency_Selection")="CHF",TRUE)</formula>
    </cfRule>
    <cfRule type="expression" dxfId="118" priority="2">
      <formula>IF(INDIRECT("General_Currency_Selection")="EUR",TRUE)</formula>
    </cfRule>
    <cfRule type="expression" dxfId="117"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B1:P178"/>
  <sheetViews>
    <sheetView topLeftCell="A7" zoomScaleNormal="100" workbookViewId="0">
      <selection activeCell="F17" sqref="F17"/>
    </sheetView>
  </sheetViews>
  <sheetFormatPr defaultColWidth="8.7109375" defaultRowHeight="15"/>
  <cols>
    <col min="1" max="1" width="0.85546875" style="505" customWidth="1"/>
    <col min="2" max="2" width="32.85546875" style="505" customWidth="1"/>
    <col min="3" max="3" width="46.7109375" style="505" customWidth="1"/>
    <col min="4" max="4" width="30.140625" style="505" customWidth="1"/>
    <col min="5" max="5" width="25.42578125" style="505" customWidth="1"/>
    <col min="6" max="6" width="47" style="505" bestFit="1" customWidth="1"/>
    <col min="7" max="7" width="32.140625" style="505" customWidth="1"/>
    <col min="8" max="8" width="18.85546875" style="505" customWidth="1"/>
    <col min="9" max="9" width="4.42578125" style="505" bestFit="1" customWidth="1"/>
    <col min="10" max="10" width="13.5703125" style="505" customWidth="1"/>
    <col min="11" max="11" width="13.140625" style="505" bestFit="1" customWidth="1"/>
    <col min="12" max="12" width="23.85546875" style="505" customWidth="1"/>
    <col min="13" max="13" width="25.7109375" style="505" customWidth="1"/>
    <col min="14" max="14" width="8.7109375" style="505"/>
    <col min="15" max="15" width="16.28515625" style="505" customWidth="1"/>
    <col min="16" max="16384" width="8.7109375" style="505"/>
  </cols>
  <sheetData>
    <row r="1" spans="2:16" ht="5.0999999999999996" customHeight="1"/>
    <row r="2" spans="2:16" ht="18.75">
      <c r="B2" s="506" t="s">
        <v>906</v>
      </c>
      <c r="C2" s="506"/>
      <c r="D2" s="651"/>
      <c r="E2" s="651"/>
      <c r="F2" s="651"/>
      <c r="G2" s="606"/>
      <c r="H2" s="606"/>
      <c r="I2" s="652"/>
      <c r="J2" s="504"/>
      <c r="M2" s="504"/>
    </row>
    <row r="4" spans="2:16" ht="18.75">
      <c r="B4" s="653" t="s">
        <v>905</v>
      </c>
      <c r="C4" s="654"/>
      <c r="D4" s="654"/>
      <c r="E4" s="654"/>
      <c r="F4" s="654"/>
      <c r="G4" s="654"/>
      <c r="H4" s="654"/>
      <c r="L4" s="655" t="s">
        <v>985</v>
      </c>
      <c r="M4" s="654"/>
    </row>
    <row r="5" spans="2:16" ht="14.45" customHeight="1">
      <c r="B5" s="656" t="s">
        <v>1057</v>
      </c>
    </row>
    <row r="6" spans="2:16" ht="14.45" customHeight="1">
      <c r="B6" s="657" t="s">
        <v>1058</v>
      </c>
      <c r="L6" s="658" t="s">
        <v>986</v>
      </c>
      <c r="M6" s="659"/>
    </row>
    <row r="7" spans="2:16" ht="14.45" customHeight="1">
      <c r="B7" s="657"/>
    </row>
    <row r="8" spans="2:16" ht="14.45" customHeight="1">
      <c r="B8" s="660" t="s">
        <v>802</v>
      </c>
      <c r="C8" s="660" t="s">
        <v>193</v>
      </c>
      <c r="D8" s="660" t="s">
        <v>812</v>
      </c>
      <c r="E8" s="660" t="s">
        <v>803</v>
      </c>
      <c r="F8" s="660" t="s">
        <v>78</v>
      </c>
      <c r="G8" s="504"/>
      <c r="H8" s="661"/>
      <c r="M8" s="593" t="s">
        <v>987</v>
      </c>
      <c r="O8" s="656"/>
    </row>
    <row r="9" spans="2:16" ht="14.45" customHeight="1">
      <c r="E9" s="509"/>
      <c r="G9" s="504"/>
      <c r="H9" s="504"/>
      <c r="L9" s="504" t="s">
        <v>988</v>
      </c>
      <c r="M9" s="662">
        <f>'5.1-Financial Analysis'!C134</f>
        <v>734974.7191359729</v>
      </c>
    </row>
    <row r="10" spans="2:16">
      <c r="B10" s="663" t="s">
        <v>820</v>
      </c>
      <c r="C10" s="505" t="s">
        <v>816</v>
      </c>
      <c r="D10" s="504" t="s">
        <v>723</v>
      </c>
      <c r="E10" s="763" t="s">
        <v>564</v>
      </c>
      <c r="F10" s="504"/>
      <c r="G10" s="504"/>
      <c r="H10" s="504"/>
      <c r="L10" s="593">
        <v>1</v>
      </c>
      <c r="M10" s="662">
        <f t="dataTable" ref="M10:M28" dt2D="0" dtr="0" r1="E14"/>
        <v>125626.35420642192</v>
      </c>
    </row>
    <row r="11" spans="2:16">
      <c r="B11" s="663"/>
      <c r="D11" s="504"/>
      <c r="E11" s="504"/>
      <c r="F11" s="593"/>
      <c r="G11" s="504"/>
      <c r="H11" s="504"/>
      <c r="L11" s="593">
        <v>1.5</v>
      </c>
      <c r="M11" s="662">
        <v>202744.38101662303</v>
      </c>
      <c r="O11" s="504"/>
      <c r="P11" s="504"/>
    </row>
    <row r="12" spans="2:16">
      <c r="B12" s="664" t="s">
        <v>912</v>
      </c>
      <c r="C12" s="504" t="s">
        <v>1059</v>
      </c>
      <c r="D12" s="504" t="s">
        <v>910</v>
      </c>
      <c r="E12" s="665">
        <f>'4.1-Settings Database'!J21</f>
        <v>0.16840686988608591</v>
      </c>
      <c r="F12" s="504"/>
      <c r="G12" s="569"/>
      <c r="H12" s="504"/>
      <c r="L12" s="593">
        <v>2</v>
      </c>
      <c r="M12" s="662">
        <v>288177.99980308919</v>
      </c>
      <c r="O12" s="593"/>
      <c r="P12" s="504"/>
    </row>
    <row r="13" spans="2:16">
      <c r="B13" s="666"/>
      <c r="C13" s="504"/>
      <c r="D13" s="504"/>
      <c r="E13" s="504"/>
      <c r="F13" s="504"/>
      <c r="L13" s="593">
        <v>2.5</v>
      </c>
      <c r="M13" s="662">
        <v>372905.01413023676</v>
      </c>
      <c r="O13" s="593"/>
      <c r="P13" s="504"/>
    </row>
    <row r="14" spans="2:16">
      <c r="B14" s="663" t="s">
        <v>840</v>
      </c>
      <c r="C14" s="593" t="s">
        <v>913</v>
      </c>
      <c r="D14" s="504" t="s">
        <v>238</v>
      </c>
      <c r="E14" s="764">
        <v>5</v>
      </c>
      <c r="F14" s="504" t="s">
        <v>818</v>
      </c>
      <c r="L14" s="593">
        <v>3</v>
      </c>
      <c r="M14" s="662">
        <v>451489.09478048852</v>
      </c>
      <c r="O14" s="593"/>
      <c r="P14" s="504"/>
    </row>
    <row r="15" spans="2:16">
      <c r="C15" s="667"/>
      <c r="D15" s="504"/>
      <c r="E15" s="668">
        <f>E14*Staff_Days_Operation</f>
        <v>1825</v>
      </c>
      <c r="F15" s="669" t="s">
        <v>819</v>
      </c>
      <c r="L15" s="593">
        <v>3.5</v>
      </c>
      <c r="M15" s="662">
        <v>521193.21633281076</v>
      </c>
      <c r="O15" s="593"/>
      <c r="P15" s="504"/>
    </row>
    <row r="16" spans="2:16">
      <c r="D16" s="504"/>
      <c r="E16" s="504"/>
      <c r="F16" s="504"/>
      <c r="L16" s="593">
        <v>4</v>
      </c>
      <c r="M16" s="662">
        <v>607344.25972821179</v>
      </c>
      <c r="O16" s="593"/>
      <c r="P16" s="504"/>
    </row>
    <row r="17" spans="2:16" ht="30">
      <c r="B17" s="670" t="s">
        <v>964</v>
      </c>
      <c r="C17" s="671" t="s">
        <v>965</v>
      </c>
      <c r="D17" s="672" t="s">
        <v>968</v>
      </c>
      <c r="E17" s="765" t="s">
        <v>444</v>
      </c>
      <c r="F17" s="673"/>
      <c r="L17" s="593">
        <v>4.5</v>
      </c>
      <c r="M17" s="662">
        <v>649672.08451967326</v>
      </c>
      <c r="O17" s="593"/>
      <c r="P17" s="504"/>
    </row>
    <row r="18" spans="2:16">
      <c r="D18" s="504"/>
      <c r="E18" s="504"/>
      <c r="F18" s="504"/>
      <c r="L18" s="593">
        <v>5</v>
      </c>
      <c r="M18" s="662">
        <v>734974.7191359729</v>
      </c>
      <c r="O18" s="593"/>
      <c r="P18" s="504"/>
    </row>
    <row r="19" spans="2:16" ht="30">
      <c r="B19" s="670" t="s">
        <v>966</v>
      </c>
      <c r="C19" s="671" t="s">
        <v>967</v>
      </c>
      <c r="D19" s="672" t="s">
        <v>968</v>
      </c>
      <c r="E19" s="765" t="s">
        <v>444</v>
      </c>
      <c r="F19" s="504"/>
      <c r="L19" s="593">
        <v>5.5</v>
      </c>
      <c r="M19" s="662">
        <v>816225.08994024899</v>
      </c>
      <c r="O19" s="593"/>
      <c r="P19" s="504"/>
    </row>
    <row r="20" spans="2:16">
      <c r="D20" s="504"/>
      <c r="E20" s="504"/>
      <c r="F20" s="504"/>
      <c r="L20" s="593">
        <v>6</v>
      </c>
      <c r="M20" s="505">
        <v>894169.35882380162</v>
      </c>
      <c r="O20" s="593"/>
      <c r="P20" s="504"/>
    </row>
    <row r="21" spans="2:16">
      <c r="B21" s="674" t="s">
        <v>841</v>
      </c>
      <c r="C21" s="865" t="s">
        <v>871</v>
      </c>
      <c r="D21" s="675" t="s">
        <v>310</v>
      </c>
      <c r="E21" s="766">
        <v>1</v>
      </c>
      <c r="F21" s="676" t="s">
        <v>804</v>
      </c>
      <c r="L21" s="593">
        <v>6.5</v>
      </c>
      <c r="M21" s="505">
        <v>978775.9746857282</v>
      </c>
    </row>
    <row r="22" spans="2:16" ht="14.45" customHeight="1">
      <c r="C22" s="865"/>
      <c r="D22" s="675" t="s">
        <v>653</v>
      </c>
      <c r="E22" s="766">
        <v>0</v>
      </c>
      <c r="F22" s="676" t="s">
        <v>804</v>
      </c>
      <c r="L22" s="593">
        <v>7</v>
      </c>
      <c r="M22" s="505">
        <v>1043347.3756817241</v>
      </c>
    </row>
    <row r="23" spans="2:16">
      <c r="C23" s="865"/>
      <c r="D23" s="675" t="s">
        <v>652</v>
      </c>
      <c r="E23" s="766">
        <v>0</v>
      </c>
      <c r="F23" s="676" t="s">
        <v>804</v>
      </c>
      <c r="L23" s="593">
        <v>7.5</v>
      </c>
      <c r="M23" s="505">
        <v>1122460.4766035755</v>
      </c>
    </row>
    <row r="24" spans="2:16" ht="14.45" customHeight="1">
      <c r="D24" s="677" t="s">
        <v>678</v>
      </c>
      <c r="E24" s="678" t="str">
        <f>IF(SUM(E21:E23)&gt;1,"Total Too High! Total must be equal to 100%",IF(SUM(E21:E23)&lt;1,"Total Too Low! Total must be equal to 100%","OK"))</f>
        <v>OK</v>
      </c>
      <c r="F24" s="504"/>
      <c r="G24" s="569"/>
      <c r="H24" s="504"/>
      <c r="L24" s="593">
        <v>8</v>
      </c>
      <c r="M24" s="505">
        <v>1205727.099810662</v>
      </c>
    </row>
    <row r="25" spans="2:16" ht="14.45" customHeight="1">
      <c r="D25" s="677"/>
      <c r="E25" s="678"/>
      <c r="F25" s="504"/>
      <c r="G25" s="504"/>
      <c r="H25" s="504"/>
      <c r="L25" s="593">
        <v>8.5</v>
      </c>
      <c r="M25" s="505">
        <v>1270569.1659195758</v>
      </c>
    </row>
    <row r="26" spans="2:16" ht="30">
      <c r="B26" s="674" t="s">
        <v>842</v>
      </c>
      <c r="C26" s="679" t="s">
        <v>811</v>
      </c>
      <c r="D26" s="680" t="s">
        <v>551</v>
      </c>
      <c r="E26" s="767">
        <v>0</v>
      </c>
      <c r="F26" s="676" t="s">
        <v>872</v>
      </c>
      <c r="G26" s="504"/>
      <c r="H26" s="504"/>
      <c r="L26" s="593">
        <v>9</v>
      </c>
      <c r="M26" s="505">
        <v>1350779.0897694752</v>
      </c>
    </row>
    <row r="27" spans="2:16" ht="14.45" customHeight="1">
      <c r="C27" s="505" t="s">
        <v>810</v>
      </c>
      <c r="D27" s="681" t="s">
        <v>655</v>
      </c>
      <c r="E27" s="766">
        <v>0</v>
      </c>
      <c r="F27" s="504" t="s">
        <v>1031</v>
      </c>
      <c r="G27" s="504"/>
      <c r="H27" s="504"/>
      <c r="L27" s="593">
        <v>9.5</v>
      </c>
      <c r="M27" s="505">
        <v>1407003.9517478924</v>
      </c>
    </row>
    <row r="28" spans="2:16" ht="15" customHeight="1">
      <c r="G28" s="504"/>
      <c r="H28" s="504"/>
      <c r="L28" s="593">
        <v>10</v>
      </c>
      <c r="M28" s="505">
        <v>1493316.9728089701</v>
      </c>
    </row>
    <row r="29" spans="2:16" ht="15" customHeight="1">
      <c r="B29" s="656" t="s">
        <v>843</v>
      </c>
      <c r="C29" s="505" t="s">
        <v>805</v>
      </c>
      <c r="D29" s="681" t="s">
        <v>783</v>
      </c>
      <c r="E29" s="766">
        <v>0</v>
      </c>
      <c r="F29" s="505" t="s">
        <v>833</v>
      </c>
      <c r="G29" s="504"/>
      <c r="H29" s="504"/>
    </row>
    <row r="30" spans="2:16" ht="15" customHeight="1">
      <c r="C30" s="505" t="s">
        <v>806</v>
      </c>
      <c r="D30" s="681" t="s">
        <v>789</v>
      </c>
      <c r="E30" s="766">
        <v>0</v>
      </c>
      <c r="F30" s="505" t="s">
        <v>807</v>
      </c>
      <c r="G30" s="504"/>
      <c r="H30" s="504"/>
    </row>
    <row r="31" spans="2:16" ht="15" customHeight="1">
      <c r="G31" s="504"/>
      <c r="H31" s="504"/>
    </row>
    <row r="32" spans="2:16" ht="15" customHeight="1">
      <c r="C32" s="505" t="s">
        <v>825</v>
      </c>
      <c r="D32" s="681" t="s">
        <v>784</v>
      </c>
      <c r="E32" s="766">
        <v>0</v>
      </c>
      <c r="F32" s="505" t="s">
        <v>834</v>
      </c>
      <c r="G32" s="504"/>
      <c r="H32" s="504"/>
    </row>
    <row r="33" spans="2:10" ht="15" customHeight="1">
      <c r="C33" s="505" t="s">
        <v>826</v>
      </c>
      <c r="D33" s="681" t="s">
        <v>790</v>
      </c>
      <c r="E33" s="766">
        <v>0</v>
      </c>
      <c r="F33" s="505" t="s">
        <v>809</v>
      </c>
      <c r="G33" s="504"/>
      <c r="H33" s="504"/>
    </row>
    <row r="34" spans="2:10">
      <c r="G34" s="504"/>
      <c r="H34" s="504"/>
    </row>
    <row r="35" spans="2:10" ht="30">
      <c r="B35" s="674" t="s">
        <v>919</v>
      </c>
      <c r="C35" s="682" t="s">
        <v>920</v>
      </c>
      <c r="D35" s="683" t="s">
        <v>919</v>
      </c>
      <c r="E35" s="767">
        <v>0.05</v>
      </c>
      <c r="F35" s="683" t="s">
        <v>921</v>
      </c>
      <c r="G35" s="504"/>
      <c r="H35" s="504"/>
    </row>
    <row r="36" spans="2:10">
      <c r="G36" s="504"/>
      <c r="H36" s="504"/>
    </row>
    <row r="37" spans="2:10" ht="30">
      <c r="B37" s="670" t="s">
        <v>938</v>
      </c>
      <c r="C37" s="671" t="s">
        <v>939</v>
      </c>
      <c r="D37" s="684" t="s">
        <v>808</v>
      </c>
      <c r="E37" s="768" t="s">
        <v>720</v>
      </c>
      <c r="G37" s="504"/>
      <c r="H37" s="504"/>
    </row>
    <row r="38" spans="2:10" ht="15" customHeight="1">
      <c r="G38" s="504"/>
      <c r="H38" s="504"/>
    </row>
    <row r="39" spans="2:10" ht="30">
      <c r="B39" s="674" t="s">
        <v>846</v>
      </c>
      <c r="C39" s="682" t="s">
        <v>845</v>
      </c>
      <c r="D39" s="683" t="s">
        <v>873</v>
      </c>
      <c r="E39" s="765" t="s">
        <v>444</v>
      </c>
      <c r="G39" s="504"/>
      <c r="H39" s="504"/>
    </row>
    <row r="40" spans="2:10" ht="15" customHeight="1">
      <c r="I40" s="504"/>
      <c r="J40" s="504"/>
    </row>
    <row r="41" spans="2:10" ht="15" customHeight="1">
      <c r="B41" s="504"/>
      <c r="C41" s="504"/>
      <c r="D41" s="504"/>
      <c r="E41" s="504"/>
      <c r="F41" s="504"/>
      <c r="G41" s="504"/>
      <c r="H41" s="504"/>
      <c r="I41" s="504"/>
      <c r="J41" s="504"/>
    </row>
    <row r="42" spans="2:10" ht="15" customHeight="1">
      <c r="B42" s="653" t="s">
        <v>1008</v>
      </c>
      <c r="C42" s="654"/>
      <c r="D42" s="654"/>
      <c r="E42" s="654"/>
      <c r="F42" s="654"/>
      <c r="G42" s="654"/>
      <c r="H42" s="685"/>
      <c r="I42" s="504"/>
      <c r="J42" s="504"/>
    </row>
    <row r="43" spans="2:10" ht="15" customHeight="1">
      <c r="B43" s="656" t="s">
        <v>863</v>
      </c>
      <c r="G43" s="663"/>
      <c r="H43" s="504"/>
      <c r="I43" s="504"/>
    </row>
    <row r="44" spans="2:10" ht="15" customHeight="1">
      <c r="B44" s="601" t="s">
        <v>864</v>
      </c>
      <c r="G44" s="663"/>
      <c r="H44" s="504"/>
      <c r="I44" s="504"/>
    </row>
    <row r="45" spans="2:10" ht="15" customHeight="1">
      <c r="B45" s="509"/>
      <c r="G45" s="663"/>
      <c r="H45" s="504"/>
      <c r="I45" s="504"/>
    </row>
    <row r="46" spans="2:10" ht="15" customHeight="1">
      <c r="B46" s="686" t="s">
        <v>837</v>
      </c>
      <c r="C46" s="687" t="s">
        <v>193</v>
      </c>
      <c r="D46" s="687" t="s">
        <v>798</v>
      </c>
      <c r="E46" s="687" t="s">
        <v>78</v>
      </c>
    </row>
    <row r="47" spans="2:10" ht="15" customHeight="1">
      <c r="B47" s="688" t="s">
        <v>835</v>
      </c>
      <c r="C47" s="689" t="s">
        <v>836</v>
      </c>
      <c r="D47" s="690">
        <f>E15</f>
        <v>1825</v>
      </c>
      <c r="E47" s="691" t="s">
        <v>279</v>
      </c>
    </row>
    <row r="48" spans="2:10" ht="15" customHeight="1">
      <c r="B48" s="692" t="s">
        <v>582</v>
      </c>
      <c r="C48" s="693" t="s">
        <v>577</v>
      </c>
      <c r="D48" s="694">
        <f>'4.1-Settings Database'!M20</f>
        <v>1699.075</v>
      </c>
      <c r="E48" s="691" t="s">
        <v>279</v>
      </c>
    </row>
    <row r="49" spans="2:10" ht="15" customHeight="1">
      <c r="B49" s="695"/>
      <c r="C49" s="696" t="s">
        <v>643</v>
      </c>
      <c r="D49" s="697">
        <f>'4.1-Settings Database'!$J$16</f>
        <v>12</v>
      </c>
      <c r="E49" s="691" t="s">
        <v>570</v>
      </c>
    </row>
    <row r="50" spans="2:10" ht="15" customHeight="1">
      <c r="B50" s="698" t="s">
        <v>581</v>
      </c>
      <c r="C50" s="699" t="s">
        <v>578</v>
      </c>
      <c r="D50" s="697">
        <f>'4.1-Settings Database'!M22</f>
        <v>291.65168310395092</v>
      </c>
      <c r="E50" s="691" t="s">
        <v>279</v>
      </c>
    </row>
    <row r="51" spans="2:10" ht="15" customHeight="1">
      <c r="B51" s="700"/>
      <c r="C51" s="699" t="s">
        <v>610</v>
      </c>
      <c r="D51" s="697">
        <f>'4.1-Settings Database'!O22</f>
        <v>287.88998879574331</v>
      </c>
      <c r="E51" s="691" t="s">
        <v>279</v>
      </c>
    </row>
    <row r="52" spans="2:10" ht="15" customHeight="1">
      <c r="B52" s="701" t="s">
        <v>583</v>
      </c>
      <c r="C52" s="702" t="s">
        <v>785</v>
      </c>
      <c r="D52" s="697">
        <f>'4.1-Settings Database'!M24</f>
        <v>5.5157806522495427</v>
      </c>
      <c r="E52" s="691" t="s">
        <v>279</v>
      </c>
    </row>
    <row r="53" spans="2:10" ht="12.95" customHeight="1">
      <c r="B53" s="703"/>
      <c r="C53" s="702" t="s">
        <v>784</v>
      </c>
      <c r="D53" s="697">
        <f>D52*E32</f>
        <v>0</v>
      </c>
      <c r="E53" s="691" t="s">
        <v>279</v>
      </c>
    </row>
    <row r="54" spans="2:10" ht="15" customHeight="1">
      <c r="B54" s="703"/>
      <c r="C54" s="702" t="s">
        <v>786</v>
      </c>
      <c r="D54" s="697">
        <f>D53+D52</f>
        <v>5.5157806522495427</v>
      </c>
      <c r="E54" s="691" t="s">
        <v>279</v>
      </c>
    </row>
    <row r="55" spans="2:10" ht="15" customHeight="1">
      <c r="B55" s="704"/>
      <c r="C55" s="702" t="s">
        <v>781</v>
      </c>
      <c r="D55" s="705">
        <f>'4.1-Settings Database'!M23</f>
        <v>0.11536719250000002</v>
      </c>
      <c r="E55" s="691" t="s">
        <v>279</v>
      </c>
    </row>
    <row r="56" spans="2:10">
      <c r="B56" s="704"/>
      <c r="C56" s="702" t="s">
        <v>780</v>
      </c>
      <c r="D56" s="705">
        <f>D55*E29</f>
        <v>0</v>
      </c>
      <c r="E56" s="691" t="s">
        <v>279</v>
      </c>
    </row>
    <row r="57" spans="2:10">
      <c r="B57" s="706"/>
      <c r="C57" s="702" t="s">
        <v>782</v>
      </c>
      <c r="D57" s="705">
        <f>D56+D55</f>
        <v>0.11536719250000002</v>
      </c>
      <c r="E57" s="691" t="s">
        <v>279</v>
      </c>
      <c r="J57" s="707"/>
    </row>
    <row r="58" spans="2:10" ht="15" customHeight="1">
      <c r="B58" s="701" t="s">
        <v>584</v>
      </c>
      <c r="C58" s="708" t="s">
        <v>579</v>
      </c>
      <c r="D58" s="697">
        <f>((D51-D51*E21)*E22)*'4.1-Settings Database'!$J$36</f>
        <v>0</v>
      </c>
      <c r="E58" s="691" t="s">
        <v>279</v>
      </c>
    </row>
    <row r="59" spans="2:10" ht="15" customHeight="1">
      <c r="B59" s="709"/>
      <c r="C59" s="708" t="s">
        <v>639</v>
      </c>
      <c r="D59" s="697">
        <f>'4.1-Settings Database'!$J$39*(($D$51-$D$51*$E$21)*$E$23)</f>
        <v>0</v>
      </c>
      <c r="E59" s="691" t="s">
        <v>279</v>
      </c>
    </row>
    <row r="60" spans="2:10">
      <c r="B60" s="706"/>
      <c r="C60" s="708" t="s">
        <v>640</v>
      </c>
      <c r="D60" s="697">
        <f>'4.1-Settings Database'!$J$38*(($D$51-$D$51*$E$21)*$E$23)</f>
        <v>0</v>
      </c>
      <c r="E60" s="691" t="s">
        <v>279</v>
      </c>
    </row>
    <row r="61" spans="2:10">
      <c r="B61" s="710" t="s">
        <v>313</v>
      </c>
      <c r="C61" s="702" t="s">
        <v>580</v>
      </c>
      <c r="D61" s="697">
        <f>'4.1-Settings Database'!M25</f>
        <v>1019.4449999999999</v>
      </c>
      <c r="E61" s="691" t="s">
        <v>279</v>
      </c>
    </row>
    <row r="62" spans="2:10">
      <c r="B62" s="661"/>
      <c r="C62" s="711"/>
      <c r="D62" s="712"/>
      <c r="E62" s="669"/>
    </row>
    <row r="64" spans="2:10" ht="18.75">
      <c r="B64" s="653" t="s">
        <v>1009</v>
      </c>
      <c r="C64" s="713"/>
      <c r="D64" s="714"/>
      <c r="E64" s="715"/>
      <c r="F64" s="654"/>
      <c r="G64" s="654"/>
      <c r="H64" s="654"/>
    </row>
    <row r="65" spans="2:12">
      <c r="B65" s="661"/>
      <c r="C65" s="711"/>
      <c r="D65" s="712"/>
      <c r="E65" s="669"/>
    </row>
    <row r="66" spans="2:12">
      <c r="B66" s="687" t="s">
        <v>839</v>
      </c>
      <c r="C66" s="687" t="s">
        <v>798</v>
      </c>
      <c r="D66" s="687" t="s">
        <v>78</v>
      </c>
      <c r="E66" s="687" t="s">
        <v>798</v>
      </c>
      <c r="F66" s="687" t="s">
        <v>78</v>
      </c>
      <c r="G66" s="687" t="s">
        <v>838</v>
      </c>
    </row>
    <row r="67" spans="2:12">
      <c r="B67" s="716" t="s">
        <v>551</v>
      </c>
      <c r="C67" s="717">
        <f>E26*E15</f>
        <v>0</v>
      </c>
      <c r="D67" s="718" t="s">
        <v>279</v>
      </c>
      <c r="E67" s="719">
        <f t="shared" ref="E67:E74" si="0">C67*1000/Staff_Days_Operation</f>
        <v>0</v>
      </c>
      <c r="F67" s="718" t="s">
        <v>897</v>
      </c>
      <c r="G67" s="720">
        <f t="shared" ref="G67:G74" si="1">C67/SUM(General_Products_Amount)</f>
        <v>0</v>
      </c>
    </row>
    <row r="68" spans="2:12">
      <c r="B68" s="721" t="s">
        <v>310</v>
      </c>
      <c r="C68" s="717">
        <f>$E$21*$D$51*(1-$E$35)</f>
        <v>273.49548935595612</v>
      </c>
      <c r="D68" s="718" t="s">
        <v>279</v>
      </c>
      <c r="E68" s="719">
        <f t="shared" si="0"/>
        <v>749.30271056426341</v>
      </c>
      <c r="F68" s="718" t="s">
        <v>897</v>
      </c>
      <c r="G68" s="720">
        <f t="shared" si="1"/>
        <v>1</v>
      </c>
    </row>
    <row r="69" spans="2:12">
      <c r="B69" s="716" t="s">
        <v>571</v>
      </c>
      <c r="C69" s="722">
        <f>General_DriedLarv_TotalProd*(1-$E$35)</f>
        <v>0</v>
      </c>
      <c r="D69" s="718" t="s">
        <v>279</v>
      </c>
      <c r="E69" s="719">
        <f t="shared" si="0"/>
        <v>0</v>
      </c>
      <c r="F69" s="718" t="s">
        <v>897</v>
      </c>
      <c r="G69" s="720">
        <f t="shared" si="1"/>
        <v>0</v>
      </c>
    </row>
    <row r="70" spans="2:12">
      <c r="B70" s="716" t="s">
        <v>638</v>
      </c>
      <c r="C70" s="722">
        <f>General_Meal_TotalProd*(1-$E$35)</f>
        <v>0</v>
      </c>
      <c r="D70" s="718" t="s">
        <v>279</v>
      </c>
      <c r="E70" s="719">
        <f t="shared" si="0"/>
        <v>0</v>
      </c>
      <c r="F70" s="718" t="s">
        <v>897</v>
      </c>
      <c r="G70" s="720">
        <f t="shared" si="1"/>
        <v>0</v>
      </c>
    </row>
    <row r="71" spans="2:12">
      <c r="B71" s="716" t="s">
        <v>704</v>
      </c>
      <c r="C71" s="722">
        <f>General_Oil_TotalProd*(1-$E$35)</f>
        <v>0</v>
      </c>
      <c r="D71" s="718" t="s">
        <v>279</v>
      </c>
      <c r="E71" s="719">
        <f t="shared" si="0"/>
        <v>0</v>
      </c>
      <c r="F71" s="718" t="s">
        <v>897</v>
      </c>
      <c r="G71" s="720">
        <f t="shared" si="1"/>
        <v>0</v>
      </c>
    </row>
    <row r="72" spans="2:12">
      <c r="B72" s="723" t="s">
        <v>146</v>
      </c>
      <c r="C72" s="724">
        <f>$D$56*$E$30*(1-$E$35)</f>
        <v>0</v>
      </c>
      <c r="D72" s="718" t="s">
        <v>279</v>
      </c>
      <c r="E72" s="719">
        <f t="shared" si="0"/>
        <v>0</v>
      </c>
      <c r="F72" s="718" t="s">
        <v>897</v>
      </c>
      <c r="G72" s="720">
        <f t="shared" si="1"/>
        <v>0</v>
      </c>
    </row>
    <row r="73" spans="2:12">
      <c r="B73" s="723" t="s">
        <v>110</v>
      </c>
      <c r="C73" s="725">
        <f>$D$53*$E$33*(1-$E$35)</f>
        <v>0</v>
      </c>
      <c r="D73" s="718" t="s">
        <v>279</v>
      </c>
      <c r="E73" s="719">
        <f t="shared" si="0"/>
        <v>0</v>
      </c>
      <c r="F73" s="718" t="s">
        <v>897</v>
      </c>
      <c r="G73" s="720">
        <f t="shared" si="1"/>
        <v>0</v>
      </c>
    </row>
    <row r="74" spans="2:12" ht="15.75" thickBot="1">
      <c r="B74" s="726" t="s">
        <v>117</v>
      </c>
      <c r="C74" s="727">
        <f>E27*General_Residue_TotalProd*'4.1-Settings Database'!J41*(1-$E$35)</f>
        <v>0</v>
      </c>
      <c r="D74" s="728" t="s">
        <v>279</v>
      </c>
      <c r="E74" s="729">
        <f t="shared" si="0"/>
        <v>0</v>
      </c>
      <c r="F74" s="728" t="s">
        <v>897</v>
      </c>
      <c r="G74" s="730">
        <f t="shared" si="1"/>
        <v>0</v>
      </c>
    </row>
    <row r="75" spans="2:12">
      <c r="B75" s="710" t="s">
        <v>850</v>
      </c>
      <c r="C75" s="731">
        <f>SUM(General_Products_Amount)</f>
        <v>273.49548935595612</v>
      </c>
      <c r="D75" s="706" t="s">
        <v>279</v>
      </c>
      <c r="E75" s="731">
        <f>SUM(E67:E74)</f>
        <v>749.30271056426341</v>
      </c>
      <c r="F75" s="706" t="s">
        <v>563</v>
      </c>
      <c r="G75" s="732">
        <f>SUM(G67:G74)</f>
        <v>1</v>
      </c>
    </row>
    <row r="76" spans="2:12">
      <c r="B76" s="661"/>
      <c r="C76" s="711"/>
      <c r="D76" s="712"/>
      <c r="E76" s="669"/>
    </row>
    <row r="77" spans="2:12" ht="15" customHeight="1">
      <c r="I77" s="504"/>
      <c r="J77" s="504"/>
    </row>
    <row r="78" spans="2:12" ht="15" customHeight="1">
      <c r="B78" s="653" t="s">
        <v>901</v>
      </c>
      <c r="C78" s="654"/>
      <c r="D78" s="654"/>
      <c r="E78" s="654"/>
      <c r="F78" s="654"/>
      <c r="G78" s="654"/>
      <c r="H78" s="654"/>
    </row>
    <row r="79" spans="2:12" ht="15" customHeight="1">
      <c r="B79" s="656" t="s">
        <v>1066</v>
      </c>
    </row>
    <row r="80" spans="2:12" ht="15" customHeight="1">
      <c r="J80" s="504"/>
      <c r="K80" s="504"/>
      <c r="L80" s="504"/>
    </row>
    <row r="81" spans="2:12" ht="14.45" customHeight="1">
      <c r="B81" s="660" t="s">
        <v>802</v>
      </c>
      <c r="C81" s="660" t="s">
        <v>193</v>
      </c>
      <c r="D81" s="660" t="s">
        <v>812</v>
      </c>
      <c r="E81" s="660" t="s">
        <v>803</v>
      </c>
      <c r="F81" s="660" t="s">
        <v>78</v>
      </c>
      <c r="G81" s="660" t="s">
        <v>815</v>
      </c>
      <c r="H81" s="660" t="s">
        <v>78</v>
      </c>
      <c r="J81" s="661"/>
      <c r="K81" s="504"/>
      <c r="L81" s="504"/>
    </row>
    <row r="82" spans="2:12">
      <c r="B82" s="505" t="s">
        <v>1079</v>
      </c>
      <c r="C82" s="505" t="s">
        <v>1080</v>
      </c>
      <c r="D82" s="505" t="s">
        <v>723</v>
      </c>
      <c r="E82" s="769" t="s">
        <v>564</v>
      </c>
      <c r="J82" s="504"/>
      <c r="K82" s="504"/>
      <c r="L82" s="504"/>
    </row>
    <row r="83" spans="2:12">
      <c r="J83" s="504"/>
      <c r="K83" s="504"/>
      <c r="L83" s="504"/>
    </row>
    <row r="84" spans="2:12">
      <c r="B84" s="867" t="s">
        <v>857</v>
      </c>
      <c r="C84" s="865" t="s">
        <v>1061</v>
      </c>
      <c r="D84" s="681" t="s">
        <v>1062</v>
      </c>
      <c r="E84" s="770">
        <v>8.33</v>
      </c>
      <c r="F84" s="681" t="s">
        <v>641</v>
      </c>
      <c r="G84" s="733">
        <f>IFERROR((E84)/(INDEX(Settings_Currency_Table[],MATCH(General_Currency_Selection,Settings_Currency,0),2)),0)</f>
        <v>8.33</v>
      </c>
      <c r="H84" s="681" t="s">
        <v>641</v>
      </c>
      <c r="J84" s="734"/>
      <c r="K84" s="504"/>
      <c r="L84" s="504"/>
    </row>
    <row r="85" spans="2:12">
      <c r="B85" s="867"/>
      <c r="C85" s="865"/>
      <c r="D85" s="504" t="s">
        <v>310</v>
      </c>
      <c r="E85" s="770">
        <v>1.1199999999999999</v>
      </c>
      <c r="F85" s="681" t="s">
        <v>728</v>
      </c>
      <c r="G85" s="733">
        <f>IFERROR((E85*1000)/(INDEX(Settings_Currency_Table[],MATCH(General_Currency_Selection,Settings_Currency,0),2)),0)</f>
        <v>1119.9999999999998</v>
      </c>
      <c r="H85" s="681" t="s">
        <v>641</v>
      </c>
      <c r="J85" s="734"/>
      <c r="K85" s="504"/>
      <c r="L85" s="504"/>
    </row>
    <row r="86" spans="2:12">
      <c r="B86" s="867"/>
      <c r="C86" s="865"/>
      <c r="D86" s="681" t="s">
        <v>571</v>
      </c>
      <c r="E86" s="771">
        <v>7.6999999999999993</v>
      </c>
      <c r="F86" s="681" t="s">
        <v>728</v>
      </c>
      <c r="G86" s="733">
        <f>IFERROR((E86*1000)/(INDEX(Settings_Currency_Table[],MATCH(General_Currency_Selection,Settings_Currency,0),2)),0)</f>
        <v>7699.9999999999991</v>
      </c>
      <c r="H86" s="681" t="s">
        <v>641</v>
      </c>
      <c r="J86" s="734"/>
      <c r="K86" s="662"/>
      <c r="L86" s="504"/>
    </row>
    <row r="87" spans="2:12" ht="14.45" customHeight="1">
      <c r="B87" s="867"/>
      <c r="C87" s="865"/>
      <c r="D87" s="681" t="s">
        <v>638</v>
      </c>
      <c r="E87" s="771">
        <v>10.499999999999998</v>
      </c>
      <c r="F87" s="681" t="s">
        <v>728</v>
      </c>
      <c r="G87" s="733">
        <f>IFERROR((E87*1000)/(INDEX(Settings_Currency_Table[],MATCH(General_Currency_Selection,Settings_Currency,0),2)),0)</f>
        <v>10499.999999999998</v>
      </c>
      <c r="H87" s="681" t="s">
        <v>641</v>
      </c>
      <c r="J87" s="734"/>
      <c r="K87" s="504"/>
      <c r="L87" s="504"/>
    </row>
    <row r="88" spans="2:12">
      <c r="B88" s="867"/>
      <c r="C88" s="865"/>
      <c r="D88" s="681" t="s">
        <v>704</v>
      </c>
      <c r="E88" s="771">
        <v>9.7999999999999989</v>
      </c>
      <c r="F88" s="681" t="s">
        <v>728</v>
      </c>
      <c r="G88" s="733">
        <f>IFERROR((E88*1000)/(INDEX(Settings_Currency_Table[],MATCH(General_Currency_Selection,Settings_Currency,0),2)),0)</f>
        <v>9799.9999999999982</v>
      </c>
      <c r="H88" s="681" t="s">
        <v>641</v>
      </c>
      <c r="J88" s="734"/>
      <c r="K88" s="504"/>
      <c r="L88" s="504"/>
    </row>
    <row r="89" spans="2:12">
      <c r="B89" s="867"/>
      <c r="C89" s="865"/>
      <c r="D89" s="735" t="s">
        <v>146</v>
      </c>
      <c r="E89" s="771">
        <v>1050</v>
      </c>
      <c r="F89" s="681" t="s">
        <v>728</v>
      </c>
      <c r="G89" s="733">
        <f>IFERROR((E89*1000)/(INDEX(Settings_Currency_Table[],MATCH(General_Currency_Selection,Settings_Currency,0),2)),0)</f>
        <v>1050000</v>
      </c>
      <c r="H89" s="681" t="s">
        <v>641</v>
      </c>
      <c r="J89" s="734"/>
      <c r="K89" s="504"/>
      <c r="L89" s="504"/>
    </row>
    <row r="90" spans="2:12" ht="14.45" customHeight="1">
      <c r="B90" s="867"/>
      <c r="C90" s="865"/>
      <c r="D90" s="735" t="s">
        <v>110</v>
      </c>
      <c r="E90" s="771">
        <v>52.499999999999993</v>
      </c>
      <c r="F90" s="681" t="s">
        <v>728</v>
      </c>
      <c r="G90" s="733">
        <f>IFERROR((E90*1000)/(INDEX(Settings_Currency_Table[],MATCH(General_Currency_Selection,Settings_Currency,0),2)),0)</f>
        <v>52499.999999999993</v>
      </c>
      <c r="H90" s="681" t="s">
        <v>641</v>
      </c>
      <c r="J90" s="734"/>
      <c r="K90" s="504"/>
      <c r="L90" s="504"/>
    </row>
    <row r="91" spans="2:12" ht="14.45" customHeight="1">
      <c r="B91" s="867"/>
      <c r="C91" s="865"/>
      <c r="D91" s="681" t="s">
        <v>117</v>
      </c>
      <c r="E91" s="770">
        <v>6.9999999999999993E-2</v>
      </c>
      <c r="F91" s="681" t="s">
        <v>728</v>
      </c>
      <c r="G91" s="733">
        <f>IFERROR((E91*1000)/(INDEX(Settings_Currency_Table[],MATCH(General_Currency_Selection,Settings_Currency,0),2)),0)</f>
        <v>69.999999999999986</v>
      </c>
      <c r="H91" s="681" t="s">
        <v>641</v>
      </c>
      <c r="J91" s="734"/>
      <c r="K91" s="504"/>
      <c r="L91" s="504"/>
    </row>
    <row r="92" spans="2:12" ht="14.45" customHeight="1">
      <c r="E92" s="736">
        <v>0</v>
      </c>
      <c r="F92" s="504"/>
      <c r="H92" s="504"/>
      <c r="J92" s="734"/>
      <c r="K92" s="504"/>
      <c r="L92" s="504"/>
    </row>
    <row r="93" spans="2:12">
      <c r="B93" s="656" t="s">
        <v>813</v>
      </c>
      <c r="C93" s="865" t="s">
        <v>817</v>
      </c>
      <c r="D93" s="737" t="s">
        <v>101</v>
      </c>
      <c r="E93" s="772">
        <v>0.105</v>
      </c>
      <c r="F93" s="681" t="s">
        <v>726</v>
      </c>
      <c r="G93" s="738">
        <f>IFERROR(E93/(INDEX(Settings_Currency_Table[],MATCH(General_Currency_Selection,Settings_Currency,0),2)),0)</f>
        <v>0.105</v>
      </c>
      <c r="H93" s="681" t="s">
        <v>726</v>
      </c>
      <c r="J93" s="734"/>
      <c r="K93" s="504"/>
      <c r="L93" s="504"/>
    </row>
    <row r="94" spans="2:12">
      <c r="C94" s="865"/>
      <c r="D94" s="737" t="s">
        <v>102</v>
      </c>
      <c r="E94" s="772">
        <v>0.21</v>
      </c>
      <c r="F94" s="681" t="s">
        <v>727</v>
      </c>
      <c r="G94" s="738">
        <f>IFERROR(E94/(INDEX(Settings_Currency_Table[],MATCH(General_Currency_Selection,Settings_Currency,0),2)),0)</f>
        <v>0.21</v>
      </c>
      <c r="H94" s="681" t="s">
        <v>727</v>
      </c>
      <c r="J94" s="734"/>
      <c r="K94" s="504"/>
      <c r="L94" s="504"/>
    </row>
    <row r="95" spans="2:12" ht="14.45" customHeight="1">
      <c r="C95" s="865"/>
      <c r="D95" s="737" t="s">
        <v>107</v>
      </c>
      <c r="E95" s="772">
        <v>0.35</v>
      </c>
      <c r="F95" s="681" t="s">
        <v>728</v>
      </c>
      <c r="G95" s="738">
        <f>IFERROR(E95/(INDEX(Settings_Currency_Table[],MATCH(General_Currency_Selection,Settings_Currency,0),2)),0)</f>
        <v>0.35</v>
      </c>
      <c r="H95" s="681" t="s">
        <v>728</v>
      </c>
      <c r="J95" s="734"/>
      <c r="K95" s="504"/>
      <c r="L95" s="504"/>
    </row>
    <row r="96" spans="2:12" ht="14.45" customHeight="1">
      <c r="C96" s="865"/>
      <c r="D96" s="737" t="s">
        <v>523</v>
      </c>
      <c r="E96" s="772">
        <v>0.55999999999999994</v>
      </c>
      <c r="F96" s="681" t="s">
        <v>728</v>
      </c>
      <c r="G96" s="738">
        <f>IFERROR(E96/(INDEX(Settings_Currency_Table[],MATCH(General_Currency_Selection,Settings_Currency,0),2)),0)</f>
        <v>0.55999999999999994</v>
      </c>
      <c r="H96" s="681" t="s">
        <v>728</v>
      </c>
      <c r="J96" s="734"/>
      <c r="K96" s="504"/>
      <c r="L96" s="504"/>
    </row>
    <row r="97" spans="2:13">
      <c r="C97" s="865"/>
      <c r="D97" s="737" t="s">
        <v>522</v>
      </c>
      <c r="E97" s="772">
        <v>0.37799999999999995</v>
      </c>
      <c r="F97" s="681" t="s">
        <v>728</v>
      </c>
      <c r="G97" s="738">
        <f>IFERROR(E97/(INDEX(Settings_Currency_Table[],MATCH(General_Currency_Selection,Settings_Currency,0),2)),0)</f>
        <v>0.37799999999999995</v>
      </c>
      <c r="H97" s="681" t="s">
        <v>728</v>
      </c>
      <c r="J97" s="734"/>
      <c r="K97" s="504"/>
      <c r="L97" s="504"/>
    </row>
    <row r="98" spans="2:13" ht="18.75">
      <c r="B98" s="739"/>
      <c r="E98" s="736">
        <v>0</v>
      </c>
      <c r="F98" s="504"/>
      <c r="H98" s="504"/>
      <c r="J98" s="734"/>
      <c r="K98" s="504"/>
      <c r="L98" s="504"/>
    </row>
    <row r="99" spans="2:13">
      <c r="B99" s="656" t="s">
        <v>856</v>
      </c>
      <c r="C99" s="505" t="s">
        <v>824</v>
      </c>
      <c r="D99" s="740" t="s">
        <v>650</v>
      </c>
      <c r="E99" s="773">
        <v>6.9999999999999991</v>
      </c>
      <c r="F99" s="681" t="s">
        <v>1063</v>
      </c>
      <c r="G99" s="738">
        <f>IFERROR(E99/(INDEX(Settings_Currency_Table[],MATCH(General_Currency_Selection,Settings_Currency,0),2)),0)</f>
        <v>6.9999999999999991</v>
      </c>
      <c r="H99" s="681" t="s">
        <v>724</v>
      </c>
      <c r="I99" s="661"/>
      <c r="J99" s="734"/>
      <c r="K99" s="504"/>
      <c r="L99" s="504"/>
    </row>
    <row r="100" spans="2:13" ht="14.45" customHeight="1">
      <c r="B100" s="509"/>
      <c r="D100" s="740" t="s">
        <v>712</v>
      </c>
      <c r="E100" s="773">
        <v>104.99999999999999</v>
      </c>
      <c r="F100" s="681" t="s">
        <v>703</v>
      </c>
      <c r="G100" s="738">
        <f>IFERROR(E100/(INDEX(Settings_Currency_Table[],MATCH(General_Currency_Selection,Settings_Currency,0),2)),0)</f>
        <v>104.99999999999999</v>
      </c>
      <c r="H100" s="681" t="s">
        <v>703</v>
      </c>
      <c r="J100" s="734"/>
      <c r="K100" s="504"/>
      <c r="L100" s="504"/>
    </row>
    <row r="101" spans="2:13">
      <c r="B101" s="661"/>
      <c r="C101" s="661"/>
      <c r="D101" s="740" t="s">
        <v>716</v>
      </c>
      <c r="E101" s="771">
        <v>52.499999999999993</v>
      </c>
      <c r="F101" s="681" t="s">
        <v>777</v>
      </c>
      <c r="G101" s="738">
        <f>IFERROR(E101/(INDEX(Settings_Currency_Table[],MATCH(General_Currency_Selection,Settings_Currency,0),2)),0)</f>
        <v>52.499999999999993</v>
      </c>
      <c r="H101" s="681" t="s">
        <v>777</v>
      </c>
      <c r="J101" s="734"/>
      <c r="K101" s="504"/>
      <c r="L101" s="504"/>
    </row>
    <row r="102" spans="2:13">
      <c r="D102" s="740" t="s">
        <v>686</v>
      </c>
      <c r="E102" s="774">
        <v>0.3</v>
      </c>
      <c r="F102" s="681" t="s">
        <v>668</v>
      </c>
      <c r="G102" s="741"/>
      <c r="H102" s="681" t="s">
        <v>668</v>
      </c>
      <c r="J102" s="504"/>
      <c r="K102" s="504"/>
      <c r="L102" s="504"/>
      <c r="M102" s="742"/>
    </row>
    <row r="103" spans="2:13" ht="14.45" customHeight="1">
      <c r="B103" s="504"/>
      <c r="C103" s="504"/>
      <c r="D103" s="740" t="s">
        <v>687</v>
      </c>
      <c r="E103" s="770">
        <v>0</v>
      </c>
      <c r="F103" s="681" t="s">
        <v>725</v>
      </c>
      <c r="G103" s="738">
        <f>IFERROR(E103/(INDEX(Settings_Currency_Table[],MATCH(General_Currency_Selection,Settings_Currency,0),2)),0)</f>
        <v>0</v>
      </c>
      <c r="H103" s="681" t="s">
        <v>725</v>
      </c>
      <c r="J103" s="504"/>
      <c r="K103" s="504"/>
      <c r="L103" s="504"/>
      <c r="M103" s="504"/>
    </row>
    <row r="104" spans="2:13" ht="30">
      <c r="B104" s="504"/>
      <c r="C104" s="682" t="s">
        <v>847</v>
      </c>
      <c r="D104" s="743" t="s">
        <v>848</v>
      </c>
      <c r="E104" s="764">
        <v>10</v>
      </c>
      <c r="F104" s="680" t="s">
        <v>851</v>
      </c>
      <c r="G104" s="744"/>
      <c r="H104" s="681"/>
      <c r="J104" s="504"/>
      <c r="K104" s="504"/>
      <c r="L104" s="504"/>
      <c r="M104" s="504"/>
    </row>
    <row r="105" spans="2:13" ht="14.45" customHeight="1">
      <c r="B105" s="504"/>
      <c r="D105" s="745" t="s">
        <v>791</v>
      </c>
      <c r="E105" s="764">
        <v>35</v>
      </c>
      <c r="F105" s="745" t="s">
        <v>792</v>
      </c>
      <c r="G105" s="744"/>
      <c r="H105" s="681"/>
      <c r="J105" s="504"/>
      <c r="K105" s="504"/>
      <c r="L105" s="504"/>
      <c r="M105" s="504"/>
    </row>
    <row r="106" spans="2:13">
      <c r="C106" s="682"/>
      <c r="D106" s="745" t="s">
        <v>844</v>
      </c>
      <c r="E106" s="764">
        <v>234</v>
      </c>
      <c r="F106" s="737" t="s">
        <v>814</v>
      </c>
      <c r="J106" s="504"/>
      <c r="K106" s="504"/>
      <c r="L106" s="504"/>
      <c r="M106" s="504"/>
    </row>
    <row r="107" spans="2:13">
      <c r="J107" s="504"/>
      <c r="K107" s="504"/>
      <c r="L107" s="504"/>
      <c r="M107" s="504"/>
    </row>
    <row r="108" spans="2:13">
      <c r="B108" s="656" t="s">
        <v>881</v>
      </c>
      <c r="C108" s="505" t="s">
        <v>922</v>
      </c>
      <c r="D108" s="505" t="s">
        <v>923</v>
      </c>
      <c r="E108" s="775">
        <v>2.5000000000000001E-2</v>
      </c>
      <c r="F108" s="505" t="s">
        <v>852</v>
      </c>
      <c r="J108" s="504"/>
      <c r="K108" s="504"/>
      <c r="L108" s="504"/>
      <c r="M108" s="504"/>
    </row>
    <row r="109" spans="2:13">
      <c r="B109" s="656"/>
      <c r="C109" s="505" t="s">
        <v>882</v>
      </c>
      <c r="D109" s="505" t="s">
        <v>893</v>
      </c>
      <c r="E109" s="775">
        <v>0</v>
      </c>
      <c r="F109" s="505" t="s">
        <v>884</v>
      </c>
      <c r="J109" s="504"/>
      <c r="K109" s="504"/>
      <c r="L109" s="504"/>
      <c r="M109" s="504"/>
    </row>
    <row r="110" spans="2:13">
      <c r="C110" s="505" t="s">
        <v>941</v>
      </c>
      <c r="D110" s="737" t="s">
        <v>892</v>
      </c>
      <c r="E110" s="766">
        <v>0.05</v>
      </c>
      <c r="F110" s="681" t="s">
        <v>852</v>
      </c>
      <c r="J110" s="504"/>
      <c r="K110" s="504"/>
      <c r="L110" s="661"/>
      <c r="M110" s="661"/>
    </row>
    <row r="111" spans="2:13">
      <c r="C111" s="505" t="s">
        <v>942</v>
      </c>
      <c r="D111" s="737" t="s">
        <v>853</v>
      </c>
      <c r="E111" s="766">
        <v>0</v>
      </c>
      <c r="F111" s="681" t="s">
        <v>852</v>
      </c>
      <c r="J111" s="504"/>
      <c r="K111" s="504"/>
      <c r="L111" s="661"/>
      <c r="M111" s="661"/>
    </row>
    <row r="112" spans="2:13">
      <c r="E112" s="776"/>
      <c r="G112" s="504"/>
      <c r="H112" s="504"/>
      <c r="I112" s="504"/>
      <c r="J112" s="504"/>
      <c r="K112" s="504"/>
      <c r="L112" s="504"/>
      <c r="M112" s="504"/>
    </row>
    <row r="113" spans="2:13">
      <c r="B113" s="656" t="s">
        <v>184</v>
      </c>
      <c r="C113" s="505" t="s">
        <v>898</v>
      </c>
      <c r="D113" s="740" t="s">
        <v>894</v>
      </c>
      <c r="E113" s="777">
        <v>30</v>
      </c>
      <c r="F113" s="657" t="s">
        <v>570</v>
      </c>
      <c r="G113" s="504"/>
      <c r="H113" s="504"/>
      <c r="I113" s="504"/>
      <c r="J113" s="504"/>
      <c r="K113" s="504"/>
      <c r="L113" s="504"/>
      <c r="M113" s="504"/>
    </row>
    <row r="114" spans="2:13">
      <c r="B114" s="656"/>
      <c r="D114" s="740" t="s">
        <v>895</v>
      </c>
      <c r="E114" s="777">
        <f>2/3</f>
        <v>0.66666666666666663</v>
      </c>
      <c r="F114" s="657" t="s">
        <v>896</v>
      </c>
      <c r="G114" s="504"/>
      <c r="H114" s="504"/>
      <c r="I114" s="504"/>
      <c r="J114" s="504"/>
      <c r="K114" s="504"/>
      <c r="L114" s="504"/>
      <c r="M114" s="504"/>
    </row>
    <row r="115" spans="2:13">
      <c r="G115" s="504"/>
      <c r="H115" s="504"/>
      <c r="I115" s="504"/>
      <c r="J115" s="504"/>
      <c r="K115" s="504"/>
      <c r="L115" s="504"/>
      <c r="M115" s="504"/>
    </row>
    <row r="116" spans="2:13" ht="14.45" customHeight="1">
      <c r="B116" s="674" t="s">
        <v>821</v>
      </c>
      <c r="C116" s="865" t="s">
        <v>869</v>
      </c>
      <c r="D116" s="746" t="s">
        <v>823</v>
      </c>
      <c r="E116" s="778">
        <v>15</v>
      </c>
      <c r="F116" s="675" t="s">
        <v>854</v>
      </c>
      <c r="G116" s="747"/>
      <c r="J116" s="504"/>
      <c r="K116" s="504"/>
      <c r="L116" s="504"/>
    </row>
    <row r="117" spans="2:13">
      <c r="C117" s="865"/>
      <c r="D117" s="740" t="s">
        <v>855</v>
      </c>
      <c r="E117" s="766">
        <v>0.05</v>
      </c>
      <c r="F117" s="681" t="s">
        <v>758</v>
      </c>
      <c r="J117" s="504"/>
      <c r="K117" s="504"/>
      <c r="L117" s="504"/>
    </row>
    <row r="118" spans="2:13">
      <c r="C118" s="865"/>
      <c r="D118" s="740" t="s">
        <v>132</v>
      </c>
      <c r="E118" s="777">
        <v>70</v>
      </c>
      <c r="F118" s="681" t="s">
        <v>773</v>
      </c>
      <c r="G118" s="747"/>
      <c r="J118" s="504"/>
      <c r="K118" s="504"/>
      <c r="L118" s="504"/>
    </row>
    <row r="119" spans="2:13">
      <c r="C119" s="865"/>
      <c r="D119" s="740" t="s">
        <v>120</v>
      </c>
      <c r="E119" s="777">
        <v>3</v>
      </c>
      <c r="F119" s="681" t="s">
        <v>822</v>
      </c>
      <c r="G119" s="747"/>
      <c r="J119" s="504"/>
      <c r="K119" s="504"/>
      <c r="L119" s="504"/>
    </row>
    <row r="120" spans="2:13">
      <c r="F120" s="504"/>
      <c r="G120" s="747"/>
      <c r="J120" s="504"/>
      <c r="K120" s="504"/>
      <c r="L120" s="504"/>
    </row>
    <row r="121" spans="2:13">
      <c r="B121" s="656" t="s">
        <v>799</v>
      </c>
      <c r="C121" s="505" t="s">
        <v>874</v>
      </c>
      <c r="D121" s="737" t="s">
        <v>594</v>
      </c>
      <c r="E121" s="777">
        <v>8</v>
      </c>
      <c r="F121" s="504" t="s">
        <v>450</v>
      </c>
      <c r="G121" s="747"/>
      <c r="J121" s="504"/>
      <c r="K121" s="504"/>
      <c r="L121" s="504"/>
    </row>
    <row r="122" spans="2:13">
      <c r="D122" s="737" t="s">
        <v>568</v>
      </c>
      <c r="E122" s="777">
        <v>7</v>
      </c>
      <c r="F122" s="504" t="s">
        <v>547</v>
      </c>
      <c r="G122" s="747"/>
      <c r="J122" s="504"/>
      <c r="K122" s="504"/>
      <c r="L122" s="504"/>
    </row>
    <row r="123" spans="2:13" ht="14.45" customHeight="1">
      <c r="D123" s="737" t="s">
        <v>567</v>
      </c>
      <c r="E123" s="777">
        <v>52</v>
      </c>
      <c r="F123" s="504" t="s">
        <v>545</v>
      </c>
      <c r="G123" s="747"/>
      <c r="J123" s="504"/>
      <c r="K123" s="504"/>
      <c r="L123" s="504"/>
    </row>
    <row r="124" spans="2:13">
      <c r="D124" s="748" t="s">
        <v>569</v>
      </c>
      <c r="E124" s="749">
        <f>E123*E122+1</f>
        <v>365</v>
      </c>
      <c r="F124" s="504" t="s">
        <v>570</v>
      </c>
      <c r="G124" s="747"/>
      <c r="J124" s="504"/>
      <c r="K124" s="504"/>
      <c r="L124" s="504"/>
    </row>
    <row r="125" spans="2:13">
      <c r="G125" s="747"/>
      <c r="H125" s="504"/>
      <c r="I125" s="504"/>
      <c r="J125" s="504"/>
      <c r="K125" s="504"/>
      <c r="L125" s="504"/>
      <c r="M125" s="504"/>
    </row>
    <row r="126" spans="2:13">
      <c r="B126" s="656" t="s">
        <v>261</v>
      </c>
      <c r="C126" s="505" t="s">
        <v>875</v>
      </c>
      <c r="D126" s="737" t="s">
        <v>979</v>
      </c>
      <c r="E126" s="777">
        <v>52</v>
      </c>
      <c r="F126" s="504" t="s">
        <v>545</v>
      </c>
      <c r="G126" s="747"/>
      <c r="H126" s="504"/>
      <c r="I126" s="504"/>
      <c r="J126" s="504"/>
      <c r="K126" s="504"/>
      <c r="L126" s="504"/>
      <c r="M126" s="504"/>
    </row>
    <row r="127" spans="2:13">
      <c r="D127" s="737" t="s">
        <v>980</v>
      </c>
      <c r="E127" s="777">
        <v>40</v>
      </c>
      <c r="F127" s="504" t="s">
        <v>450</v>
      </c>
      <c r="G127" s="747"/>
      <c r="H127" s="504"/>
      <c r="I127" s="504"/>
      <c r="J127" s="504"/>
      <c r="K127" s="504"/>
      <c r="L127" s="504"/>
      <c r="M127" s="504"/>
    </row>
    <row r="128" spans="2:13">
      <c r="D128" s="737" t="s">
        <v>981</v>
      </c>
      <c r="E128" s="777">
        <v>8</v>
      </c>
      <c r="F128" s="504" t="s">
        <v>450</v>
      </c>
      <c r="G128" s="747"/>
      <c r="H128" s="504"/>
      <c r="I128" s="504"/>
      <c r="J128" s="504"/>
      <c r="K128" s="504"/>
      <c r="L128" s="504"/>
      <c r="M128" s="504"/>
    </row>
    <row r="129" spans="2:13">
      <c r="D129" s="737" t="s">
        <v>982</v>
      </c>
      <c r="E129" s="777">
        <v>4</v>
      </c>
      <c r="F129" s="504" t="s">
        <v>545</v>
      </c>
      <c r="G129" s="747"/>
      <c r="H129" s="504"/>
      <c r="I129" s="504"/>
      <c r="J129" s="504"/>
      <c r="K129" s="504"/>
      <c r="L129" s="504"/>
      <c r="M129" s="504"/>
    </row>
    <row r="130" spans="2:13" ht="30">
      <c r="D130" s="748" t="s">
        <v>983</v>
      </c>
      <c r="E130" s="750">
        <f>(E126-E129)*E127</f>
        <v>1920</v>
      </c>
      <c r="F130" s="676" t="s">
        <v>546</v>
      </c>
      <c r="H130" s="735"/>
      <c r="I130" s="735"/>
      <c r="J130" s="735"/>
      <c r="K130" s="735"/>
      <c r="L130" s="735"/>
      <c r="M130" s="735"/>
    </row>
    <row r="131" spans="2:13">
      <c r="H131" s="735"/>
      <c r="I131" s="735"/>
      <c r="J131" s="735"/>
      <c r="K131" s="735"/>
      <c r="L131" s="735"/>
      <c r="M131" s="735"/>
    </row>
    <row r="132" spans="2:13">
      <c r="B132" s="867" t="s">
        <v>870</v>
      </c>
      <c r="C132" s="865" t="s">
        <v>876</v>
      </c>
      <c r="D132" s="737" t="s">
        <v>679</v>
      </c>
      <c r="E132" s="738">
        <f>IF(E39="Yes",'5.1-Financial Analysis'!C19,0)</f>
        <v>66321.39499999999</v>
      </c>
      <c r="F132" s="505" t="s">
        <v>858</v>
      </c>
      <c r="H132" s="751"/>
      <c r="I132" s="735"/>
      <c r="J132" s="752"/>
      <c r="K132" s="735"/>
      <c r="L132" s="735"/>
      <c r="M132" s="751"/>
    </row>
    <row r="133" spans="2:13">
      <c r="B133" s="867"/>
      <c r="C133" s="865"/>
      <c r="D133" s="737" t="s">
        <v>680</v>
      </c>
      <c r="E133" s="779">
        <v>0.06</v>
      </c>
      <c r="F133" s="504"/>
      <c r="H133" s="751"/>
      <c r="I133" s="735"/>
      <c r="J133" s="504"/>
      <c r="K133" s="735"/>
      <c r="L133" s="735"/>
      <c r="M133" s="751"/>
    </row>
    <row r="134" spans="2:13">
      <c r="B134" s="735"/>
      <c r="C134" s="865"/>
      <c r="D134" s="737" t="s">
        <v>683</v>
      </c>
      <c r="E134" s="777">
        <v>10</v>
      </c>
      <c r="F134" s="735" t="s">
        <v>800</v>
      </c>
      <c r="H134" s="735"/>
      <c r="I134" s="735"/>
      <c r="J134" s="735"/>
      <c r="K134" s="735"/>
      <c r="L134" s="735"/>
      <c r="M134" s="735"/>
    </row>
    <row r="135" spans="2:13">
      <c r="B135" s="752"/>
      <c r="C135" s="865"/>
      <c r="D135" s="737" t="s">
        <v>682</v>
      </c>
      <c r="E135" s="753">
        <f>E134*12</f>
        <v>120</v>
      </c>
      <c r="F135" s="735" t="s">
        <v>859</v>
      </c>
      <c r="H135" s="752"/>
      <c r="I135" s="752"/>
      <c r="J135" s="752"/>
      <c r="K135" s="752"/>
      <c r="L135" s="735"/>
      <c r="M135" s="752"/>
    </row>
    <row r="136" spans="2:13">
      <c r="C136" s="865"/>
      <c r="D136" s="737" t="s">
        <v>685</v>
      </c>
      <c r="E136" s="754">
        <f>E133/12</f>
        <v>5.0000000000000001E-3</v>
      </c>
      <c r="F136" s="735" t="s">
        <v>827</v>
      </c>
      <c r="H136" s="504"/>
      <c r="I136" s="504"/>
      <c r="J136" s="504"/>
      <c r="K136" s="504"/>
      <c r="L136" s="735"/>
      <c r="M136" s="504"/>
    </row>
    <row r="137" spans="2:13">
      <c r="C137" s="865"/>
      <c r="D137" s="737" t="s">
        <v>684</v>
      </c>
      <c r="E137" s="738">
        <f>IF(ISBLANK(E135),0,-PMT(E136,E135,E132))</f>
        <v>736.30345623703977</v>
      </c>
      <c r="F137" s="735" t="s">
        <v>827</v>
      </c>
      <c r="H137" s="504"/>
      <c r="I137" s="504"/>
      <c r="J137" s="504"/>
      <c r="K137" s="504"/>
      <c r="L137" s="735"/>
      <c r="M137" s="504"/>
    </row>
    <row r="138" spans="2:13">
      <c r="C138" s="865"/>
      <c r="D138" s="745" t="s">
        <v>681</v>
      </c>
      <c r="E138" s="755">
        <f>IF(ISBLANK(E135),0,E135*E137)</f>
        <v>88356.414748444775</v>
      </c>
      <c r="F138" s="669" t="str">
        <f>"after "&amp;E134&amp;" years"</f>
        <v>after 10 years</v>
      </c>
      <c r="H138" s="504"/>
      <c r="I138" s="504"/>
      <c r="J138" s="504"/>
      <c r="K138" s="504"/>
      <c r="L138" s="735"/>
      <c r="M138" s="504"/>
    </row>
    <row r="139" spans="2:13">
      <c r="C139" s="865"/>
      <c r="D139" s="745" t="s">
        <v>741</v>
      </c>
      <c r="E139" s="755">
        <f>E138-E132</f>
        <v>22035.019748444785</v>
      </c>
      <c r="F139" s="669" t="str">
        <f>"after "&amp;E134&amp;" years"</f>
        <v>after 10 years</v>
      </c>
      <c r="H139" s="504"/>
      <c r="I139" s="504"/>
      <c r="J139" s="504"/>
      <c r="K139" s="504"/>
      <c r="L139" s="735"/>
      <c r="M139" s="504"/>
    </row>
    <row r="140" spans="2:13">
      <c r="D140" s="504"/>
      <c r="F140" s="735"/>
      <c r="H140" s="504"/>
      <c r="I140" s="504"/>
      <c r="J140" s="504"/>
      <c r="K140" s="504"/>
      <c r="L140" s="735"/>
      <c r="M140" s="735"/>
    </row>
    <row r="141" spans="2:13">
      <c r="B141" s="656" t="s">
        <v>860</v>
      </c>
      <c r="C141" s="865" t="s">
        <v>877</v>
      </c>
      <c r="D141" s="737" t="s">
        <v>828</v>
      </c>
      <c r="E141" s="779">
        <v>0.17469999999999999</v>
      </c>
      <c r="H141" s="504"/>
      <c r="I141" s="504"/>
      <c r="J141" s="504"/>
      <c r="K141" s="504"/>
      <c r="L141" s="735"/>
      <c r="M141" s="735"/>
    </row>
    <row r="142" spans="2:13">
      <c r="C142" s="865"/>
      <c r="D142" s="504" t="s">
        <v>829</v>
      </c>
      <c r="E142" s="779">
        <v>0.3</v>
      </c>
      <c r="H142" s="735"/>
      <c r="I142" s="735"/>
      <c r="J142" s="735"/>
      <c r="K142" s="735"/>
      <c r="L142" s="735"/>
      <c r="M142" s="735"/>
    </row>
    <row r="143" spans="2:13">
      <c r="B143" s="657"/>
      <c r="C143" s="865"/>
      <c r="D143" s="737" t="s">
        <v>830</v>
      </c>
      <c r="E143" s="779">
        <v>9.6000000000000002E-2</v>
      </c>
      <c r="H143" s="735"/>
      <c r="I143" s="735"/>
      <c r="J143" s="504"/>
      <c r="K143" s="735"/>
      <c r="L143" s="735"/>
      <c r="M143" s="735"/>
    </row>
    <row r="144" spans="2:13">
      <c r="B144" s="751"/>
      <c r="C144" s="865"/>
      <c r="D144" s="504" t="s">
        <v>831</v>
      </c>
      <c r="E144" s="756">
        <f>1-E142</f>
        <v>0.7</v>
      </c>
      <c r="F144" s="504"/>
      <c r="H144" s="751"/>
      <c r="I144" s="735"/>
      <c r="J144" s="504"/>
      <c r="K144" s="735"/>
      <c r="L144" s="735"/>
      <c r="M144" s="866"/>
    </row>
    <row r="145" spans="2:13">
      <c r="B145" s="751"/>
      <c r="C145" s="865"/>
      <c r="D145" s="737" t="s">
        <v>832</v>
      </c>
      <c r="E145" s="779">
        <v>0.22</v>
      </c>
      <c r="F145" s="757"/>
      <c r="H145" s="751"/>
      <c r="I145" s="735"/>
      <c r="J145" s="757"/>
      <c r="K145" s="735"/>
      <c r="L145" s="735"/>
      <c r="M145" s="866"/>
    </row>
    <row r="146" spans="2:13" ht="30">
      <c r="B146" s="735"/>
      <c r="C146" s="865"/>
      <c r="D146" s="578" t="s">
        <v>1032</v>
      </c>
      <c r="E146" s="758">
        <f>(E141*E142)+(E143*E144)*(1-E145)</f>
        <v>0.104826</v>
      </c>
      <c r="F146" s="759" t="s">
        <v>969</v>
      </c>
      <c r="H146" s="760"/>
      <c r="I146" s="735"/>
      <c r="J146" s="735"/>
      <c r="K146" s="735"/>
      <c r="L146" s="735"/>
      <c r="M146" s="504"/>
    </row>
    <row r="147" spans="2:13">
      <c r="B147" s="752"/>
      <c r="C147" s="865"/>
      <c r="D147" s="759" t="s">
        <v>1033</v>
      </c>
      <c r="E147" s="780">
        <v>0.11</v>
      </c>
      <c r="F147" s="676" t="s">
        <v>970</v>
      </c>
      <c r="H147" s="752"/>
      <c r="I147" s="752"/>
      <c r="J147" s="752"/>
      <c r="K147" s="735"/>
      <c r="L147" s="735"/>
      <c r="M147" s="752"/>
    </row>
    <row r="148" spans="2:13" ht="30">
      <c r="C148" s="865"/>
      <c r="D148" s="759" t="s">
        <v>984</v>
      </c>
      <c r="E148" s="781">
        <v>0</v>
      </c>
      <c r="H148" s="504"/>
      <c r="I148" s="504"/>
      <c r="J148" s="744"/>
      <c r="K148" s="735"/>
      <c r="L148" s="735"/>
      <c r="M148" s="504"/>
    </row>
    <row r="149" spans="2:13">
      <c r="F149" s="657"/>
      <c r="H149" s="504"/>
      <c r="I149" s="504"/>
      <c r="J149" s="735"/>
      <c r="K149" s="735"/>
      <c r="L149" s="735"/>
      <c r="M149" s="504"/>
    </row>
    <row r="150" spans="2:13">
      <c r="E150" s="761"/>
      <c r="F150" s="735"/>
      <c r="G150" s="532"/>
      <c r="H150" s="504"/>
      <c r="I150" s="504"/>
      <c r="J150" s="735"/>
      <c r="K150" s="735"/>
      <c r="L150" s="735"/>
      <c r="M150" s="735"/>
    </row>
    <row r="151" spans="2:13">
      <c r="E151" s="761"/>
      <c r="F151" s="735"/>
      <c r="G151" s="532"/>
      <c r="H151" s="504"/>
      <c r="I151" s="504"/>
      <c r="J151" s="735"/>
      <c r="K151" s="735"/>
      <c r="L151" s="735"/>
      <c r="M151" s="504"/>
    </row>
    <row r="152" spans="2:13">
      <c r="E152" s="761"/>
      <c r="F152" s="735"/>
      <c r="G152" s="532"/>
      <c r="H152" s="504"/>
      <c r="I152" s="504"/>
      <c r="J152" s="762"/>
      <c r="K152" s="735"/>
      <c r="L152" s="735"/>
      <c r="M152" s="504"/>
    </row>
    <row r="153" spans="2:13">
      <c r="B153" s="657"/>
      <c r="C153" s="657"/>
      <c r="D153" s="657"/>
      <c r="E153" s="761"/>
      <c r="F153" s="735"/>
      <c r="G153" s="532"/>
      <c r="H153" s="504"/>
      <c r="I153" s="504"/>
      <c r="J153" s="744"/>
      <c r="K153" s="735"/>
      <c r="L153" s="735"/>
      <c r="M153" s="504"/>
    </row>
    <row r="154" spans="2:13">
      <c r="B154" s="735"/>
      <c r="C154" s="735"/>
      <c r="D154" s="735"/>
      <c r="E154" s="761"/>
      <c r="F154" s="735"/>
      <c r="G154" s="532"/>
      <c r="H154" s="504"/>
      <c r="I154" s="504"/>
      <c r="J154" s="744"/>
      <c r="K154" s="735"/>
      <c r="L154" s="735"/>
      <c r="M154" s="504"/>
    </row>
    <row r="155" spans="2:13">
      <c r="B155" s="569"/>
      <c r="C155" s="569"/>
      <c r="D155" s="569"/>
      <c r="E155" s="605"/>
      <c r="F155" s="504"/>
      <c r="G155" s="532"/>
      <c r="H155" s="504"/>
      <c r="I155" s="504"/>
      <c r="J155" s="744"/>
      <c r="K155" s="735"/>
      <c r="L155" s="735"/>
      <c r="M155" s="504"/>
    </row>
    <row r="156" spans="2:13">
      <c r="B156" s="569"/>
      <c r="C156" s="569"/>
      <c r="D156" s="569"/>
      <c r="E156" s="605"/>
      <c r="F156" s="504"/>
      <c r="G156" s="532"/>
      <c r="H156" s="735"/>
      <c r="I156" s="735"/>
      <c r="J156" s="735"/>
      <c r="K156" s="735"/>
      <c r="L156" s="735"/>
      <c r="M156" s="504"/>
    </row>
    <row r="157" spans="2:13">
      <c r="E157" s="604"/>
      <c r="F157" s="504"/>
      <c r="G157" s="504"/>
      <c r="H157" s="504"/>
      <c r="I157" s="504"/>
      <c r="J157" s="504"/>
      <c r="K157" s="504"/>
      <c r="L157" s="504"/>
      <c r="M157" s="504"/>
    </row>
    <row r="158" spans="2:13">
      <c r="H158" s="504"/>
      <c r="I158" s="504"/>
      <c r="J158" s="504"/>
      <c r="K158" s="504"/>
      <c r="L158" s="504"/>
      <c r="M158" s="504"/>
    </row>
    <row r="159" spans="2:13">
      <c r="H159" s="504"/>
      <c r="I159" s="504"/>
      <c r="J159" s="504"/>
      <c r="K159" s="504"/>
      <c r="L159" s="504"/>
      <c r="M159" s="504"/>
    </row>
    <row r="160" spans="2:13">
      <c r="M160" s="504"/>
    </row>
    <row r="161" spans="12:13">
      <c r="M161" s="504"/>
    </row>
    <row r="162" spans="12:13">
      <c r="M162" s="504"/>
    </row>
    <row r="163" spans="12:13">
      <c r="L163" s="504"/>
      <c r="M163" s="504"/>
    </row>
    <row r="164" spans="12:13">
      <c r="L164" s="504"/>
      <c r="M164" s="504"/>
    </row>
    <row r="165" spans="12:13">
      <c r="L165" s="504"/>
      <c r="M165" s="504"/>
    </row>
    <row r="166" spans="12:13">
      <c r="L166" s="504"/>
      <c r="M166" s="504"/>
    </row>
    <row r="167" spans="12:13">
      <c r="L167" s="504"/>
      <c r="M167" s="504"/>
    </row>
    <row r="168" spans="12:13">
      <c r="L168" s="504"/>
      <c r="M168" s="504"/>
    </row>
    <row r="169" spans="12:13">
      <c r="L169" s="504"/>
      <c r="M169" s="504"/>
    </row>
    <row r="170" spans="12:13">
      <c r="L170" s="504"/>
      <c r="M170" s="504"/>
    </row>
    <row r="171" spans="12:13">
      <c r="L171" s="504"/>
      <c r="M171" s="504"/>
    </row>
    <row r="172" spans="12:13">
      <c r="L172" s="504"/>
      <c r="M172" s="504"/>
    </row>
    <row r="173" spans="12:13">
      <c r="L173" s="504"/>
      <c r="M173" s="504"/>
    </row>
    <row r="174" spans="12:13">
      <c r="L174" s="504"/>
      <c r="M174" s="504"/>
    </row>
    <row r="176" spans="12:13">
      <c r="L176" s="504"/>
      <c r="M176" s="504"/>
    </row>
    <row r="177" spans="12:13">
      <c r="L177" s="504"/>
      <c r="M177" s="742"/>
    </row>
    <row r="178" spans="12:13">
      <c r="L178" s="504"/>
      <c r="M178" s="742"/>
    </row>
  </sheetData>
  <sheetProtection algorithmName="SHA-512" hashValue="QSn7UrX8K0FPxxe1qpUVux3Jt1ttJJ1OnREdfKBpJ8HL62rzCrEXuPo7ei2GL4b0lPWhk4cpnGagPncyLGFm8A==" saltValue="IW2RFdN6xDm76+tm7OItVg==" spinCount="100000" sheet="1" objects="1" scenarios="1"/>
  <mergeCells count="9">
    <mergeCell ref="B132:B133"/>
    <mergeCell ref="C141:C148"/>
    <mergeCell ref="B84:B91"/>
    <mergeCell ref="C21:C23"/>
    <mergeCell ref="C84:C91"/>
    <mergeCell ref="C93:C97"/>
    <mergeCell ref="C116:C119"/>
    <mergeCell ref="M144:M145"/>
    <mergeCell ref="C132:C139"/>
  </mergeCells>
  <conditionalFormatting sqref="G99:G101 M2 G93:G97 J153:J154 E137:E139 J148 E132 G103:G105 G84:G91">
    <cfRule type="expression" dxfId="1027" priority="199">
      <formula>IF($E$10="CHF",TRUE)</formula>
    </cfRule>
    <cfRule type="expression" dxfId="1026" priority="200">
      <formula>IF($E$10="EUR",TRUE)</formula>
    </cfRule>
    <cfRule type="expression" dxfId="1025" priority="201">
      <formula>IF($E$10="USD",TRUE)</formula>
    </cfRule>
  </conditionalFormatting>
  <conditionalFormatting sqref="M9:M19">
    <cfRule type="expression" dxfId="1024" priority="7">
      <formula>IF(INDIRECT("General_Currency_Selection")="CHF",TRUE)</formula>
    </cfRule>
    <cfRule type="expression" dxfId="1023" priority="8">
      <formula>IF(INDIRECT("General_Currency_Selection")="EUR",TRUE)</formula>
    </cfRule>
    <cfRule type="expression" dxfId="1022" priority="9">
      <formula>IF(INDIRECT("General_Currency_Selection")="USD",TRUE)</formula>
    </cfRule>
  </conditionalFormatting>
  <dataValidations count="3">
    <dataValidation type="list" allowBlank="1" showInputMessage="1" showErrorMessage="1" sqref="E37">
      <formula1>INDIRECT("Factory_Renting_Buying")</formula1>
    </dataValidation>
    <dataValidation type="list" allowBlank="1" showInputMessage="1" showErrorMessage="1" sqref="E10">
      <formula1>INDIRECT("Settings_Currency")</formula1>
    </dataValidation>
    <dataValidation type="list" allowBlank="1" showInputMessage="1" showErrorMessage="1" sqref="E19 E17 E39">
      <formula1>INDIRECT("Yes_No_Choice")</formula1>
    </dataValidation>
  </dataValidations>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'4.2-Settings Internal'!$B$7:$B$10</xm:f>
          </x14:formula1>
          <xm:sqref>E82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79998168889431442"/>
  </sheetPr>
  <dimension ref="B1:W189"/>
  <sheetViews>
    <sheetView zoomScale="70" zoomScaleNormal="70" workbookViewId="0">
      <selection activeCell="C14" sqref="C14"/>
    </sheetView>
  </sheetViews>
  <sheetFormatPr defaultColWidth="11.140625" defaultRowHeight="15"/>
  <cols>
    <col min="1" max="1" width="0.85546875" style="12" customWidth="1"/>
    <col min="2" max="2" width="13.85546875" style="12" customWidth="1"/>
    <col min="3" max="3" width="18.42578125" style="12" customWidth="1"/>
    <col min="4" max="4" width="21.5703125" style="12" bestFit="1" customWidth="1"/>
    <col min="5" max="5" width="17.85546875" style="12" customWidth="1"/>
    <col min="6" max="6" width="21" style="12" customWidth="1"/>
    <col min="7" max="23" width="16.5703125" style="12" customWidth="1"/>
    <col min="24" max="16384" width="11.140625" style="12"/>
  </cols>
  <sheetData>
    <row r="1" spans="2:16" ht="21">
      <c r="B1" s="1" t="s">
        <v>192</v>
      </c>
      <c r="C1" s="6"/>
      <c r="D1" s="6"/>
    </row>
    <row r="2" spans="2:16" ht="15.75" thickBot="1"/>
    <row r="3" spans="2:16" ht="18.75">
      <c r="B3" s="64" t="s">
        <v>0</v>
      </c>
      <c r="C3" s="61"/>
      <c r="D3" s="61"/>
      <c r="E3" s="61"/>
      <c r="F3" s="61"/>
      <c r="G3" s="61"/>
      <c r="H3" s="61"/>
      <c r="I3" s="61"/>
      <c r="J3" s="61"/>
      <c r="K3" s="61"/>
      <c r="L3" s="61"/>
      <c r="M3" s="61"/>
      <c r="N3" s="61"/>
      <c r="O3" s="61"/>
      <c r="P3" s="61"/>
    </row>
    <row r="4" spans="2:16" ht="15.75">
      <c r="B4" s="67"/>
    </row>
    <row r="5" spans="2:16" ht="15.75">
      <c r="B5" s="67"/>
    </row>
    <row r="6" spans="2:16" ht="15.75">
      <c r="B6" s="67"/>
    </row>
    <row r="7" spans="2:16" ht="15.75">
      <c r="B7" s="67"/>
    </row>
    <row r="12" spans="2:16" ht="30">
      <c r="B12" s="133" t="s">
        <v>70</v>
      </c>
      <c r="C12" s="133" t="s">
        <v>71</v>
      </c>
      <c r="E12" s="67"/>
    </row>
    <row r="13" spans="2:16">
      <c r="B13" s="126" t="s">
        <v>117</v>
      </c>
      <c r="C13" s="323">
        <f>General_Residue_TotalProd*'4.1-Settings Database'!$J$41</f>
        <v>308.92272727272729</v>
      </c>
    </row>
    <row r="14" spans="2:16" ht="15.75" thickBot="1"/>
    <row r="15" spans="2:16" ht="30.75">
      <c r="B15" s="2" t="s">
        <v>73</v>
      </c>
      <c r="C15" s="110"/>
      <c r="D15" s="61"/>
      <c r="E15" s="61"/>
      <c r="F15" s="108" t="s">
        <v>128</v>
      </c>
      <c r="G15" s="288">
        <f>E33*C13*1000</f>
        <v>0</v>
      </c>
      <c r="H15" s="61"/>
      <c r="I15" s="61"/>
      <c r="J15" s="61"/>
      <c r="K15" s="61"/>
      <c r="L15" s="61"/>
      <c r="M15" s="61"/>
      <c r="N15" s="61"/>
      <c r="O15" s="61"/>
      <c r="P15" s="61"/>
    </row>
    <row r="16" spans="2:16" ht="15.75">
      <c r="B16" s="67" t="s">
        <v>441</v>
      </c>
      <c r="I16" s="24"/>
      <c r="J16" s="24"/>
      <c r="K16" s="24"/>
      <c r="L16" s="24"/>
    </row>
    <row r="17" spans="2:12">
      <c r="B17" s="105" t="s">
        <v>78</v>
      </c>
      <c r="C17" s="86" t="s">
        <v>535</v>
      </c>
      <c r="I17" s="24"/>
      <c r="J17" s="24"/>
      <c r="K17" s="24"/>
      <c r="L17" s="24"/>
    </row>
    <row r="18" spans="2:12">
      <c r="I18" s="24"/>
      <c r="J18" s="24"/>
      <c r="K18" s="121"/>
      <c r="L18" s="121"/>
    </row>
    <row r="19" spans="2:12">
      <c r="B19" s="115" t="s">
        <v>416</v>
      </c>
      <c r="C19" s="115" t="s">
        <v>417</v>
      </c>
      <c r="D19" s="105" t="s">
        <v>918</v>
      </c>
      <c r="E19" s="105" t="s">
        <v>109</v>
      </c>
      <c r="F19" s="105" t="s">
        <v>649</v>
      </c>
      <c r="I19" s="24"/>
      <c r="J19" s="155"/>
      <c r="K19" s="121"/>
      <c r="L19" s="121"/>
    </row>
    <row r="20" spans="2:12">
      <c r="B20" s="77" t="str">
        <f t="array" ref="B20">IF(COUNTIFS(INDEX(Material_Input,0,MATCH($C$17,Unit_codes,0)),"&gt;0")&lt;ROWS('2.1-Material input'!$J$4:J4),"N/A",INDEX('2.1-Material input'!B:B,SMALL(IF(INDEX(Material_Input,0,MATCH($C$17,Unit_codes,0))&gt;0,ROW(Material_Code)),ROW('2.1-Material input'!B1))))</f>
        <v>N/A</v>
      </c>
      <c r="C20" s="77" t="str">
        <f t="shared" ref="C20:C31" si="0">IF($B20="N/A","N/A",INDEX(Material_Name,MATCH(B20,Material_Code,0)))</f>
        <v>N/A</v>
      </c>
      <c r="D20" s="109" t="str">
        <f t="shared" ref="D20:D31" si="1">IF($B20="N/A","N/A",INDEX(Material_Input,MATCH($B20,Material_Code,0),MATCH($C$17,Unit_codes,0)))</f>
        <v>N/A</v>
      </c>
      <c r="E20" s="93" t="str">
        <f t="shared" ref="E20:E31" si="2">IF($B20="N/A","N/A",INDEX(Material_Unit_Price,MATCH($B20,Material_Code,0)))</f>
        <v>N/A</v>
      </c>
      <c r="F20" s="277" t="str">
        <f>IFERROR(E20*D20,"")</f>
        <v/>
      </c>
      <c r="I20" s="24"/>
      <c r="J20" s="122"/>
      <c r="K20" s="121"/>
      <c r="L20" s="121"/>
    </row>
    <row r="21" spans="2:12">
      <c r="B21" s="77" t="str">
        <f t="array" ref="B21">IF(COUNTIFS(INDEX(Material_Input,0,MATCH($C$17,Unit_codes,0)),"&gt;0")&lt;ROWS('2.1-Material input'!$J$4:J5),"N/A",INDEX('2.1-Material input'!B:B,SMALL(IF(INDEX(Material_Input,0,MATCH($C$17,Unit_codes,0))&gt;0,ROW(Material_Code)),ROW('2.1-Material input'!B2))))</f>
        <v>N/A</v>
      </c>
      <c r="C21" s="77" t="str">
        <f t="shared" si="0"/>
        <v>N/A</v>
      </c>
      <c r="D21" s="109" t="str">
        <f t="shared" si="1"/>
        <v>N/A</v>
      </c>
      <c r="E21" s="93" t="str">
        <f t="shared" si="2"/>
        <v>N/A</v>
      </c>
      <c r="F21" s="277" t="str">
        <f t="shared" ref="F21:F31" si="3">IFERROR(E21*D21,"")</f>
        <v/>
      </c>
      <c r="I21" s="24"/>
      <c r="J21" s="122"/>
      <c r="K21" s="121"/>
      <c r="L21" s="121"/>
    </row>
    <row r="22" spans="2:12">
      <c r="B22" s="77" t="str">
        <f t="array" ref="B22">IF(COUNTIFS(INDEX(Material_Input,0,MATCH($C$17,Unit_codes,0)),"&gt;0")&lt;ROWS('2.1-Material input'!$J$4:J6),"N/A",INDEX('2.1-Material input'!B:B,SMALL(IF(INDEX(Material_Input,0,MATCH($C$17,Unit_codes,0))&gt;0,ROW(Material_Code)),ROW('2.1-Material input'!B3))))</f>
        <v>N/A</v>
      </c>
      <c r="C22" s="77" t="str">
        <f t="shared" si="0"/>
        <v>N/A</v>
      </c>
      <c r="D22" s="109" t="str">
        <f t="shared" si="1"/>
        <v>N/A</v>
      </c>
      <c r="E22" s="93" t="str">
        <f t="shared" si="2"/>
        <v>N/A</v>
      </c>
      <c r="F22" s="277" t="str">
        <f t="shared" si="3"/>
        <v/>
      </c>
      <c r="I22" s="24"/>
      <c r="J22" s="122"/>
      <c r="K22" s="121"/>
      <c r="L22" s="121"/>
    </row>
    <row r="23" spans="2:12">
      <c r="B23" s="77" t="str">
        <f t="array" ref="B23">IF(COUNTIFS(INDEX(Material_Input,0,MATCH($C$17,Unit_codes,0)),"&gt;0")&lt;ROWS('2.1-Material input'!$J$4:J7),"N/A",INDEX('2.1-Material input'!B:B,SMALL(IF(INDEX(Material_Input,0,MATCH($C$17,Unit_codes,0))&gt;0,ROW(Material_Code)),ROW('2.1-Material input'!B4))))</f>
        <v>N/A</v>
      </c>
      <c r="C23" s="77" t="str">
        <f t="shared" si="0"/>
        <v>N/A</v>
      </c>
      <c r="D23" s="109" t="str">
        <f t="shared" si="1"/>
        <v>N/A</v>
      </c>
      <c r="E23" s="93" t="str">
        <f t="shared" si="2"/>
        <v>N/A</v>
      </c>
      <c r="F23" s="277" t="str">
        <f t="shared" si="3"/>
        <v/>
      </c>
      <c r="K23" s="121"/>
      <c r="L23" s="121"/>
    </row>
    <row r="24" spans="2:12">
      <c r="B24" s="77" t="str">
        <f t="array" ref="B24">IF(COUNTIFS(INDEX(Material_Input,0,MATCH($C$17,Unit_codes,0)),"&gt;0")&lt;ROWS('2.1-Material input'!$J$4:J8),"N/A",INDEX('2.1-Material input'!B:B,SMALL(IF(INDEX(Material_Input,0,MATCH($C$17,Unit_codes,0))&gt;0,ROW(Material_Code)),ROW('2.1-Material input'!B5))))</f>
        <v>N/A</v>
      </c>
      <c r="C24" s="77" t="str">
        <f t="shared" si="0"/>
        <v>N/A</v>
      </c>
      <c r="D24" s="109" t="str">
        <f t="shared" si="1"/>
        <v>N/A</v>
      </c>
      <c r="E24" s="93" t="str">
        <f t="shared" si="2"/>
        <v>N/A</v>
      </c>
      <c r="F24" s="277" t="str">
        <f t="shared" si="3"/>
        <v/>
      </c>
      <c r="K24" s="121"/>
      <c r="L24" s="121"/>
    </row>
    <row r="25" spans="2:12">
      <c r="B25" s="77" t="str">
        <f t="array" ref="B25">IF(COUNTIFS(INDEX(Material_Input,0,MATCH($C$17,Unit_codes,0)),"&gt;0")&lt;ROWS('2.1-Material input'!$J$4:J9),"N/A",INDEX('2.1-Material input'!B:B,SMALL(IF(INDEX(Material_Input,0,MATCH($C$17,Unit_codes,0))&gt;0,ROW(Material_Code)),ROW('2.1-Material input'!B6))))</f>
        <v>N/A</v>
      </c>
      <c r="C25" s="77" t="str">
        <f t="shared" si="0"/>
        <v>N/A</v>
      </c>
      <c r="D25" s="109" t="str">
        <f t="shared" si="1"/>
        <v>N/A</v>
      </c>
      <c r="E25" s="93" t="str">
        <f t="shared" si="2"/>
        <v>N/A</v>
      </c>
      <c r="F25" s="277" t="str">
        <f t="shared" si="3"/>
        <v/>
      </c>
      <c r="I25" s="24"/>
      <c r="J25" s="122"/>
      <c r="K25" s="121"/>
      <c r="L25" s="121"/>
    </row>
    <row r="26" spans="2:12">
      <c r="B26" s="77" t="str">
        <f t="array" ref="B26">IF(COUNTIFS(INDEX(Material_Input,0,MATCH($C$17,Unit_codes,0)),"&gt;0")&lt;ROWS('2.1-Material input'!$J$4:J10),"N/A",INDEX('2.1-Material input'!B:B,SMALL(IF(INDEX(Material_Input,0,MATCH($C$17,Unit_codes,0))&gt;0,ROW(Material_Code)),ROW('2.1-Material input'!B7))))</f>
        <v>N/A</v>
      </c>
      <c r="C26" s="77" t="str">
        <f t="shared" si="0"/>
        <v>N/A</v>
      </c>
      <c r="D26" s="109" t="str">
        <f t="shared" si="1"/>
        <v>N/A</v>
      </c>
      <c r="E26" s="93" t="str">
        <f t="shared" si="2"/>
        <v>N/A</v>
      </c>
      <c r="F26" s="277" t="str">
        <f t="shared" si="3"/>
        <v/>
      </c>
      <c r="I26" s="24"/>
      <c r="J26" s="122"/>
      <c r="K26" s="121"/>
      <c r="L26" s="121"/>
    </row>
    <row r="27" spans="2:12">
      <c r="B27" s="77" t="str">
        <f t="array" ref="B27">IF(COUNTIFS(INDEX(Material_Input,0,MATCH($C$17,Unit_codes,0)),"&gt;0")&lt;ROWS('2.1-Material input'!$J$4:J11),"N/A",INDEX('2.1-Material input'!B:B,SMALL(IF(INDEX(Material_Input,0,MATCH($C$17,Unit_codes,0))&gt;0,ROW(Material_Code)),ROW('2.1-Material input'!B8))))</f>
        <v>N/A</v>
      </c>
      <c r="C27" s="77" t="str">
        <f t="shared" si="0"/>
        <v>N/A</v>
      </c>
      <c r="D27" s="109" t="str">
        <f t="shared" si="1"/>
        <v>N/A</v>
      </c>
      <c r="E27" s="93" t="str">
        <f t="shared" si="2"/>
        <v>N/A</v>
      </c>
      <c r="F27" s="277" t="str">
        <f t="shared" si="3"/>
        <v/>
      </c>
      <c r="I27" s="24"/>
      <c r="J27" s="122"/>
      <c r="K27" s="121"/>
      <c r="L27" s="121"/>
    </row>
    <row r="28" spans="2:12">
      <c r="B28" s="77" t="str">
        <f t="array" ref="B28">IF(COUNTIFS(INDEX(Material_Input,0,MATCH($C$17,Unit_codes,0)),"&gt;0")&lt;ROWS('2.1-Material input'!$J$4:J12),"N/A",INDEX('2.1-Material input'!B:B,SMALL(IF(INDEX(Material_Input,0,MATCH($C$17,Unit_codes,0))&gt;0,ROW(Material_Code)),ROW('2.1-Material input'!B9))))</f>
        <v>N/A</v>
      </c>
      <c r="C28" s="77" t="str">
        <f t="shared" si="0"/>
        <v>N/A</v>
      </c>
      <c r="D28" s="109" t="str">
        <f t="shared" si="1"/>
        <v>N/A</v>
      </c>
      <c r="E28" s="93" t="str">
        <f t="shared" si="2"/>
        <v>N/A</v>
      </c>
      <c r="F28" s="277" t="str">
        <f t="shared" si="3"/>
        <v/>
      </c>
      <c r="I28" s="24"/>
      <c r="J28" s="122"/>
      <c r="K28" s="121"/>
      <c r="L28" s="121"/>
    </row>
    <row r="29" spans="2:12">
      <c r="B29" s="77" t="str">
        <f t="array" ref="B29">IF(COUNTIFS(INDEX(Material_Input,0,MATCH($C$17,Unit_codes,0)),"&gt;0")&lt;ROWS('2.1-Material input'!$J$4:J13),"N/A",INDEX('2.1-Material input'!B:B,SMALL(IF(INDEX(Material_Input,0,MATCH($C$17,Unit_codes,0))&gt;0,ROW(Material_Code)),ROW('2.1-Material input'!B10))))</f>
        <v>N/A</v>
      </c>
      <c r="C29" s="77" t="str">
        <f t="shared" si="0"/>
        <v>N/A</v>
      </c>
      <c r="D29" s="109" t="str">
        <f t="shared" si="1"/>
        <v>N/A</v>
      </c>
      <c r="E29" s="93" t="str">
        <f t="shared" si="2"/>
        <v>N/A</v>
      </c>
      <c r="F29" s="277" t="str">
        <f t="shared" si="3"/>
        <v/>
      </c>
      <c r="I29" s="24"/>
      <c r="J29" s="122"/>
      <c r="K29" s="121"/>
      <c r="L29" s="121"/>
    </row>
    <row r="30" spans="2:12">
      <c r="B30" s="77" t="str">
        <f t="array" ref="B30">IF(COUNTIFS(INDEX(Material_Input,0,MATCH($C$17,Unit_codes,0)),"&gt;0")&lt;ROWS('2.1-Material input'!$J$4:J14),"N/A",INDEX('2.1-Material input'!B:B,SMALL(IF(INDEX(Material_Input,0,MATCH($C$17,Unit_codes,0))&gt;0,ROW(Material_Code)),ROW('2.1-Material input'!B11))))</f>
        <v>N/A</v>
      </c>
      <c r="C30" s="77" t="str">
        <f t="shared" si="0"/>
        <v>N/A</v>
      </c>
      <c r="D30" s="109" t="str">
        <f t="shared" si="1"/>
        <v>N/A</v>
      </c>
      <c r="E30" s="93" t="str">
        <f t="shared" si="2"/>
        <v>N/A</v>
      </c>
      <c r="F30" s="277" t="str">
        <f t="shared" si="3"/>
        <v/>
      </c>
      <c r="I30" s="24"/>
      <c r="J30" s="122"/>
      <c r="K30" s="121"/>
      <c r="L30" s="121"/>
    </row>
    <row r="31" spans="2:12">
      <c r="B31" s="77" t="str">
        <f t="array" ref="B31">IF(COUNTIFS(INDEX(Material_Input,0,MATCH($C$17,Unit_codes,0)),"&gt;0")&lt;ROWS('2.1-Material input'!$J$4:J15),"N/A",INDEX('2.1-Material input'!B:B,SMALL(IF(INDEX(Material_Input,0,MATCH($C$17,Unit_codes,0))&gt;0,ROW(Material_Code)),ROW('2.1-Material input'!B12))))</f>
        <v>N/A</v>
      </c>
      <c r="C31" s="77" t="str">
        <f t="shared" si="0"/>
        <v>N/A</v>
      </c>
      <c r="D31" s="109" t="str">
        <f t="shared" si="1"/>
        <v>N/A</v>
      </c>
      <c r="E31" s="93" t="str">
        <f t="shared" si="2"/>
        <v>N/A</v>
      </c>
      <c r="F31" s="277" t="str">
        <f t="shared" si="3"/>
        <v/>
      </c>
      <c r="I31" s="24"/>
      <c r="J31" s="122"/>
      <c r="K31" s="121"/>
      <c r="L31" s="121"/>
    </row>
    <row r="32" spans="2:12">
      <c r="E32" s="84"/>
    </row>
    <row r="33" spans="2:16">
      <c r="B33" s="909" t="s">
        <v>189</v>
      </c>
      <c r="C33" s="909"/>
      <c r="D33" s="909"/>
      <c r="E33" s="289">
        <f>SUM(F20:F31)</f>
        <v>0</v>
      </c>
    </row>
    <row r="34" spans="2:16" ht="15.75" thickBot="1">
      <c r="B34" s="130"/>
      <c r="C34" s="130"/>
      <c r="D34" s="130"/>
      <c r="E34" s="121"/>
    </row>
    <row r="35" spans="2:16" ht="30.75">
      <c r="B35" s="2" t="s">
        <v>144</v>
      </c>
      <c r="C35" s="110"/>
      <c r="D35" s="61"/>
      <c r="E35" s="61"/>
      <c r="F35" s="108" t="s">
        <v>187</v>
      </c>
      <c r="G35" s="288">
        <f>F43</f>
        <v>0</v>
      </c>
      <c r="H35" s="61"/>
      <c r="I35" s="61"/>
      <c r="J35" s="61"/>
      <c r="K35" s="61"/>
      <c r="L35" s="61"/>
      <c r="M35" s="61"/>
      <c r="N35" s="61"/>
      <c r="O35" s="61"/>
      <c r="P35" s="61"/>
    </row>
    <row r="36" spans="2:16" ht="15.75">
      <c r="B36" s="67" t="s">
        <v>541</v>
      </c>
      <c r="C36" s="24"/>
      <c r="D36" s="24"/>
      <c r="E36" s="24"/>
      <c r="I36" s="24"/>
      <c r="J36" s="24"/>
      <c r="K36" s="24"/>
      <c r="L36" s="24"/>
      <c r="M36" s="24"/>
    </row>
    <row r="37" spans="2:16">
      <c r="B37" s="32"/>
      <c r="C37" s="138"/>
      <c r="D37" s="24"/>
      <c r="E37" s="24"/>
      <c r="I37" s="24"/>
      <c r="J37" s="24"/>
      <c r="K37" s="24"/>
      <c r="L37" s="24"/>
      <c r="M37" s="24"/>
    </row>
    <row r="38" spans="2:16" ht="15.75">
      <c r="C38" s="97" t="s">
        <v>527</v>
      </c>
      <c r="D38" s="97" t="s">
        <v>78</v>
      </c>
      <c r="E38" s="97" t="s">
        <v>648</v>
      </c>
      <c r="F38" s="97" t="s">
        <v>647</v>
      </c>
      <c r="I38" s="24"/>
      <c r="J38" s="192"/>
      <c r="K38" s="96"/>
      <c r="L38" s="121"/>
      <c r="M38" s="24"/>
    </row>
    <row r="39" spans="2:16">
      <c r="B39" s="105" t="str">
        <f>INDEX(Equipment_Utility_Spec_List,2)</f>
        <v>Water</v>
      </c>
      <c r="C39" s="141">
        <f>SUMPRODUCT($F$110:$F$147,$G$110:$G$147,$M$110:$M$147)</f>
        <v>0</v>
      </c>
      <c r="D39" s="140" t="s">
        <v>528</v>
      </c>
      <c r="E39" s="277">
        <f>SUMIF($B$110:$B$147,("&lt;&gt;N/A"),$H$110:$H$147)</f>
        <v>0</v>
      </c>
      <c r="F39" s="277">
        <f>E39*Staff_Days_Operation</f>
        <v>0</v>
      </c>
      <c r="I39" s="24"/>
      <c r="J39" s="155"/>
      <c r="K39" s="96"/>
      <c r="L39" s="121"/>
      <c r="M39" s="24"/>
    </row>
    <row r="40" spans="2:16">
      <c r="B40" s="105" t="str">
        <f>INDEX(Equipment_Utility_Spec_List,3)</f>
        <v>Electricity</v>
      </c>
      <c r="C40" s="141">
        <f>SUMPRODUCT($F$110:$F$147,$I$110:$I$147,$M$110:$M$147)</f>
        <v>0</v>
      </c>
      <c r="D40" s="140" t="s">
        <v>530</v>
      </c>
      <c r="E40" s="277">
        <f>SUMIF($B$110:$B$147,("&lt;&gt;N/A"),$J$110:$J$147)</f>
        <v>0</v>
      </c>
      <c r="F40" s="277">
        <f>E40*Staff_Days_Operation</f>
        <v>0</v>
      </c>
      <c r="I40" s="24"/>
      <c r="J40" s="155"/>
      <c r="K40" s="121"/>
      <c r="L40" s="121"/>
      <c r="M40" s="24"/>
    </row>
    <row r="41" spans="2:16">
      <c r="B41" s="105" t="str">
        <f>INDEX(Equipment_Utility_Spec_List,4)</f>
        <v>Fuel</v>
      </c>
      <c r="C41" s="141">
        <f>SUMPRODUCT($F$110:$F$147,$K$110:$K$147,$M$110:$M$147)</f>
        <v>0</v>
      </c>
      <c r="D41" s="140" t="s">
        <v>529</v>
      </c>
      <c r="E41" s="277">
        <f>SUMIF($B$110:$B$147,("&lt;&gt;N/A"),$L$110:$L$147)</f>
        <v>0</v>
      </c>
      <c r="F41" s="277">
        <f>E41*Staff_Days_Operation</f>
        <v>0</v>
      </c>
      <c r="I41" s="24"/>
      <c r="J41" s="122"/>
      <c r="K41" s="121"/>
      <c r="L41" s="121"/>
      <c r="M41" s="24"/>
    </row>
    <row r="42" spans="2:16">
      <c r="B42" s="8"/>
      <c r="C42" s="122"/>
      <c r="D42" s="24"/>
      <c r="E42" s="139"/>
      <c r="I42" s="24"/>
      <c r="J42" s="24"/>
      <c r="K42" s="24"/>
      <c r="L42" s="250"/>
      <c r="M42" s="24"/>
    </row>
    <row r="43" spans="2:16">
      <c r="B43" s="908" t="s">
        <v>452</v>
      </c>
      <c r="C43" s="908"/>
      <c r="D43" s="908"/>
      <c r="E43" s="277">
        <f>SUM(E39:E41)</f>
        <v>0</v>
      </c>
      <c r="F43" s="277">
        <f>SUM(F39:F41)</f>
        <v>0</v>
      </c>
      <c r="I43" s="918"/>
      <c r="J43" s="918"/>
      <c r="K43" s="918"/>
      <c r="L43" s="121"/>
      <c r="M43" s="24"/>
    </row>
    <row r="44" spans="2:16" ht="15.75" thickBot="1">
      <c r="F44" s="62"/>
      <c r="G44" s="62"/>
    </row>
    <row r="45" spans="2:16" ht="18.75">
      <c r="B45" s="111" t="s">
        <v>3</v>
      </c>
      <c r="C45" s="112"/>
      <c r="D45" s="85"/>
      <c r="E45" s="85"/>
      <c r="F45" s="148" t="s">
        <v>85</v>
      </c>
      <c r="G45" s="288">
        <f>SUMIF(G52:G74,("&lt;&gt;N/A"),G52:G74)</f>
        <v>9823.8274164199447</v>
      </c>
      <c r="H45" s="85"/>
      <c r="I45" s="85"/>
      <c r="J45" s="85"/>
      <c r="K45" s="85"/>
      <c r="L45" s="85"/>
      <c r="M45" s="85"/>
      <c r="N45" s="85"/>
      <c r="O45" s="85"/>
      <c r="P45" s="85"/>
    </row>
    <row r="46" spans="2:16" ht="15.75">
      <c r="B46" s="67" t="s">
        <v>80</v>
      </c>
    </row>
    <row r="47" spans="2:16" ht="15.75">
      <c r="B47" s="67" t="s">
        <v>81</v>
      </c>
    </row>
    <row r="48" spans="2:16">
      <c r="B48" s="105" t="s">
        <v>77</v>
      </c>
      <c r="C48" s="907" t="s">
        <v>68</v>
      </c>
      <c r="D48" s="907"/>
    </row>
    <row r="49" spans="2:9">
      <c r="B49" s="105" t="s">
        <v>78</v>
      </c>
      <c r="C49" s="907" t="s">
        <v>535</v>
      </c>
      <c r="D49" s="907"/>
      <c r="I49" s="89"/>
    </row>
    <row r="51" spans="2:9" ht="31.5">
      <c r="B51" s="99" t="s">
        <v>211</v>
      </c>
      <c r="C51" s="99" t="s">
        <v>5</v>
      </c>
      <c r="D51" s="99" t="s">
        <v>79</v>
      </c>
      <c r="E51" s="129" t="s">
        <v>233</v>
      </c>
      <c r="F51" s="99" t="s">
        <v>121</v>
      </c>
      <c r="G51" s="99" t="s">
        <v>122</v>
      </c>
    </row>
    <row r="52" spans="2:9">
      <c r="B52" s="77"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7" t="str">
        <f>IF($B52="N/A","N/A",INDEX(Staff_position[],MATCH(B52,Staff_Position_ID,0)))</f>
        <v>General worker</v>
      </c>
      <c r="D52" s="277">
        <f>IF($B52="N/A","N/A",INDEX(Staff_net_salary[],MATCH(B52,Staff_Position_ID,0)))</f>
        <v>1680</v>
      </c>
      <c r="E52" s="91">
        <f t="shared" ref="E52:E74" si="4">IF($B52="N/A","N/A",INDEX(Staff_number_of_employees,MATCH(B52,Staff_Position_ID,0)))</f>
        <v>14</v>
      </c>
      <c r="F52" s="92">
        <f t="shared" ref="F52:F74" si="5">IFERROR(INDEX(Staff_Position_Allocation,MATCH(B52,Staff_Position_ID),MATCH($C$49,Unit_codes,0)),"")</f>
        <v>0.41767973709268474</v>
      </c>
      <c r="G52" s="277">
        <f>IFERROR(D52*E52*F52,"")</f>
        <v>9823.8274164199447</v>
      </c>
    </row>
    <row r="53" spans="2:9">
      <c r="B53" s="77"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7" t="str">
        <f>IF($B53="N/A","N/A",INDEX(Staff_position[],MATCH(B53,Staff_Position_ID,0)))</f>
        <v>N/A</v>
      </c>
      <c r="D53" s="277" t="str">
        <f>IF($B53="N/A","N/A",INDEX(Staff_net_salary[],MATCH(B53,Staff_Position_ID,0)))</f>
        <v>N/A</v>
      </c>
      <c r="E53" s="91" t="str">
        <f t="shared" si="4"/>
        <v>N/A</v>
      </c>
      <c r="F53" s="92" t="str">
        <f t="shared" si="5"/>
        <v/>
      </c>
      <c r="G53" s="277" t="str">
        <f t="shared" ref="G53:G74" si="6">IFERROR(D53*E53*F53,"")</f>
        <v/>
      </c>
    </row>
    <row r="54" spans="2:9">
      <c r="B54" s="77" t="str">
        <f t="array" ref="B54">IF(COUNTIFS(Position_Category,$C$48,INDEX(Staff_Position_Allocation,0,MATCH($C$49,Unit_codes,0)),"&gt;0")&lt;ROWS('2.3-Staff input'!$I$5:$I7),"N/A",INDEX('2.3-Staff input'!B:B,SMALL(IF((Position_Category=$C$48)+(INDEX(Staff_Position_Allocation,0,MATCH($C$49,Unit_codes,0))&gt;0)=2,ROW(Staff_Position_ID)),ROW('2.3-Staff input'!#REF!))))</f>
        <v>N/A</v>
      </c>
      <c r="C54" s="77" t="str">
        <f>IF($B54="N/A","N/A",INDEX(Staff_position[],MATCH(B54,Staff_Position_ID,0)))</f>
        <v>N/A</v>
      </c>
      <c r="D54" s="277" t="str">
        <f>IF($B54="N/A","N/A",INDEX(Staff_net_salary[],MATCH(B54,Staff_Position_ID,0)))</f>
        <v>N/A</v>
      </c>
      <c r="E54" s="91" t="str">
        <f t="shared" si="4"/>
        <v>N/A</v>
      </c>
      <c r="F54" s="92" t="str">
        <f t="shared" si="5"/>
        <v/>
      </c>
      <c r="G54" s="277" t="str">
        <f t="shared" si="6"/>
        <v/>
      </c>
    </row>
    <row r="55" spans="2:9">
      <c r="B55" s="77" t="str">
        <f t="array" ref="B55">IF(COUNTIFS(Position_Category,$C$48,INDEX(Staff_Position_Allocation,0,MATCH($C$49,Unit_codes,0)),"&gt;0")&lt;ROWS('2.3-Staff input'!$I$5:$I8),"N/A",INDEX('2.3-Staff input'!B:B,SMALL(IF((Position_Category=$C$48)+(INDEX(Staff_Position_Allocation,0,MATCH($C$49,Unit_codes,0))&gt;0)=2,ROW(Staff_Position_ID)),ROW('2.3-Staff input'!#REF!))))</f>
        <v>N/A</v>
      </c>
      <c r="C55" s="77" t="str">
        <f>IF($B55="N/A","N/A",INDEX(Staff_position[],MATCH(B55,Staff_Position_ID,0)))</f>
        <v>N/A</v>
      </c>
      <c r="D55" s="277" t="str">
        <f>IF($B55="N/A","N/A",INDEX(Staff_net_salary[],MATCH(B55,Staff_Position_ID,0)))</f>
        <v>N/A</v>
      </c>
      <c r="E55" s="91" t="str">
        <f t="shared" si="4"/>
        <v>N/A</v>
      </c>
      <c r="F55" s="92" t="str">
        <f t="shared" si="5"/>
        <v/>
      </c>
      <c r="G55" s="277" t="str">
        <f t="shared" si="6"/>
        <v/>
      </c>
    </row>
    <row r="56" spans="2:9">
      <c r="B56" s="77" t="str">
        <f t="array" ref="B56">IF(COUNTIFS(Position_Category,$C$48,INDEX(Staff_Position_Allocation,0,MATCH($C$49,Unit_codes,0)),"&gt;0")&lt;ROWS('2.3-Staff input'!$I$5:$I9),"N/A",INDEX('2.3-Staff input'!B:B,SMALL(IF((Position_Category=$C$48)+(INDEX(Staff_Position_Allocation,0,MATCH($C$49,Unit_codes,0))&gt;0)=2,ROW(Staff_Position_ID)),ROW('2.3-Staff input'!B3))))</f>
        <v>N/A</v>
      </c>
      <c r="C56" s="77" t="str">
        <f>IF($B56="N/A","N/A",INDEX(Staff_position[],MATCH(B56,Staff_Position_ID,0)))</f>
        <v>N/A</v>
      </c>
      <c r="D56" s="277" t="str">
        <f>IF($B56="N/A","N/A",INDEX(Staff_net_salary[],MATCH(B56,Staff_Position_ID,0)))</f>
        <v>N/A</v>
      </c>
      <c r="E56" s="91" t="str">
        <f t="shared" si="4"/>
        <v>N/A</v>
      </c>
      <c r="F56" s="92" t="str">
        <f t="shared" si="5"/>
        <v/>
      </c>
      <c r="G56" s="277" t="str">
        <f t="shared" si="6"/>
        <v/>
      </c>
    </row>
    <row r="57" spans="2:9">
      <c r="B57" s="77" t="str">
        <f t="array" ref="B57">IF(COUNTIFS(Position_Category,$C$48,INDEX(Staff_Position_Allocation,0,MATCH($C$49,Unit_codes,0)),"&gt;0")&lt;ROWS('2.3-Staff input'!$I$5:$I10),"N/A",INDEX('2.3-Staff input'!B:B,SMALL(IF((Position_Category=$C$48)+(INDEX(Staff_Position_Allocation,0,MATCH($C$49,Unit_codes,0))&gt;0)=2,ROW(Staff_Position_ID)),ROW('2.3-Staff input'!B4))))</f>
        <v>N/A</v>
      </c>
      <c r="C57" s="77" t="str">
        <f>IF($B57="N/A","N/A",INDEX(Staff_position[],MATCH(B57,Staff_Position_ID,0)))</f>
        <v>N/A</v>
      </c>
      <c r="D57" s="277" t="str">
        <f>IF($B57="N/A","N/A",INDEX(Staff_net_salary[],MATCH(B57,Staff_Position_ID,0)))</f>
        <v>N/A</v>
      </c>
      <c r="E57" s="91" t="str">
        <f t="shared" si="4"/>
        <v>N/A</v>
      </c>
      <c r="F57" s="92" t="str">
        <f t="shared" si="5"/>
        <v/>
      </c>
      <c r="G57" s="277" t="str">
        <f t="shared" si="6"/>
        <v/>
      </c>
    </row>
    <row r="58" spans="2:9">
      <c r="B58" s="77" t="str">
        <f t="array" ref="B58">IF(COUNTIFS(Position_Category,$C$48,INDEX(Staff_Position_Allocation,0,MATCH($C$49,Unit_codes,0)),"&gt;0")&lt;ROWS('2.3-Staff input'!$I$5:$I11),"N/A",INDEX('2.3-Staff input'!B:B,SMALL(IF((Position_Category=$C$48)+(INDEX(Staff_Position_Allocation,0,MATCH($C$49,Unit_codes,0))&gt;0)=2,ROW(Staff_Position_ID)),ROW('2.3-Staff input'!B5))))</f>
        <v>N/A</v>
      </c>
      <c r="C58" s="77" t="str">
        <f>IF($B58="N/A","N/A",INDEX(Staff_position[],MATCH(B58,Staff_Position_ID,0)))</f>
        <v>N/A</v>
      </c>
      <c r="D58" s="277" t="str">
        <f>IF($B58="N/A","N/A",INDEX(Staff_net_salary[],MATCH(B58,Staff_Position_ID,0)))</f>
        <v>N/A</v>
      </c>
      <c r="E58" s="91" t="str">
        <f t="shared" si="4"/>
        <v>N/A</v>
      </c>
      <c r="F58" s="92" t="str">
        <f t="shared" si="5"/>
        <v/>
      </c>
      <c r="G58" s="277" t="str">
        <f t="shared" si="6"/>
        <v/>
      </c>
    </row>
    <row r="59" spans="2:9">
      <c r="B59" s="77" t="str">
        <f t="array" ref="B59">IF(COUNTIFS(Position_Category,$C$48,INDEX(Staff_Position_Allocation,0,MATCH($C$49,Unit_codes,0)),"&gt;0")&lt;ROWS('2.3-Staff input'!$I$5:$I12),"N/A",INDEX('2.3-Staff input'!B:B,SMALL(IF((Position_Category=$C$48)+(INDEX(Staff_Position_Allocation,0,MATCH($C$49,Unit_codes,0))&gt;0)=2,ROW(Staff_Position_ID)),ROW('2.3-Staff input'!B6))))</f>
        <v>N/A</v>
      </c>
      <c r="C59" s="77" t="str">
        <f>IF($B59="N/A","N/A",INDEX(Staff_position[],MATCH(B59,Staff_Position_ID,0)))</f>
        <v>N/A</v>
      </c>
      <c r="D59" s="277" t="str">
        <f>IF($B59="N/A","N/A",INDEX(Staff_net_salary[],MATCH(B59,Staff_Position_ID,0)))</f>
        <v>N/A</v>
      </c>
      <c r="E59" s="91" t="str">
        <f t="shared" si="4"/>
        <v>N/A</v>
      </c>
      <c r="F59" s="92" t="str">
        <f t="shared" si="5"/>
        <v/>
      </c>
      <c r="G59" s="277" t="str">
        <f t="shared" si="6"/>
        <v/>
      </c>
    </row>
    <row r="60" spans="2:9">
      <c r="B60" s="77" t="str">
        <f t="array" ref="B60">IF(COUNTIFS(Position_Category,$C$48,INDEX(Staff_Position_Allocation,0,MATCH($C$49,Unit_codes,0)),"&gt;0")&lt;ROWS('2.3-Staff input'!$I$5:$I13),"N/A",INDEX('2.3-Staff input'!B:B,SMALL(IF((Position_Category=$C$48)+(INDEX(Staff_Position_Allocation,0,MATCH($C$49,Unit_codes,0))&gt;0)=2,ROW(Staff_Position_ID)),ROW('2.3-Staff input'!B7))))</f>
        <v>N/A</v>
      </c>
      <c r="C60" s="77" t="str">
        <f>IF($B60="N/A","N/A",INDEX(Staff_position[],MATCH(B60,Staff_Position_ID,0)))</f>
        <v>N/A</v>
      </c>
      <c r="D60" s="277" t="str">
        <f>IF($B60="N/A","N/A",INDEX(Staff_net_salary[],MATCH(B60,Staff_Position_ID,0)))</f>
        <v>N/A</v>
      </c>
      <c r="E60" s="91" t="str">
        <f t="shared" si="4"/>
        <v>N/A</v>
      </c>
      <c r="F60" s="92" t="str">
        <f t="shared" si="5"/>
        <v/>
      </c>
      <c r="G60" s="277" t="str">
        <f t="shared" si="6"/>
        <v/>
      </c>
    </row>
    <row r="61" spans="2:9">
      <c r="B61" s="77" t="str">
        <f t="array" ref="B61">IF(COUNTIFS(Position_Category,$C$48,INDEX(Staff_Position_Allocation,0,MATCH($C$49,Unit_codes,0)),"&gt;0")&lt;ROWS('2.3-Staff input'!$I$5:$I14),"N/A",INDEX('2.3-Staff input'!B:B,SMALL(IF((Position_Category=$C$48)+(INDEX(Staff_Position_Allocation,0,MATCH($C$49,Unit_codes,0))&gt;0)=2,ROW(Staff_Position_ID)),ROW('2.3-Staff input'!B8))))</f>
        <v>N/A</v>
      </c>
      <c r="C61" s="77" t="str">
        <f>IF($B61="N/A","N/A",INDEX(Staff_position[],MATCH(B61,Staff_Position_ID,0)))</f>
        <v>N/A</v>
      </c>
      <c r="D61" s="277" t="str">
        <f>IF($B61="N/A","N/A",INDEX(Staff_net_salary[],MATCH(B61,Staff_Position_ID,0)))</f>
        <v>N/A</v>
      </c>
      <c r="E61" s="91" t="str">
        <f t="shared" si="4"/>
        <v>N/A</v>
      </c>
      <c r="F61" s="92" t="str">
        <f t="shared" si="5"/>
        <v/>
      </c>
      <c r="G61" s="277" t="str">
        <f t="shared" si="6"/>
        <v/>
      </c>
    </row>
    <row r="62" spans="2:9">
      <c r="B62" s="77" t="str">
        <f t="array" ref="B62">IF(COUNTIFS(Position_Category,$C$48,INDEX(Staff_Position_Allocation,0,MATCH($C$49,Unit_codes,0)),"&gt;0")&lt;ROWS('2.3-Staff input'!$I$5:$I15),"N/A",INDEX('2.3-Staff input'!B:B,SMALL(IF((Position_Category=$C$48)+(INDEX(Staff_Position_Allocation,0,MATCH($C$49,Unit_codes,0))&gt;0)=2,ROW(Staff_Position_ID)),ROW('2.3-Staff input'!B9))))</f>
        <v>N/A</v>
      </c>
      <c r="C62" s="77" t="str">
        <f>IF($B62="N/A","N/A",INDEX(Staff_position[],MATCH(B62,Staff_Position_ID,0)))</f>
        <v>N/A</v>
      </c>
      <c r="D62" s="277" t="str">
        <f>IF($B62="N/A","N/A",INDEX(Staff_net_salary[],MATCH(B62,Staff_Position_ID,0)))</f>
        <v>N/A</v>
      </c>
      <c r="E62" s="91" t="str">
        <f t="shared" si="4"/>
        <v>N/A</v>
      </c>
      <c r="F62" s="92" t="str">
        <f t="shared" si="5"/>
        <v/>
      </c>
      <c r="G62" s="277" t="str">
        <f t="shared" si="6"/>
        <v/>
      </c>
    </row>
    <row r="63" spans="2:9">
      <c r="B63" s="77" t="str">
        <f t="array" ref="B63">IF(COUNTIFS(Position_Category,$C$48,INDEX(Staff_Position_Allocation,0,MATCH($C$49,Unit_codes,0)),"&gt;0")&lt;ROWS('2.3-Staff input'!$I$5:$I16),"N/A",INDEX('2.3-Staff input'!B:B,SMALL(IF((Position_Category=$C$48)+(INDEX(Staff_Position_Allocation,0,MATCH($C$49,Unit_codes,0))&gt;0)=2,ROW(Staff_Position_ID)),ROW('2.3-Staff input'!B10))))</f>
        <v>N/A</v>
      </c>
      <c r="C63" s="77" t="str">
        <f>IF($B63="N/A","N/A",INDEX(Staff_position[],MATCH(B63,Staff_Position_ID,0)))</f>
        <v>N/A</v>
      </c>
      <c r="D63" s="277" t="str">
        <f>IF($B63="N/A","N/A",INDEX(Staff_net_salary[],MATCH(B63,Staff_Position_ID,0)))</f>
        <v>N/A</v>
      </c>
      <c r="E63" s="91" t="str">
        <f t="shared" si="4"/>
        <v>N/A</v>
      </c>
      <c r="F63" s="92" t="str">
        <f t="shared" si="5"/>
        <v/>
      </c>
      <c r="G63" s="277" t="str">
        <f t="shared" si="6"/>
        <v/>
      </c>
    </row>
    <row r="64" spans="2:9">
      <c r="B64" s="77" t="str">
        <f t="array" ref="B64">IF(COUNTIFS(Position_Category,$C$48,INDEX(Staff_Position_Allocation,0,MATCH($C$49,Unit_codes,0)),"&gt;0")&lt;ROWS('2.3-Staff input'!$I$5:$I17),"N/A",INDEX('2.3-Staff input'!B:B,SMALL(IF((Position_Category=$C$48)+(INDEX(Staff_Position_Allocation,0,MATCH($C$49,Unit_codes,0))&gt;0)=2,ROW(Staff_Position_ID)),ROW('2.3-Staff input'!B11))))</f>
        <v>N/A</v>
      </c>
      <c r="C64" s="77" t="str">
        <f>IF($B64="N/A","N/A",INDEX(Staff_position[],MATCH(B64,Staff_Position_ID,0)))</f>
        <v>N/A</v>
      </c>
      <c r="D64" s="277" t="str">
        <f>IF($B64="N/A","N/A",INDEX(Staff_net_salary[],MATCH(B64,Staff_Position_ID,0)))</f>
        <v>N/A</v>
      </c>
      <c r="E64" s="91" t="str">
        <f t="shared" si="4"/>
        <v>N/A</v>
      </c>
      <c r="F64" s="92" t="str">
        <f t="shared" si="5"/>
        <v/>
      </c>
      <c r="G64" s="277" t="str">
        <f t="shared" si="6"/>
        <v/>
      </c>
    </row>
    <row r="65" spans="2:16">
      <c r="B65" s="77" t="str">
        <f t="array" ref="B65">IF(COUNTIFS(Position_Category,$C$48,INDEX(Staff_Position_Allocation,0,MATCH($C$49,Unit_codes,0)),"&gt;0")&lt;ROWS('2.3-Staff input'!$I$5:$I18),"N/A",INDEX('2.3-Staff input'!B:B,SMALL(IF((Position_Category=$C$48)+(INDEX(Staff_Position_Allocation,0,MATCH($C$49,Unit_codes,0))&gt;0)=2,ROW(Staff_Position_ID)),ROW('2.3-Staff input'!B12))))</f>
        <v>N/A</v>
      </c>
      <c r="C65" s="77" t="str">
        <f>IF($B65="N/A","N/A",INDEX(Staff_position[],MATCH(B65,Staff_Position_ID,0)))</f>
        <v>N/A</v>
      </c>
      <c r="D65" s="277" t="str">
        <f>IF($B65="N/A","N/A",INDEX(Staff_net_salary[],MATCH(B65,Staff_Position_ID,0)))</f>
        <v>N/A</v>
      </c>
      <c r="E65" s="91" t="str">
        <f t="shared" si="4"/>
        <v>N/A</v>
      </c>
      <c r="F65" s="92" t="str">
        <f t="shared" si="5"/>
        <v/>
      </c>
      <c r="G65" s="277" t="str">
        <f t="shared" si="6"/>
        <v/>
      </c>
    </row>
    <row r="66" spans="2:16">
      <c r="B66" s="77" t="str">
        <f t="array" ref="B66">IF(COUNTIFS(Position_Category,$C$48,INDEX(Staff_Position_Allocation,0,MATCH($C$49,Unit_codes,0)),"&gt;0")&lt;ROWS('2.3-Staff input'!$I$5:$I19),"N/A",INDEX('2.3-Staff input'!B:B,SMALL(IF((Position_Category=$C$48)+(INDEX(Staff_Position_Allocation,0,MATCH($C$49,Unit_codes,0))&gt;0)=2,ROW(Staff_Position_ID)),ROW('2.3-Staff input'!B13))))</f>
        <v>N/A</v>
      </c>
      <c r="C66" s="77" t="str">
        <f>IF($B66="N/A","N/A",INDEX(Staff_position[],MATCH(B66,Staff_Position_ID,0)))</f>
        <v>N/A</v>
      </c>
      <c r="D66" s="277" t="str">
        <f>IF($B66="N/A","N/A",INDEX(Staff_net_salary[],MATCH(B66,Staff_Position_ID,0)))</f>
        <v>N/A</v>
      </c>
      <c r="E66" s="91" t="str">
        <f t="shared" si="4"/>
        <v>N/A</v>
      </c>
      <c r="F66" s="92" t="str">
        <f t="shared" si="5"/>
        <v/>
      </c>
      <c r="G66" s="277" t="str">
        <f t="shared" si="6"/>
        <v/>
      </c>
    </row>
    <row r="67" spans="2:16">
      <c r="B67" s="77" t="str">
        <f t="array" ref="B67">IF(COUNTIFS(Position_Category,$C$48,INDEX(Staff_Position_Allocation,0,MATCH($C$49,Unit_codes,0)),"&gt;0")&lt;ROWS('2.3-Staff input'!$I$5:$I20),"N/A",INDEX('2.3-Staff input'!B:B,SMALL(IF((Position_Category=$C$48)+(INDEX(Staff_Position_Allocation,0,MATCH($C$49,Unit_codes,0))&gt;0)=2,ROW(Staff_Position_ID)),ROW('2.3-Staff input'!B14))))</f>
        <v>N/A</v>
      </c>
      <c r="C67" s="77" t="str">
        <f>IF($B67="N/A","N/A",INDEX(Staff_position[],MATCH(B67,Staff_Position_ID,0)))</f>
        <v>N/A</v>
      </c>
      <c r="D67" s="277" t="str">
        <f>IF($B67="N/A","N/A",INDEX(Staff_net_salary[],MATCH(B67,Staff_Position_ID,0)))</f>
        <v>N/A</v>
      </c>
      <c r="E67" s="91" t="str">
        <f t="shared" si="4"/>
        <v>N/A</v>
      </c>
      <c r="F67" s="92" t="str">
        <f t="shared" si="5"/>
        <v/>
      </c>
      <c r="G67" s="277" t="str">
        <f t="shared" si="6"/>
        <v/>
      </c>
    </row>
    <row r="68" spans="2:16">
      <c r="B68" s="77" t="str">
        <f t="array" ref="B68">IF(COUNTIFS(Position_Category,$C$48,INDEX(Staff_Position_Allocation,0,MATCH($C$49,Unit_codes,0)),"&gt;0")&lt;ROWS('2.3-Staff input'!$I$5:$I21),"N/A",INDEX('2.3-Staff input'!B:B,SMALL(IF((Position_Category=$C$48)+(INDEX(Staff_Position_Allocation,0,MATCH($C$49,Unit_codes,0))&gt;0)=2,ROW(Staff_Position_ID)),ROW('2.3-Staff input'!B15))))</f>
        <v>N/A</v>
      </c>
      <c r="C68" s="77" t="str">
        <f>IF($B68="N/A","N/A",INDEX(Staff_position[],MATCH(B68,Staff_Position_ID,0)))</f>
        <v>N/A</v>
      </c>
      <c r="D68" s="277" t="str">
        <f>IF($B68="N/A","N/A",INDEX(Staff_net_salary[],MATCH(B68,Staff_Position_ID,0)))</f>
        <v>N/A</v>
      </c>
      <c r="E68" s="91" t="str">
        <f t="shared" si="4"/>
        <v>N/A</v>
      </c>
      <c r="F68" s="92" t="str">
        <f t="shared" si="5"/>
        <v/>
      </c>
      <c r="G68" s="277" t="str">
        <f t="shared" si="6"/>
        <v/>
      </c>
    </row>
    <row r="69" spans="2:16">
      <c r="B69" s="77" t="str">
        <f t="array" ref="B69">IF(COUNTIFS(Position_Category,$C$48,INDEX(Staff_Position_Allocation,0,MATCH($C$49,Unit_codes,0)),"&gt;0")&lt;ROWS('2.3-Staff input'!$I$5:$I22),"N/A",INDEX('2.3-Staff input'!B:B,SMALL(IF((Position_Category=$C$48)+(INDEX(Staff_Position_Allocation,0,MATCH($C$49,Unit_codes,0))&gt;0)=2,ROW(Staff_Position_ID)),ROW('2.3-Staff input'!B16))))</f>
        <v>N/A</v>
      </c>
      <c r="C69" s="77" t="str">
        <f>IF($B69="N/A","N/A",INDEX(Staff_position[],MATCH(B69,Staff_Position_ID,0)))</f>
        <v>N/A</v>
      </c>
      <c r="D69" s="277" t="str">
        <f>IF($B69="N/A","N/A",INDEX(Staff_net_salary[],MATCH(B69,Staff_Position_ID,0)))</f>
        <v>N/A</v>
      </c>
      <c r="E69" s="91" t="str">
        <f t="shared" si="4"/>
        <v>N/A</v>
      </c>
      <c r="F69" s="92" t="str">
        <f t="shared" si="5"/>
        <v/>
      </c>
      <c r="G69" s="277" t="str">
        <f t="shared" si="6"/>
        <v/>
      </c>
    </row>
    <row r="70" spans="2:16">
      <c r="B70" s="77" t="str">
        <f t="array" ref="B70">IF(COUNTIFS(Position_Category,$C$48,INDEX(Staff_Position_Allocation,0,MATCH($C$49,Unit_codes,0)),"&gt;0")&lt;ROWS('2.3-Staff input'!$I$5:$I23),"N/A",INDEX('2.3-Staff input'!B:B,SMALL(IF((Position_Category=$C$48)+(INDEX(Staff_Position_Allocation,0,MATCH($C$49,Unit_codes,0))&gt;0)=2,ROW(Staff_Position_ID)),ROW('2.3-Staff input'!B17))))</f>
        <v>N/A</v>
      </c>
      <c r="C70" s="77" t="str">
        <f>IF($B70="N/A","N/A",INDEX(Staff_position[],MATCH(B70,Staff_Position_ID,0)))</f>
        <v>N/A</v>
      </c>
      <c r="D70" s="277" t="str">
        <f>IF($B70="N/A","N/A",INDEX(Staff_net_salary[],MATCH(B70,Staff_Position_ID,0)))</f>
        <v>N/A</v>
      </c>
      <c r="E70" s="91" t="str">
        <f t="shared" si="4"/>
        <v>N/A</v>
      </c>
      <c r="F70" s="92" t="str">
        <f t="shared" si="5"/>
        <v/>
      </c>
      <c r="G70" s="277" t="str">
        <f t="shared" si="6"/>
        <v/>
      </c>
    </row>
    <row r="71" spans="2:16">
      <c r="B71" s="77" t="str">
        <f t="array" ref="B71">IF(COUNTIFS(Position_Category,$C$48,INDEX(Staff_Position_Allocation,0,MATCH($C$49,Unit_codes,0)),"&gt;0")&lt;ROWS('2.3-Staff input'!$I$5:$I24),"N/A",INDEX('2.3-Staff input'!B:B,SMALL(IF((Position_Category=$C$48)+(INDEX(Staff_Position_Allocation,0,MATCH($C$49,Unit_codes,0))&gt;0)=2,ROW(Staff_Position_ID)),ROW('2.3-Staff input'!B18))))</f>
        <v>N/A</v>
      </c>
      <c r="C71" s="77" t="str">
        <f>IF($B71="N/A","N/A",INDEX(Staff_position[],MATCH(B71,Staff_Position_ID,0)))</f>
        <v>N/A</v>
      </c>
      <c r="D71" s="277" t="str">
        <f>IF($B71="N/A","N/A",INDEX(Staff_net_salary[],MATCH(B71,Staff_Position_ID,0)))</f>
        <v>N/A</v>
      </c>
      <c r="E71" s="91" t="str">
        <f t="shared" si="4"/>
        <v>N/A</v>
      </c>
      <c r="F71" s="92" t="str">
        <f t="shared" si="5"/>
        <v/>
      </c>
      <c r="G71" s="277" t="str">
        <f t="shared" si="6"/>
        <v/>
      </c>
    </row>
    <row r="72" spans="2:16">
      <c r="B72" s="77" t="str">
        <f t="array" ref="B72">IF(COUNTIFS(Position_Category,$C$48,INDEX(Staff_Position_Allocation,0,MATCH($C$49,Unit_codes,0)),"&gt;0")&lt;ROWS('2.3-Staff input'!$I$5:$I25),"N/A",INDEX('2.3-Staff input'!B:B,SMALL(IF((Position_Category=$C$48)+(INDEX(Staff_Position_Allocation,0,MATCH($C$49,Unit_codes,0))&gt;0)=2,ROW(Staff_Position_ID)),ROW('2.3-Staff input'!B19))))</f>
        <v>N/A</v>
      </c>
      <c r="C72" s="77" t="str">
        <f>IF($B72="N/A","N/A",INDEX(Staff_position[],MATCH(B72,Staff_Position_ID,0)))</f>
        <v>N/A</v>
      </c>
      <c r="D72" s="277" t="str">
        <f>IF($B72="N/A","N/A",INDEX(Staff_net_salary[],MATCH(B72,Staff_Position_ID,0)))</f>
        <v>N/A</v>
      </c>
      <c r="E72" s="91" t="str">
        <f t="shared" si="4"/>
        <v>N/A</v>
      </c>
      <c r="F72" s="92" t="str">
        <f t="shared" si="5"/>
        <v/>
      </c>
      <c r="G72" s="277" t="str">
        <f t="shared" si="6"/>
        <v/>
      </c>
    </row>
    <row r="73" spans="2:16">
      <c r="B73" s="77" t="str">
        <f t="array" ref="B73">IF(COUNTIFS(Position_Category,$C$48,INDEX(Staff_Position_Allocation,0,MATCH($C$49,Unit_codes,0)),"&gt;0")&lt;ROWS('2.3-Staff input'!$I$5:$I26),"N/A",INDEX('2.3-Staff input'!B:B,SMALL(IF((Position_Category=$C$48)+(INDEX(Staff_Position_Allocation,0,MATCH($C$49,Unit_codes,0))&gt;0)=2,ROW(Staff_Position_ID)),ROW('2.3-Staff input'!B20))))</f>
        <v>N/A</v>
      </c>
      <c r="C73" s="77" t="str">
        <f>IF($B73="N/A","N/A",INDEX(Staff_position[],MATCH(B73,Staff_Position_ID,0)))</f>
        <v>N/A</v>
      </c>
      <c r="D73" s="277" t="str">
        <f>IF($B73="N/A","N/A",INDEX(Staff_net_salary[],MATCH(B73,Staff_Position_ID,0)))</f>
        <v>N/A</v>
      </c>
      <c r="E73" s="91" t="str">
        <f t="shared" si="4"/>
        <v>N/A</v>
      </c>
      <c r="F73" s="92" t="str">
        <f t="shared" si="5"/>
        <v/>
      </c>
      <c r="G73" s="277" t="str">
        <f t="shared" si="6"/>
        <v/>
      </c>
    </row>
    <row r="74" spans="2:16">
      <c r="B74" s="77" t="str">
        <f t="array" ref="B74">IF(COUNTIFS(Position_Category,$C$48,INDEX(Staff_Position_Allocation,0,MATCH($C$49,Unit_codes,0)),"&gt;0")&lt;ROWS('2.3-Staff input'!$I$5:$I27),"N/A",INDEX('2.3-Staff input'!B:B,SMALL(IF((Position_Category=$C$48)+(INDEX(Staff_Position_Allocation,0,MATCH($C$49,Unit_codes,0))&gt;0)=2,ROW(Staff_Position_ID)),ROW('2.3-Staff input'!B21))))</f>
        <v>N/A</v>
      </c>
      <c r="C74" s="77" t="str">
        <f>IF($B74="N/A","N/A",INDEX(Staff_position[],MATCH(B74,Staff_Position_ID,0)))</f>
        <v>N/A</v>
      </c>
      <c r="D74" s="277" t="str">
        <f>IF($B74="N/A","N/A",INDEX(Staff_net_salary[],MATCH(B74,Staff_Position_ID,0)))</f>
        <v>N/A</v>
      </c>
      <c r="E74" s="91" t="str">
        <f t="shared" si="4"/>
        <v>N/A</v>
      </c>
      <c r="F74" s="92" t="str">
        <f t="shared" si="5"/>
        <v/>
      </c>
      <c r="G74" s="277" t="str">
        <f t="shared" si="6"/>
        <v/>
      </c>
    </row>
    <row r="75" spans="2:16" ht="15.75" thickBot="1">
      <c r="F75" s="150"/>
      <c r="G75" s="150"/>
    </row>
    <row r="76" spans="2:16" ht="30">
      <c r="B76" s="111" t="s">
        <v>83</v>
      </c>
      <c r="C76" s="112"/>
      <c r="D76" s="85"/>
      <c r="E76" s="85"/>
      <c r="F76" s="152" t="s">
        <v>86</v>
      </c>
      <c r="G76" s="288">
        <f>SUMIF(G83:G103,("&lt;&gt;N/A"),G83:G103)</f>
        <v>1814.3999999999999</v>
      </c>
      <c r="H76" s="85"/>
      <c r="I76" s="85"/>
      <c r="J76" s="85"/>
      <c r="K76" s="85"/>
      <c r="L76" s="85"/>
      <c r="M76" s="85"/>
      <c r="N76" s="85"/>
      <c r="O76" s="85"/>
      <c r="P76" s="85"/>
    </row>
    <row r="77" spans="2:16" ht="15.75">
      <c r="B77" s="67" t="s">
        <v>80</v>
      </c>
    </row>
    <row r="78" spans="2:16" ht="15.75">
      <c r="B78" s="67" t="s">
        <v>81</v>
      </c>
    </row>
    <row r="79" spans="2:16">
      <c r="B79" s="105" t="s">
        <v>77</v>
      </c>
      <c r="C79" s="907" t="s">
        <v>69</v>
      </c>
      <c r="D79" s="907"/>
    </row>
    <row r="80" spans="2:16">
      <c r="B80" s="105" t="s">
        <v>78</v>
      </c>
      <c r="C80" s="907" t="s">
        <v>535</v>
      </c>
      <c r="D80" s="907"/>
    </row>
    <row r="82" spans="2:7" ht="15.75">
      <c r="B82" s="97" t="s">
        <v>211</v>
      </c>
      <c r="C82" s="97" t="s">
        <v>5</v>
      </c>
      <c r="D82" s="97" t="s">
        <v>79</v>
      </c>
      <c r="E82" s="98" t="s">
        <v>233</v>
      </c>
      <c r="F82" s="97" t="s">
        <v>121</v>
      </c>
      <c r="G82" s="97" t="s">
        <v>122</v>
      </c>
    </row>
    <row r="83" spans="2:7">
      <c r="B83" s="77"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7" t="str">
        <f>IF($B83="N/A","N/A",INDEX(Staff_position[],MATCH(B83,Staff_Position_ID,0)))</f>
        <v>Waste units manager</v>
      </c>
      <c r="D83" s="277">
        <f>IF($B83="N/A","N/A",INDEX(Staff_net_salary[],MATCH(B83,Staff_Position_ID,0)))</f>
        <v>3360</v>
      </c>
      <c r="E83" s="91">
        <f t="shared" ref="E83:E103" si="7">IF($B83="N/A","N/A",INDEX(Staff_number_of_employees,MATCH(B83,Staff_Position_ID,0)))</f>
        <v>1</v>
      </c>
      <c r="F83" s="92">
        <f t="shared" ref="F83:F103" si="8">IFERROR(INDEX(Staff_Position_Allocation,MATCH(B83,Staff_Position_ID),MATCH($C$80,Unit_codes,0)),"")</f>
        <v>0.24</v>
      </c>
      <c r="G83" s="277">
        <f>IFERROR(D83*E83*F83,"")</f>
        <v>806.4</v>
      </c>
    </row>
    <row r="84" spans="2:7">
      <c r="B84" s="77"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7" t="str">
        <f>IF($B84="N/A","N/A",INDEX(Staff_position[],MATCH(B84,Staff_Position_ID,0)))</f>
        <v>Site manager</v>
      </c>
      <c r="D84" s="277">
        <f>IF($B84="N/A","N/A",INDEX(Staff_net_salary[],MATCH(B84,Staff_Position_ID,0)))</f>
        <v>5039.9999999999991</v>
      </c>
      <c r="E84" s="91">
        <f t="shared" si="7"/>
        <v>2</v>
      </c>
      <c r="F84" s="92">
        <f t="shared" si="8"/>
        <v>0.1</v>
      </c>
      <c r="G84" s="277">
        <f t="shared" ref="G84:G103" si="9">IFERROR(D84*E84*F84,"")</f>
        <v>1007.9999999999999</v>
      </c>
    </row>
    <row r="85" spans="2:7">
      <c r="B85" s="77" t="str">
        <f t="array" ref="B85">IF(COUNTIFS(Position_Category,$C$79,INDEX(Staff_Position_Allocation,0,MATCH($C$80,Unit_codes,0)),"&gt;0")&lt;ROWS('2.3-Staff input'!$I$5:$I7),"N/A",INDEX('2.3-Staff input'!B:B,SMALL(IF((Position_Category=$C$79)+(INDEX(Staff_Position_Allocation,0,MATCH($C$80,Unit_codes,0))&gt;0)=2,ROW(Staff_Position_ID)),ROW('2.3-Staff input'!#REF!))))</f>
        <v>N/A</v>
      </c>
      <c r="C85" s="77" t="str">
        <f>IF($B85="N/A","N/A",INDEX(Staff_position[],MATCH(B85,Staff_Position_ID,0)))</f>
        <v>N/A</v>
      </c>
      <c r="D85" s="277" t="str">
        <f>IF($B85="N/A","N/A",INDEX(Staff_net_salary[],MATCH(B85,Staff_Position_ID,0)))</f>
        <v>N/A</v>
      </c>
      <c r="E85" s="91" t="str">
        <f t="shared" si="7"/>
        <v>N/A</v>
      </c>
      <c r="F85" s="92" t="str">
        <f t="shared" si="8"/>
        <v/>
      </c>
      <c r="G85" s="277" t="str">
        <f t="shared" si="9"/>
        <v/>
      </c>
    </row>
    <row r="86" spans="2:7">
      <c r="B86" s="77" t="str">
        <f t="array" ref="B86">IF(COUNTIFS(Position_Category,$C$79,INDEX(Staff_Position_Allocation,0,MATCH($C$80,Unit_codes,0)),"&gt;0")&lt;ROWS('2.3-Staff input'!$I$5:$I8),"N/A",INDEX('2.3-Staff input'!B:B,SMALL(IF((Position_Category=$C$79)+(INDEX(Staff_Position_Allocation,0,MATCH($C$80,Unit_codes,0))&gt;0)=2,ROW(Staff_Position_ID)),ROW('2.3-Staff input'!#REF!))))</f>
        <v>N/A</v>
      </c>
      <c r="C86" s="77" t="str">
        <f>IF($B86="N/A","N/A",INDEX(Staff_position[],MATCH(B86,Staff_Position_ID,0)))</f>
        <v>N/A</v>
      </c>
      <c r="D86" s="277" t="str">
        <f>IF($B86="N/A","N/A",INDEX(Staff_net_salary[],MATCH(B86,Staff_Position_ID,0)))</f>
        <v>N/A</v>
      </c>
      <c r="E86" s="91" t="str">
        <f t="shared" si="7"/>
        <v>N/A</v>
      </c>
      <c r="F86" s="92" t="str">
        <f t="shared" si="8"/>
        <v/>
      </c>
      <c r="G86" s="277" t="str">
        <f t="shared" si="9"/>
        <v/>
      </c>
    </row>
    <row r="87" spans="2:7">
      <c r="B87" s="77" t="str">
        <f t="array" ref="B87">IF(COUNTIFS(Position_Category,$C$79,INDEX(Staff_Position_Allocation,0,MATCH($C$80,Unit_codes,0)),"&gt;0")&lt;ROWS('2.3-Staff input'!$I$5:$I9),"N/A",INDEX('2.3-Staff input'!B:B,SMALL(IF((Position_Category=$C$79)+(INDEX(Staff_Position_Allocation,0,MATCH($C$80,Unit_codes,0))&gt;0)=2,ROW(Staff_Position_ID)),ROW('2.3-Staff input'!B3))))</f>
        <v>N/A</v>
      </c>
      <c r="C87" s="77" t="str">
        <f>IF($B87="N/A","N/A",INDEX(Staff_position[],MATCH(B87,Staff_Position_ID,0)))</f>
        <v>N/A</v>
      </c>
      <c r="D87" s="277" t="str">
        <f>IF($B87="N/A","N/A",INDEX(Staff_net_salary[],MATCH(B87,Staff_Position_ID,0)))</f>
        <v>N/A</v>
      </c>
      <c r="E87" s="91" t="str">
        <f t="shared" si="7"/>
        <v>N/A</v>
      </c>
      <c r="F87" s="92" t="str">
        <f t="shared" si="8"/>
        <v/>
      </c>
      <c r="G87" s="277" t="str">
        <f t="shared" si="9"/>
        <v/>
      </c>
    </row>
    <row r="88" spans="2:7">
      <c r="B88" s="77" t="str">
        <f t="array" ref="B88">IF(COUNTIFS(Position_Category,$C$79,INDEX(Staff_Position_Allocation,0,MATCH($C$80,Unit_codes,0)),"&gt;0")&lt;ROWS('2.3-Staff input'!$I$5:$I10),"N/A",INDEX('2.3-Staff input'!B:B,SMALL(IF((Position_Category=$C$79)+(INDEX(Staff_Position_Allocation,0,MATCH($C$80,Unit_codes,0))&gt;0)=2,ROW(Staff_Position_ID)),ROW('2.3-Staff input'!B4))))</f>
        <v>N/A</v>
      </c>
      <c r="C88" s="77" t="str">
        <f>IF($B88="N/A","N/A",INDEX(Staff_position[],MATCH(B88,Staff_Position_ID,0)))</f>
        <v>N/A</v>
      </c>
      <c r="D88" s="277" t="str">
        <f>IF($B88="N/A","N/A",INDEX(Staff_net_salary[],MATCH(B88,Staff_Position_ID,0)))</f>
        <v>N/A</v>
      </c>
      <c r="E88" s="91" t="str">
        <f t="shared" si="7"/>
        <v>N/A</v>
      </c>
      <c r="F88" s="92" t="str">
        <f t="shared" si="8"/>
        <v/>
      </c>
      <c r="G88" s="277" t="str">
        <f t="shared" si="9"/>
        <v/>
      </c>
    </row>
    <row r="89" spans="2:7">
      <c r="B89" s="77" t="str">
        <f t="array" ref="B89">IF(COUNTIFS(Position_Category,$C$79,INDEX(Staff_Position_Allocation,0,MATCH($C$80,Unit_codes,0)),"&gt;0")&lt;ROWS('2.3-Staff input'!$I$5:$I11),"N/A",INDEX('2.3-Staff input'!B:B,SMALL(IF((Position_Category=$C$79)+(INDEX(Staff_Position_Allocation,0,MATCH($C$80,Unit_codes,0))&gt;0)=2,ROW(Staff_Position_ID)),ROW('2.3-Staff input'!B5))))</f>
        <v>N/A</v>
      </c>
      <c r="C89" s="77" t="str">
        <f>IF($B89="N/A","N/A",INDEX(Staff_position[],MATCH(B89,Staff_Position_ID,0)))</f>
        <v>N/A</v>
      </c>
      <c r="D89" s="277" t="str">
        <f>IF($B89="N/A","N/A",INDEX(Staff_net_salary[],MATCH(B89,Staff_Position_ID,0)))</f>
        <v>N/A</v>
      </c>
      <c r="E89" s="91" t="str">
        <f t="shared" si="7"/>
        <v>N/A</v>
      </c>
      <c r="F89" s="92" t="str">
        <f t="shared" si="8"/>
        <v/>
      </c>
      <c r="G89" s="277" t="str">
        <f t="shared" si="9"/>
        <v/>
      </c>
    </row>
    <row r="90" spans="2:7">
      <c r="B90" s="77" t="str">
        <f t="array" ref="B90">IF(COUNTIFS(Position_Category,$C$79,INDEX(Staff_Position_Allocation,0,MATCH($C$80,Unit_codes,0)),"&gt;0")&lt;ROWS('2.3-Staff input'!$I$5:$I12),"N/A",INDEX('2.3-Staff input'!B:B,SMALL(IF((Position_Category=$C$79)+(INDEX(Staff_Position_Allocation,0,MATCH($C$80,Unit_codes,0))&gt;0)=2,ROW(Staff_Position_ID)),ROW('2.3-Staff input'!B6))))</f>
        <v>N/A</v>
      </c>
      <c r="C90" s="77" t="str">
        <f>IF($B90="N/A","N/A",INDEX(Staff_position[],MATCH(B90,Staff_Position_ID,0)))</f>
        <v>N/A</v>
      </c>
      <c r="D90" s="277" t="str">
        <f>IF($B90="N/A","N/A",INDEX(Staff_net_salary[],MATCH(B90,Staff_Position_ID,0)))</f>
        <v>N/A</v>
      </c>
      <c r="E90" s="91" t="str">
        <f t="shared" si="7"/>
        <v>N/A</v>
      </c>
      <c r="F90" s="92" t="str">
        <f t="shared" si="8"/>
        <v/>
      </c>
      <c r="G90" s="277" t="str">
        <f t="shared" si="9"/>
        <v/>
      </c>
    </row>
    <row r="91" spans="2:7">
      <c r="B91" s="77" t="str">
        <f t="array" ref="B91">IF(COUNTIFS(Position_Category,$C$79,INDEX(Staff_Position_Allocation,0,MATCH($C$80,Unit_codes,0)),"&gt;0")&lt;ROWS('2.3-Staff input'!$I$5:$I13),"N/A",INDEX('2.3-Staff input'!B:B,SMALL(IF((Position_Category=$C$79)+(INDEX(Staff_Position_Allocation,0,MATCH($C$80,Unit_codes,0))&gt;0)=2,ROW(Staff_Position_ID)),ROW('2.3-Staff input'!B7))))</f>
        <v>N/A</v>
      </c>
      <c r="C91" s="77" t="str">
        <f>IF($B91="N/A","N/A",INDEX(Staff_position[],MATCH(B91,Staff_Position_ID,0)))</f>
        <v>N/A</v>
      </c>
      <c r="D91" s="277" t="str">
        <f>IF($B91="N/A","N/A",INDEX(Staff_net_salary[],MATCH(B91,Staff_Position_ID,0)))</f>
        <v>N/A</v>
      </c>
      <c r="E91" s="91" t="str">
        <f t="shared" si="7"/>
        <v>N/A</v>
      </c>
      <c r="F91" s="92" t="str">
        <f t="shared" si="8"/>
        <v/>
      </c>
      <c r="G91" s="277" t="str">
        <f t="shared" si="9"/>
        <v/>
      </c>
    </row>
    <row r="92" spans="2:7">
      <c r="B92" s="77" t="str">
        <f t="array" ref="B92">IF(COUNTIFS(Position_Category,$C$79,INDEX(Staff_Position_Allocation,0,MATCH($C$80,Unit_codes,0)),"&gt;0")&lt;ROWS('2.3-Staff input'!$I$5:$I14),"N/A",INDEX('2.3-Staff input'!B:B,SMALL(IF((Position_Category=$C$79)+(INDEX(Staff_Position_Allocation,0,MATCH($C$80,Unit_codes,0))&gt;0)=2,ROW(Staff_Position_ID)),ROW('2.3-Staff input'!B8))))</f>
        <v>N/A</v>
      </c>
      <c r="C92" s="77" t="str">
        <f>IF($B92="N/A","N/A",INDEX(Staff_position[],MATCH(B92,Staff_Position_ID,0)))</f>
        <v>N/A</v>
      </c>
      <c r="D92" s="277" t="str">
        <f>IF($B92="N/A","N/A",INDEX(Staff_net_salary[],MATCH(B92,Staff_Position_ID,0)))</f>
        <v>N/A</v>
      </c>
      <c r="E92" s="91" t="str">
        <f t="shared" si="7"/>
        <v>N/A</v>
      </c>
      <c r="F92" s="92" t="str">
        <f t="shared" si="8"/>
        <v/>
      </c>
      <c r="G92" s="277" t="str">
        <f t="shared" si="9"/>
        <v/>
      </c>
    </row>
    <row r="93" spans="2:7">
      <c r="B93" s="77" t="str">
        <f t="array" ref="B93">IF(COUNTIFS(Position_Category,$C$79,INDEX(Staff_Position_Allocation,0,MATCH($C$80,Unit_codes,0)),"&gt;0")&lt;ROWS('2.3-Staff input'!$I$5:$I15),"N/A",INDEX('2.3-Staff input'!B:B,SMALL(IF((Position_Category=$C$79)+(INDEX(Staff_Position_Allocation,0,MATCH($C$80,Unit_codes,0))&gt;0)=2,ROW(Staff_Position_ID)),ROW('2.3-Staff input'!B9))))</f>
        <v>N/A</v>
      </c>
      <c r="C93" s="77" t="str">
        <f>IF($B93="N/A","N/A",INDEX(Staff_position[],MATCH(B93,Staff_Position_ID,0)))</f>
        <v>N/A</v>
      </c>
      <c r="D93" s="277" t="str">
        <f>IF($B93="N/A","N/A",INDEX(Staff_net_salary[],MATCH(B93,Staff_Position_ID,0)))</f>
        <v>N/A</v>
      </c>
      <c r="E93" s="91" t="str">
        <f t="shared" si="7"/>
        <v>N/A</v>
      </c>
      <c r="F93" s="92" t="str">
        <f t="shared" si="8"/>
        <v/>
      </c>
      <c r="G93" s="277" t="str">
        <f t="shared" si="9"/>
        <v/>
      </c>
    </row>
    <row r="94" spans="2:7">
      <c r="B94" s="77" t="str">
        <f t="array" ref="B94">IF(COUNTIFS(Position_Category,$C$79,INDEX(Staff_Position_Allocation,0,MATCH($C$80,Unit_codes,0)),"&gt;0")&lt;ROWS('2.3-Staff input'!$I$5:$I16),"N/A",INDEX('2.3-Staff input'!B:B,SMALL(IF((Position_Category=$C$79)+(INDEX(Staff_Position_Allocation,0,MATCH($C$80,Unit_codes,0))&gt;0)=2,ROW(Staff_Position_ID)),ROW('2.3-Staff input'!B10))))</f>
        <v>N/A</v>
      </c>
      <c r="C94" s="77" t="str">
        <f>IF($B94="N/A","N/A",INDEX(Staff_position[],MATCH(B94,Staff_Position_ID,0)))</f>
        <v>N/A</v>
      </c>
      <c r="D94" s="277" t="str">
        <f>IF($B94="N/A","N/A",INDEX(Staff_net_salary[],MATCH(B94,Staff_Position_ID,0)))</f>
        <v>N/A</v>
      </c>
      <c r="E94" s="91" t="str">
        <f t="shared" si="7"/>
        <v>N/A</v>
      </c>
      <c r="F94" s="92" t="str">
        <f t="shared" si="8"/>
        <v/>
      </c>
      <c r="G94" s="277" t="str">
        <f t="shared" si="9"/>
        <v/>
      </c>
    </row>
    <row r="95" spans="2:7">
      <c r="B95" s="77" t="str">
        <f t="array" ref="B95">IF(COUNTIFS(Position_Category,$C$79,INDEX(Staff_Position_Allocation,0,MATCH($C$80,Unit_codes,0)),"&gt;0")&lt;ROWS('2.3-Staff input'!$I$5:$I17),"N/A",INDEX('2.3-Staff input'!B:B,SMALL(IF((Position_Category=$C$79)+(INDEX(Staff_Position_Allocation,0,MATCH($C$80,Unit_codes,0))&gt;0)=2,ROW(Staff_Position_ID)),ROW('2.3-Staff input'!B11))))</f>
        <v>N/A</v>
      </c>
      <c r="C95" s="77" t="str">
        <f>IF($B95="N/A","N/A",INDEX(Staff_position[],MATCH(B95,Staff_Position_ID,0)))</f>
        <v>N/A</v>
      </c>
      <c r="D95" s="277" t="str">
        <f>IF($B95="N/A","N/A",INDEX(Staff_net_salary[],MATCH(B95,Staff_Position_ID,0)))</f>
        <v>N/A</v>
      </c>
      <c r="E95" s="91" t="str">
        <f t="shared" si="7"/>
        <v>N/A</v>
      </c>
      <c r="F95" s="92" t="str">
        <f t="shared" si="8"/>
        <v/>
      </c>
      <c r="G95" s="277" t="str">
        <f t="shared" si="9"/>
        <v/>
      </c>
    </row>
    <row r="96" spans="2:7">
      <c r="B96" s="77" t="str">
        <f t="array" ref="B96">IF(COUNTIFS(Position_Category,$C$79,INDEX(Staff_Position_Allocation,0,MATCH($C$80,Unit_codes,0)),"&gt;0")&lt;ROWS('2.3-Staff input'!$I$5:$I18),"N/A",INDEX('2.3-Staff input'!B:B,SMALL(IF((Position_Category=$C$79)+(INDEX(Staff_Position_Allocation,0,MATCH($C$80,Unit_codes,0))&gt;0)=2,ROW(Staff_Position_ID)),ROW('2.3-Staff input'!B12))))</f>
        <v>N/A</v>
      </c>
      <c r="C96" s="77" t="str">
        <f>IF($B96="N/A","N/A",INDEX(Staff_position[],MATCH(B96,Staff_Position_ID,0)))</f>
        <v>N/A</v>
      </c>
      <c r="D96" s="277" t="str">
        <f>IF($B96="N/A","N/A",INDEX(Staff_net_salary[],MATCH(B96,Staff_Position_ID,0)))</f>
        <v>N/A</v>
      </c>
      <c r="E96" s="91" t="str">
        <f t="shared" si="7"/>
        <v>N/A</v>
      </c>
      <c r="F96" s="92" t="str">
        <f t="shared" si="8"/>
        <v/>
      </c>
      <c r="G96" s="277" t="str">
        <f t="shared" si="9"/>
        <v/>
      </c>
    </row>
    <row r="97" spans="2:16">
      <c r="B97" s="77" t="str">
        <f t="array" ref="B97">IF(COUNTIFS(Position_Category,$C$79,INDEX(Staff_Position_Allocation,0,MATCH($C$80,Unit_codes,0)),"&gt;0")&lt;ROWS('2.3-Staff input'!$I$5:$I19),"N/A",INDEX('2.3-Staff input'!B:B,SMALL(IF((Position_Category=$C$79)+(INDEX(Staff_Position_Allocation,0,MATCH($C$80,Unit_codes,0))&gt;0)=2,ROW(Staff_Position_ID)),ROW('2.3-Staff input'!B13))))</f>
        <v>N/A</v>
      </c>
      <c r="C97" s="77" t="str">
        <f>IF($B97="N/A","N/A",INDEX(Staff_position[],MATCH(B97,Staff_Position_ID,0)))</f>
        <v>N/A</v>
      </c>
      <c r="D97" s="277" t="str">
        <f>IF($B97="N/A","N/A",INDEX(Staff_net_salary[],MATCH(B97,Staff_Position_ID,0)))</f>
        <v>N/A</v>
      </c>
      <c r="E97" s="91" t="str">
        <f t="shared" si="7"/>
        <v>N/A</v>
      </c>
      <c r="F97" s="92" t="str">
        <f t="shared" si="8"/>
        <v/>
      </c>
      <c r="G97" s="277" t="str">
        <f t="shared" si="9"/>
        <v/>
      </c>
    </row>
    <row r="98" spans="2:16">
      <c r="B98" s="77" t="str">
        <f t="array" ref="B98">IF(COUNTIFS(Position_Category,$C$79,INDEX(Staff_Position_Allocation,0,MATCH($C$80,Unit_codes,0)),"&gt;0")&lt;ROWS('2.3-Staff input'!$I$5:$I20),"N/A",INDEX('2.3-Staff input'!B:B,SMALL(IF((Position_Category=$C$79)+(INDEX(Staff_Position_Allocation,0,MATCH($C$80,Unit_codes,0))&gt;0)=2,ROW(Staff_Position_ID)),ROW('2.3-Staff input'!B14))))</f>
        <v>N/A</v>
      </c>
      <c r="C98" s="77" t="str">
        <f>IF($B98="N/A","N/A",INDEX(Staff_position[],MATCH(B98,Staff_Position_ID,0)))</f>
        <v>N/A</v>
      </c>
      <c r="D98" s="277" t="str">
        <f>IF($B98="N/A","N/A",INDEX(Staff_net_salary[],MATCH(B98,Staff_Position_ID,0)))</f>
        <v>N/A</v>
      </c>
      <c r="E98" s="91" t="str">
        <f t="shared" si="7"/>
        <v>N/A</v>
      </c>
      <c r="F98" s="92" t="str">
        <f t="shared" si="8"/>
        <v/>
      </c>
      <c r="G98" s="277" t="str">
        <f t="shared" si="9"/>
        <v/>
      </c>
    </row>
    <row r="99" spans="2:16">
      <c r="B99" s="77" t="str">
        <f t="array" ref="B99">IF(COUNTIFS(Position_Category,$C$79,INDEX(Staff_Position_Allocation,0,MATCH($C$80,Unit_codes,0)),"&gt;0")&lt;ROWS('2.3-Staff input'!$I$5:$I21),"N/A",INDEX('2.3-Staff input'!B:B,SMALL(IF((Position_Category=$C$79)+(INDEX(Staff_Position_Allocation,0,MATCH($C$80,Unit_codes,0))&gt;0)=2,ROW(Staff_Position_ID)),ROW('2.3-Staff input'!B15))))</f>
        <v>N/A</v>
      </c>
      <c r="C99" s="77" t="str">
        <f>IF($B99="N/A","N/A",INDEX(Staff_position[],MATCH(B99,Staff_Position_ID,0)))</f>
        <v>N/A</v>
      </c>
      <c r="D99" s="277" t="str">
        <f>IF($B99="N/A","N/A",INDEX(Staff_net_salary[],MATCH(B99,Staff_Position_ID,0)))</f>
        <v>N/A</v>
      </c>
      <c r="E99" s="91" t="str">
        <f t="shared" si="7"/>
        <v>N/A</v>
      </c>
      <c r="F99" s="92" t="str">
        <f t="shared" si="8"/>
        <v/>
      </c>
      <c r="G99" s="277" t="str">
        <f t="shared" si="9"/>
        <v/>
      </c>
    </row>
    <row r="100" spans="2:16">
      <c r="B100" s="77" t="str">
        <f t="array" ref="B100">IF(COUNTIFS(Position_Category,$C$79,INDEX(Staff_Position_Allocation,0,MATCH($C$80,Unit_codes,0)),"&gt;0")&lt;ROWS('2.3-Staff input'!$I$5:$I22),"N/A",INDEX('2.3-Staff input'!B:B,SMALL(IF((Position_Category=$C$79)+(INDEX(Staff_Position_Allocation,0,MATCH($C$80,Unit_codes,0))&gt;0)=2,ROW(Staff_Position_ID)),ROW('2.3-Staff input'!B16))))</f>
        <v>N/A</v>
      </c>
      <c r="C100" s="77" t="str">
        <f>IF($B100="N/A","N/A",INDEX(Staff_position[],MATCH(B100,Staff_Position_ID,0)))</f>
        <v>N/A</v>
      </c>
      <c r="D100" s="277" t="str">
        <f>IF($B100="N/A","N/A",INDEX(Staff_net_salary[],MATCH(B100,Staff_Position_ID,0)))</f>
        <v>N/A</v>
      </c>
      <c r="E100" s="91" t="str">
        <f t="shared" si="7"/>
        <v>N/A</v>
      </c>
      <c r="F100" s="92" t="str">
        <f t="shared" si="8"/>
        <v/>
      </c>
      <c r="G100" s="277" t="str">
        <f t="shared" si="9"/>
        <v/>
      </c>
    </row>
    <row r="101" spans="2:16">
      <c r="B101" s="77" t="str">
        <f t="array" ref="B101">IF(COUNTIFS(Position_Category,$C$79,INDEX(Staff_Position_Allocation,0,MATCH($C$80,Unit_codes,0)),"&gt;0")&lt;ROWS('2.3-Staff input'!$I$5:$I23),"N/A",INDEX('2.3-Staff input'!B:B,SMALL(IF((Position_Category=$C$79)+(INDEX(Staff_Position_Allocation,0,MATCH($C$80,Unit_codes,0))&gt;0)=2,ROW(Staff_Position_ID)),ROW('2.3-Staff input'!B17))))</f>
        <v>N/A</v>
      </c>
      <c r="C101" s="77" t="str">
        <f>IF($B101="N/A","N/A",INDEX(Staff_position[],MATCH(B101,Staff_Position_ID,0)))</f>
        <v>N/A</v>
      </c>
      <c r="D101" s="277" t="str">
        <f>IF($B101="N/A","N/A",INDEX(Staff_net_salary[],MATCH(B101,Staff_Position_ID,0)))</f>
        <v>N/A</v>
      </c>
      <c r="E101" s="91" t="str">
        <f t="shared" si="7"/>
        <v>N/A</v>
      </c>
      <c r="F101" s="92" t="str">
        <f t="shared" si="8"/>
        <v/>
      </c>
      <c r="G101" s="277" t="str">
        <f t="shared" si="9"/>
        <v/>
      </c>
    </row>
    <row r="102" spans="2:16">
      <c r="B102" s="77" t="str">
        <f t="array" ref="B102">IF(COUNTIFS(Position_Category,$C$79,INDEX(Staff_Position_Allocation,0,MATCH($C$80,Unit_codes,0)),"&gt;0")&lt;ROWS('2.3-Staff input'!$I$5:$I24),"N/A",INDEX('2.3-Staff input'!B:B,SMALL(IF((Position_Category=$C$79)+(INDEX(Staff_Position_Allocation,0,MATCH($C$80,Unit_codes,0))&gt;0)=2,ROW(Staff_Position_ID)),ROW('2.3-Staff input'!B18))))</f>
        <v>N/A</v>
      </c>
      <c r="C102" s="77" t="str">
        <f>IF($B102="N/A","N/A",INDEX(Staff_position[],MATCH(B102,Staff_Position_ID,0)))</f>
        <v>N/A</v>
      </c>
      <c r="D102" s="277" t="str">
        <f>IF($B102="N/A","N/A",INDEX(Staff_net_salary[],MATCH(B102,Staff_Position_ID,0)))</f>
        <v>N/A</v>
      </c>
      <c r="E102" s="91" t="str">
        <f t="shared" si="7"/>
        <v>N/A</v>
      </c>
      <c r="F102" s="92" t="str">
        <f t="shared" si="8"/>
        <v/>
      </c>
      <c r="G102" s="277" t="str">
        <f t="shared" si="9"/>
        <v/>
      </c>
    </row>
    <row r="103" spans="2:16">
      <c r="B103" s="77" t="str">
        <f t="array" ref="B103">IF(COUNTIFS(Position_Category,$C$79,INDEX(Staff_Position_Allocation,0,MATCH($C$80,Unit_codes,0)),"&gt;0")&lt;ROWS('2.3-Staff input'!$I$5:$I25),"N/A",INDEX('2.3-Staff input'!B:B,SMALL(IF((Position_Category=$C$79)+(INDEX(Staff_Position_Allocation,0,MATCH($C$80,Unit_codes,0))&gt;0)=2,ROW(Staff_Position_ID)),ROW('2.3-Staff input'!B19))))</f>
        <v>N/A</v>
      </c>
      <c r="C103" s="77" t="str">
        <f>IF($B103="N/A","N/A",INDEX(Staff_position[],MATCH(B103,Staff_Position_ID,0)))</f>
        <v>N/A</v>
      </c>
      <c r="D103" s="277" t="str">
        <f>IF($B103="N/A","N/A",INDEX(Staff_net_salary[],MATCH(B103,Staff_Position_ID,0)))</f>
        <v>N/A</v>
      </c>
      <c r="E103" s="91" t="str">
        <f t="shared" si="7"/>
        <v>N/A</v>
      </c>
      <c r="F103" s="92" t="str">
        <f t="shared" si="8"/>
        <v/>
      </c>
      <c r="G103" s="277" t="str">
        <f t="shared" si="9"/>
        <v/>
      </c>
    </row>
    <row r="104" spans="2:16" ht="15.75" thickBot="1">
      <c r="E104" s="62"/>
      <c r="F104" s="62"/>
      <c r="G104" s="62"/>
      <c r="H104" s="62"/>
    </row>
    <row r="105" spans="2:16" ht="45">
      <c r="B105" s="2" t="s">
        <v>2</v>
      </c>
      <c r="C105" s="110"/>
      <c r="D105" s="61"/>
      <c r="F105" s="152" t="s">
        <v>153</v>
      </c>
      <c r="G105" s="288">
        <f>SUMIF(B110:B147,("&lt;&gt;N/A"),N110:N147)</f>
        <v>20.999999999999996</v>
      </c>
      <c r="H105" s="24"/>
      <c r="I105" s="61"/>
      <c r="J105" s="61"/>
      <c r="K105" s="61"/>
      <c r="L105" s="61"/>
      <c r="M105" s="61"/>
      <c r="N105" s="61"/>
      <c r="O105" s="61"/>
      <c r="P105" s="61"/>
    </row>
    <row r="106" spans="2:16" ht="15.75">
      <c r="B106" s="67" t="s">
        <v>82</v>
      </c>
    </row>
    <row r="107" spans="2:16">
      <c r="B107" s="105" t="s">
        <v>78</v>
      </c>
      <c r="C107" s="86" t="s">
        <v>535</v>
      </c>
    </row>
    <row r="109" spans="2:16" ht="47.25">
      <c r="B109" s="99" t="s">
        <v>84</v>
      </c>
      <c r="C109" s="99" t="s">
        <v>53</v>
      </c>
      <c r="D109" s="99" t="s">
        <v>152</v>
      </c>
      <c r="E109" s="99" t="s">
        <v>50</v>
      </c>
      <c r="F109" s="99" t="s">
        <v>514</v>
      </c>
      <c r="G109" s="99" t="s">
        <v>451</v>
      </c>
      <c r="H109" s="99" t="s">
        <v>515</v>
      </c>
      <c r="I109" s="99" t="s">
        <v>519</v>
      </c>
      <c r="J109" s="99" t="s">
        <v>516</v>
      </c>
      <c r="K109" s="99" t="s">
        <v>518</v>
      </c>
      <c r="L109" s="99" t="s">
        <v>517</v>
      </c>
      <c r="M109" s="99" t="s">
        <v>87</v>
      </c>
      <c r="N109" s="99" t="s">
        <v>154</v>
      </c>
      <c r="O109" s="99" t="s">
        <v>714</v>
      </c>
    </row>
    <row r="110" spans="2:16">
      <c r="B110" s="76" t="str">
        <f t="array" ref="B110">IF(COUNTIFS(INDEX(Equipment_Allocation_New,0,MATCH($C$107,Unit_codes,0)),"&gt;0")&lt;ROWS('2.2-Equipment input'!$X$8:$X8),"N/A",INDEX('2.2-Equipment input'!B:B,SMALL(IF(INDEX(Equipment_Allocation_New,0,MATCH($C$107,Unit_codes,0))&gt;0,ROW(equipment_ID)),ROW('2.2-Equipment input'!B1))))</f>
        <v>eq0030</v>
      </c>
      <c r="C110" s="76" t="str">
        <f>IF($B110="N/A","N/A",INDEX(Equipment_name[],MATCH(B110,equipment_ID,0)))</f>
        <v>Measuring balance ("heavy" duty)</v>
      </c>
      <c r="D110" s="277">
        <f t="shared" ref="D110:D147" si="10">IF($B110="N/A","N/A",INDEX(Equipment_Depreciation,MATCH(B110,equipment_ID,0)))</f>
        <v>34.999999999999993</v>
      </c>
      <c r="E110" s="94">
        <f t="shared" ref="E110:E147" si="11">IF($B110="N/A","N/A",INDEX(Equipment_Quantity_New,MATCH(B110,equipment_ID,0)))</f>
        <v>3</v>
      </c>
      <c r="F110" s="137">
        <f>IF($B110="N/A","",IF(INDEX(Equipment_Utility_Decision,MATCH($B110,equipment_ID,0))='4.2-Settings Internal'!$B$32,INDEX(Equipment_Utility_Run,MATCH($B110,equipment_ID,0)),""))</f>
        <v>0</v>
      </c>
      <c r="G110" s="137">
        <f>IF($B110="N/A","",IF(INDEX(Equipment_Utility_Decision,MATCH($B110,equipment_ID,0))='4.2-Settings Internal'!$B$32,INDEX(Equipment_Utility_Water,MATCH($B110,equipment_ID,0)),""))</f>
        <v>0</v>
      </c>
      <c r="H110" s="277">
        <f t="shared" ref="H110:H147" si="12">IFERROR($E110*$F110*G110*$M110*General_Water_Price,"")</f>
        <v>0</v>
      </c>
      <c r="I110" s="137">
        <f>IF($B110="N/A","",IF(INDEX(Equipment_Utility_Decision,MATCH($B110,equipment_ID,0))='4.2-Settings Internal'!$B$32,INDEX(Equipment_Utility_Electricity,MATCH($B110,equipment_ID,0)),""))</f>
        <v>0</v>
      </c>
      <c r="J110" s="277">
        <f t="shared" ref="J110:J147" si="13">IFERROR($E110*$F110*I110*$M110*General_Electricity_Price,"")</f>
        <v>0</v>
      </c>
      <c r="K110" s="137">
        <f>IF($B110="N/A","",IF(INDEX(Equipment_Utility_Decision,MATCH($B110,equipment_ID,0))=INDEX(Yes_No_Choice[],1),INDEX(Equipment_Utility_Fuel,MATCH($B110,equipment_ID,0)),""))</f>
        <v>0</v>
      </c>
      <c r="L110" s="277" t="str">
        <f t="shared" ref="L110:L147" si="14">IFERROR($E110*$F110*$K110*$M110*INDEX(General_Utilities,MATCH(INDEX(Equipment_Utility_Fuel_Selection,MATCH($B110,equipment_ID,0)),General_Utilities_Type,0),4),"")</f>
        <v/>
      </c>
      <c r="M110" s="132">
        <f t="shared" ref="M110:M147" si="15">IFERROR(INDEX(Equipment_Allocation_New,MATCH(B110,equipment_ID,0),MATCH($C$107,Unit_codes,0)),"")</f>
        <v>0.2</v>
      </c>
      <c r="N110" s="277">
        <f t="shared" ref="N110:N147" si="16">IFERROR($D110*E110*M110,"")</f>
        <v>20.999999999999996</v>
      </c>
      <c r="O110" s="137" t="str">
        <f t="shared" ref="O110:O147" si="17">IF($B110="N/A","",IF(INDEX(Equipment_Space_Selection,MATCH(B110,equipment_ID,0))="Yes",INDEX(Equipment_Space_Footprint,MATCH(B110,equipment_ID,0))*INDEX(Equipment_Quantity_New,MATCH(B110,equipment_ID,0))*M110,""))</f>
        <v/>
      </c>
    </row>
    <row r="111" spans="2:16">
      <c r="B111" s="76" t="str">
        <f t="array" ref="B111">IF(COUNTIFS(INDEX(Equipment_Allocation_New,0,MATCH($C$107,Unit_codes,0)),"&gt;0")&lt;ROWS('2.2-Equipment input'!$X$8:$X9),"N/A",INDEX('2.2-Equipment input'!B:B,SMALL(IF(INDEX(Equipment_Allocation_New,0,MATCH($C$107,Unit_codes,0))&gt;0,ROW(equipment_ID)),ROW('2.2-Equipment input'!B2))))</f>
        <v>N/A</v>
      </c>
      <c r="C111" s="76" t="str">
        <f>IF($B111="N/A","N/A",INDEX(Equipment_name[],MATCH(B111,equipment_ID,0)))</f>
        <v>N/A</v>
      </c>
      <c r="D111" s="277" t="str">
        <f t="shared" si="10"/>
        <v>N/A</v>
      </c>
      <c r="E111" s="94" t="str">
        <f t="shared" si="11"/>
        <v>N/A</v>
      </c>
      <c r="F111" s="137" t="str">
        <f>IF($B111="N/A","",IF(INDEX(Equipment_Utility_Decision,MATCH($B111,equipment_ID,0))='4.2-Settings Internal'!$B$32,INDEX(Equipment_Utility_Run,MATCH($B111,equipment_ID,0)),""))</f>
        <v/>
      </c>
      <c r="G111" s="137" t="str">
        <f>IF($B111="N/A","",IF(INDEX(Equipment_Utility_Decision,MATCH($B111,equipment_ID,0))='4.2-Settings Internal'!$B$32,INDEX(Equipment_Utility_Water,MATCH($B111,equipment_ID,0)),""))</f>
        <v/>
      </c>
      <c r="H111" s="277" t="str">
        <f t="shared" si="12"/>
        <v/>
      </c>
      <c r="I111" s="137" t="str">
        <f>IF($B111="N/A","",IF(INDEX(Equipment_Utility_Decision,MATCH($B111,equipment_ID,0))='4.2-Settings Internal'!$B$32,INDEX(Equipment_Utility_Electricity,MATCH($B111,equipment_ID,0)),""))</f>
        <v/>
      </c>
      <c r="J111" s="277" t="str">
        <f t="shared" si="13"/>
        <v/>
      </c>
      <c r="K111" s="137" t="str">
        <f>IF($B111="N/A","",IF(INDEX(Equipment_Utility_Decision,MATCH($B111,equipment_ID,0))=INDEX(Yes_No_Choice[],1),INDEX(Equipment_Utility_Fuel,MATCH($B111,equipment_ID,0)),""))</f>
        <v/>
      </c>
      <c r="L111" s="277" t="str">
        <f t="shared" si="14"/>
        <v/>
      </c>
      <c r="M111" s="132" t="str">
        <f t="shared" si="15"/>
        <v/>
      </c>
      <c r="N111" s="277" t="str">
        <f t="shared" si="16"/>
        <v/>
      </c>
      <c r="O111" s="137" t="str">
        <f t="shared" si="17"/>
        <v/>
      </c>
    </row>
    <row r="112" spans="2:16">
      <c r="B112" s="76" t="str">
        <f t="array" ref="B112">IF(COUNTIFS(INDEX(Equipment_Allocation_New,0,MATCH($C$107,Unit_codes,0)),"&gt;0")&lt;ROWS('2.2-Equipment input'!$X$8:$X10),"N/A",INDEX('2.2-Equipment input'!B:B,SMALL(IF(INDEX(Equipment_Allocation_New,0,MATCH($C$107,Unit_codes,0))&gt;0,ROW(equipment_ID)),ROW('2.2-Equipment input'!B3))))</f>
        <v>N/A</v>
      </c>
      <c r="C112" s="76" t="str">
        <f>IF($B112="N/A","N/A",INDEX(Equipment_name[],MATCH(B112,equipment_ID,0)))</f>
        <v>N/A</v>
      </c>
      <c r="D112" s="277" t="str">
        <f t="shared" si="10"/>
        <v>N/A</v>
      </c>
      <c r="E112" s="94" t="str">
        <f t="shared" si="11"/>
        <v>N/A</v>
      </c>
      <c r="F112" s="137" t="str">
        <f>IF($B112="N/A","",IF(INDEX(Equipment_Utility_Decision,MATCH($B112,equipment_ID,0))='4.2-Settings Internal'!$B$32,INDEX(Equipment_Utility_Run,MATCH($B112,equipment_ID,0)),""))</f>
        <v/>
      </c>
      <c r="G112" s="137" t="str">
        <f>IF($B112="N/A","",IF(INDEX(Equipment_Utility_Decision,MATCH($B112,equipment_ID,0))='4.2-Settings Internal'!$B$32,INDEX(Equipment_Utility_Water,MATCH($B112,equipment_ID,0)),""))</f>
        <v/>
      </c>
      <c r="H112" s="277" t="str">
        <f t="shared" si="12"/>
        <v/>
      </c>
      <c r="I112" s="137" t="str">
        <f>IF($B112="N/A","",IF(INDEX(Equipment_Utility_Decision,MATCH($B112,equipment_ID,0))='4.2-Settings Internal'!$B$32,INDEX(Equipment_Utility_Electricity,MATCH($B112,equipment_ID,0)),""))</f>
        <v/>
      </c>
      <c r="J112" s="277" t="str">
        <f t="shared" si="13"/>
        <v/>
      </c>
      <c r="K112" s="137" t="str">
        <f>IF($B112="N/A","",IF(INDEX(Equipment_Utility_Decision,MATCH($B112,equipment_ID,0))=INDEX(Yes_No_Choice[],1),INDEX(Equipment_Utility_Fuel,MATCH($B112,equipment_ID,0)),""))</f>
        <v/>
      </c>
      <c r="L112" s="277" t="str">
        <f t="shared" si="14"/>
        <v/>
      </c>
      <c r="M112" s="132" t="str">
        <f t="shared" si="15"/>
        <v/>
      </c>
      <c r="N112" s="277" t="str">
        <f t="shared" si="16"/>
        <v/>
      </c>
      <c r="O112" s="137" t="str">
        <f t="shared" si="17"/>
        <v/>
      </c>
    </row>
    <row r="113" spans="2:15">
      <c r="B113" s="76" t="str">
        <f t="array" ref="B113">IF(COUNTIFS(INDEX(Equipment_Allocation_New,0,MATCH($C$107,Unit_codes,0)),"&gt;0")&lt;ROWS('2.2-Equipment input'!$X$8:$X11),"N/A",INDEX('2.2-Equipment input'!B:B,SMALL(IF(INDEX(Equipment_Allocation_New,0,MATCH($C$107,Unit_codes,0))&gt;0,ROW(equipment_ID)),ROW('2.2-Equipment input'!B4))))</f>
        <v>N/A</v>
      </c>
      <c r="C113" s="76" t="str">
        <f>IF($B113="N/A","N/A",INDEX(Equipment_name[],MATCH(B113,equipment_ID,0)))</f>
        <v>N/A</v>
      </c>
      <c r="D113" s="277" t="str">
        <f t="shared" si="10"/>
        <v>N/A</v>
      </c>
      <c r="E113" s="94" t="str">
        <f t="shared" si="11"/>
        <v>N/A</v>
      </c>
      <c r="F113" s="137" t="str">
        <f>IF($B113="N/A","",IF(INDEX(Equipment_Utility_Decision,MATCH($B113,equipment_ID,0))='4.2-Settings Internal'!$B$32,INDEX(Equipment_Utility_Run,MATCH($B113,equipment_ID,0)),""))</f>
        <v/>
      </c>
      <c r="G113" s="137" t="str">
        <f>IF($B113="N/A","",IF(INDEX(Equipment_Utility_Decision,MATCH($B113,equipment_ID,0))='4.2-Settings Internal'!$B$32,INDEX(Equipment_Utility_Water,MATCH($B113,equipment_ID,0)),""))</f>
        <v/>
      </c>
      <c r="H113" s="277" t="str">
        <f t="shared" si="12"/>
        <v/>
      </c>
      <c r="I113" s="137" t="str">
        <f>IF($B113="N/A","",IF(INDEX(Equipment_Utility_Decision,MATCH($B113,equipment_ID,0))='4.2-Settings Internal'!$B$32,INDEX(Equipment_Utility_Electricity,MATCH($B113,equipment_ID,0)),""))</f>
        <v/>
      </c>
      <c r="J113" s="277" t="str">
        <f t="shared" si="13"/>
        <v/>
      </c>
      <c r="K113" s="137" t="str">
        <f>IF($B113="N/A","",IF(INDEX(Equipment_Utility_Decision,MATCH($B113,equipment_ID,0))=INDEX(Yes_No_Choice[],1),INDEX(Equipment_Utility_Fuel,MATCH($B113,equipment_ID,0)),""))</f>
        <v/>
      </c>
      <c r="L113" s="277" t="str">
        <f t="shared" si="14"/>
        <v/>
      </c>
      <c r="M113" s="132" t="str">
        <f t="shared" si="15"/>
        <v/>
      </c>
      <c r="N113" s="277" t="str">
        <f t="shared" si="16"/>
        <v/>
      </c>
      <c r="O113" s="137" t="str">
        <f t="shared" si="17"/>
        <v/>
      </c>
    </row>
    <row r="114" spans="2:15">
      <c r="B114" s="76" t="str">
        <f t="array" ref="B114">IF(COUNTIFS(INDEX(Equipment_Allocation_New,0,MATCH($C$107,Unit_codes,0)),"&gt;0")&lt;ROWS('2.2-Equipment input'!$X$8:$X12),"N/A",INDEX('2.2-Equipment input'!B:B,SMALL(IF(INDEX(Equipment_Allocation_New,0,MATCH($C$107,Unit_codes,0))&gt;0,ROW(equipment_ID)),ROW('2.2-Equipment input'!B5))))</f>
        <v>N/A</v>
      </c>
      <c r="C114" s="76" t="str">
        <f>IF($B114="N/A","N/A",INDEX(Equipment_name[],MATCH(B114,equipment_ID,0)))</f>
        <v>N/A</v>
      </c>
      <c r="D114" s="277" t="str">
        <f t="shared" si="10"/>
        <v>N/A</v>
      </c>
      <c r="E114" s="94" t="str">
        <f t="shared" si="11"/>
        <v>N/A</v>
      </c>
      <c r="F114" s="137" t="str">
        <f>IF($B114="N/A","",IF(INDEX(Equipment_Utility_Decision,MATCH($B114,equipment_ID,0))='4.2-Settings Internal'!$B$32,INDEX(Equipment_Utility_Run,MATCH($B114,equipment_ID,0)),""))</f>
        <v/>
      </c>
      <c r="G114" s="137" t="str">
        <f>IF($B114="N/A","",IF(INDEX(Equipment_Utility_Decision,MATCH($B114,equipment_ID,0))='4.2-Settings Internal'!$B$32,INDEX(Equipment_Utility_Water,MATCH($B114,equipment_ID,0)),""))</f>
        <v/>
      </c>
      <c r="H114" s="277" t="str">
        <f t="shared" si="12"/>
        <v/>
      </c>
      <c r="I114" s="137" t="str">
        <f>IF($B114="N/A","",IF(INDEX(Equipment_Utility_Decision,MATCH($B114,equipment_ID,0))='4.2-Settings Internal'!$B$32,INDEX(Equipment_Utility_Electricity,MATCH($B114,equipment_ID,0)),""))</f>
        <v/>
      </c>
      <c r="J114" s="277" t="str">
        <f t="shared" si="13"/>
        <v/>
      </c>
      <c r="K114" s="137" t="str">
        <f>IF($B114="N/A","",IF(INDEX(Equipment_Utility_Decision,MATCH($B114,equipment_ID,0))=INDEX(Yes_No_Choice[],1),INDEX(Equipment_Utility_Fuel,MATCH($B114,equipment_ID,0)),""))</f>
        <v/>
      </c>
      <c r="L114" s="277" t="str">
        <f t="shared" si="14"/>
        <v/>
      </c>
      <c r="M114" s="132" t="str">
        <f t="shared" si="15"/>
        <v/>
      </c>
      <c r="N114" s="277" t="str">
        <f t="shared" si="16"/>
        <v/>
      </c>
      <c r="O114" s="137" t="str">
        <f t="shared" si="17"/>
        <v/>
      </c>
    </row>
    <row r="115" spans="2:15">
      <c r="B115" s="76" t="str">
        <f t="array" ref="B115">IF(COUNTIFS(INDEX(Equipment_Allocation_New,0,MATCH($C$107,Unit_codes,0)),"&gt;0")&lt;ROWS('2.2-Equipment input'!$X$8:$X13),"N/A",INDEX('2.2-Equipment input'!B:B,SMALL(IF(INDEX(Equipment_Allocation_New,0,MATCH($C$107,Unit_codes,0))&gt;0,ROW(equipment_ID)),ROW('2.2-Equipment input'!B6))))</f>
        <v>N/A</v>
      </c>
      <c r="C115" s="76" t="str">
        <f>IF($B115="N/A","N/A",INDEX(Equipment_name[],MATCH(B115,equipment_ID,0)))</f>
        <v>N/A</v>
      </c>
      <c r="D115" s="277" t="str">
        <f t="shared" si="10"/>
        <v>N/A</v>
      </c>
      <c r="E115" s="94" t="str">
        <f t="shared" si="11"/>
        <v>N/A</v>
      </c>
      <c r="F115" s="137" t="str">
        <f>IF($B115="N/A","",IF(INDEX(Equipment_Utility_Decision,MATCH($B115,equipment_ID,0))='4.2-Settings Internal'!$B$32,INDEX(Equipment_Utility_Run,MATCH($B115,equipment_ID,0)),""))</f>
        <v/>
      </c>
      <c r="G115" s="137" t="str">
        <f>IF($B115="N/A","",IF(INDEX(Equipment_Utility_Decision,MATCH($B115,equipment_ID,0))='4.2-Settings Internal'!$B$32,INDEX(Equipment_Utility_Water,MATCH($B115,equipment_ID,0)),""))</f>
        <v/>
      </c>
      <c r="H115" s="277" t="str">
        <f t="shared" si="12"/>
        <v/>
      </c>
      <c r="I115" s="137" t="str">
        <f>IF($B115="N/A","",IF(INDEX(Equipment_Utility_Decision,MATCH($B115,equipment_ID,0))='4.2-Settings Internal'!$B$32,INDEX(Equipment_Utility_Electricity,MATCH($B115,equipment_ID,0)),""))</f>
        <v/>
      </c>
      <c r="J115" s="277" t="str">
        <f t="shared" si="13"/>
        <v/>
      </c>
      <c r="K115" s="137" t="str">
        <f>IF($B115="N/A","",IF(INDEX(Equipment_Utility_Decision,MATCH($B115,equipment_ID,0))=INDEX(Yes_No_Choice[],1),INDEX(Equipment_Utility_Fuel,MATCH($B115,equipment_ID,0)),""))</f>
        <v/>
      </c>
      <c r="L115" s="277" t="str">
        <f t="shared" si="14"/>
        <v/>
      </c>
      <c r="M115" s="132" t="str">
        <f t="shared" si="15"/>
        <v/>
      </c>
      <c r="N115" s="277" t="str">
        <f t="shared" si="16"/>
        <v/>
      </c>
      <c r="O115" s="137" t="str">
        <f t="shared" si="17"/>
        <v/>
      </c>
    </row>
    <row r="116" spans="2:15">
      <c r="B116" s="76" t="str">
        <f t="array" ref="B116">IF(COUNTIFS(INDEX(Equipment_Allocation_New,0,MATCH($C$107,Unit_codes,0)),"&gt;0")&lt;ROWS('2.2-Equipment input'!$X$8:$X14),"N/A",INDEX('2.2-Equipment input'!B:B,SMALL(IF(INDEX(Equipment_Allocation_New,0,MATCH($C$107,Unit_codes,0))&gt;0,ROW(equipment_ID)),ROW('2.2-Equipment input'!B7))))</f>
        <v>N/A</v>
      </c>
      <c r="C116" s="76" t="str">
        <f>IF($B116="N/A","N/A",INDEX(Equipment_name[],MATCH(B116,equipment_ID,0)))</f>
        <v>N/A</v>
      </c>
      <c r="D116" s="277" t="str">
        <f t="shared" si="10"/>
        <v>N/A</v>
      </c>
      <c r="E116" s="94" t="str">
        <f t="shared" si="11"/>
        <v>N/A</v>
      </c>
      <c r="F116" s="137" t="str">
        <f>IF($B116="N/A","",IF(INDEX(Equipment_Utility_Decision,MATCH($B116,equipment_ID,0))='4.2-Settings Internal'!$B$32,INDEX(Equipment_Utility_Run,MATCH($B116,equipment_ID,0)),""))</f>
        <v/>
      </c>
      <c r="G116" s="137" t="str">
        <f>IF($B116="N/A","",IF(INDEX(Equipment_Utility_Decision,MATCH($B116,equipment_ID,0))='4.2-Settings Internal'!$B$32,INDEX(Equipment_Utility_Water,MATCH($B116,equipment_ID,0)),""))</f>
        <v/>
      </c>
      <c r="H116" s="277" t="str">
        <f t="shared" si="12"/>
        <v/>
      </c>
      <c r="I116" s="137" t="str">
        <f>IF($B116="N/A","",IF(INDEX(Equipment_Utility_Decision,MATCH($B116,equipment_ID,0))='4.2-Settings Internal'!$B$32,INDEX(Equipment_Utility_Electricity,MATCH($B116,equipment_ID,0)),""))</f>
        <v/>
      </c>
      <c r="J116" s="277" t="str">
        <f t="shared" si="13"/>
        <v/>
      </c>
      <c r="K116" s="137" t="str">
        <f>IF($B116="N/A","",IF(INDEX(Equipment_Utility_Decision,MATCH($B116,equipment_ID,0))=INDEX(Yes_No_Choice[],1),INDEX(Equipment_Utility_Fuel,MATCH($B116,equipment_ID,0)),""))</f>
        <v/>
      </c>
      <c r="L116" s="277" t="str">
        <f t="shared" si="14"/>
        <v/>
      </c>
      <c r="M116" s="132" t="str">
        <f t="shared" si="15"/>
        <v/>
      </c>
      <c r="N116" s="277" t="str">
        <f t="shared" si="16"/>
        <v/>
      </c>
      <c r="O116" s="137" t="str">
        <f t="shared" si="17"/>
        <v/>
      </c>
    </row>
    <row r="117" spans="2:15">
      <c r="B117" s="76" t="str">
        <f t="array" ref="B117">IF(COUNTIFS(INDEX(Equipment_Allocation_New,0,MATCH($C$107,Unit_codes,0)),"&gt;0")&lt;ROWS('2.2-Equipment input'!$X$8:$X15),"N/A",INDEX('2.2-Equipment input'!B:B,SMALL(IF(INDEX(Equipment_Allocation_New,0,MATCH($C$107,Unit_codes,0))&gt;0,ROW(equipment_ID)),ROW('2.2-Equipment input'!B8))))</f>
        <v>N/A</v>
      </c>
      <c r="C117" s="76" t="str">
        <f>IF($B117="N/A","N/A",INDEX(Equipment_name[],MATCH(B117,equipment_ID,0)))</f>
        <v>N/A</v>
      </c>
      <c r="D117" s="277" t="str">
        <f t="shared" si="10"/>
        <v>N/A</v>
      </c>
      <c r="E117" s="94" t="str">
        <f t="shared" si="11"/>
        <v>N/A</v>
      </c>
      <c r="F117" s="137" t="str">
        <f>IF($B117="N/A","",IF(INDEX(Equipment_Utility_Decision,MATCH($B117,equipment_ID,0))='4.2-Settings Internal'!$B$32,INDEX(Equipment_Utility_Run,MATCH($B117,equipment_ID,0)),""))</f>
        <v/>
      </c>
      <c r="G117" s="137" t="str">
        <f>IF($B117="N/A","",IF(INDEX(Equipment_Utility_Decision,MATCH($B117,equipment_ID,0))='4.2-Settings Internal'!$B$32,INDEX(Equipment_Utility_Water,MATCH($B117,equipment_ID,0)),""))</f>
        <v/>
      </c>
      <c r="H117" s="277" t="str">
        <f t="shared" si="12"/>
        <v/>
      </c>
      <c r="I117" s="137" t="str">
        <f>IF($B117="N/A","",IF(INDEX(Equipment_Utility_Decision,MATCH($B117,equipment_ID,0))='4.2-Settings Internal'!$B$32,INDEX(Equipment_Utility_Electricity,MATCH($B117,equipment_ID,0)),""))</f>
        <v/>
      </c>
      <c r="J117" s="277" t="str">
        <f t="shared" si="13"/>
        <v/>
      </c>
      <c r="K117" s="137" t="str">
        <f>IF($B117="N/A","",IF(INDEX(Equipment_Utility_Decision,MATCH($B117,equipment_ID,0))=INDEX(Yes_No_Choice[],1),INDEX(Equipment_Utility_Fuel,MATCH($B117,equipment_ID,0)),""))</f>
        <v/>
      </c>
      <c r="L117" s="277" t="str">
        <f t="shared" si="14"/>
        <v/>
      </c>
      <c r="M117" s="132" t="str">
        <f t="shared" si="15"/>
        <v/>
      </c>
      <c r="N117" s="277" t="str">
        <f t="shared" si="16"/>
        <v/>
      </c>
      <c r="O117" s="137" t="str">
        <f t="shared" si="17"/>
        <v/>
      </c>
    </row>
    <row r="118" spans="2:15">
      <c r="B118" s="76" t="str">
        <f t="array" ref="B118">IF(COUNTIFS(INDEX(Equipment_Allocation_New,0,MATCH($C$107,Unit_codes,0)),"&gt;0")&lt;ROWS('2.2-Equipment input'!$X$8:$X16),"N/A",INDEX('2.2-Equipment input'!B:B,SMALL(IF(INDEX(Equipment_Allocation_New,0,MATCH($C$107,Unit_codes,0))&gt;0,ROW(equipment_ID)),ROW('2.2-Equipment input'!B9))))</f>
        <v>N/A</v>
      </c>
      <c r="C118" s="76" t="str">
        <f>IF($B118="N/A","N/A",INDEX(Equipment_name[],MATCH(B118,equipment_ID,0)))</f>
        <v>N/A</v>
      </c>
      <c r="D118" s="277" t="str">
        <f t="shared" si="10"/>
        <v>N/A</v>
      </c>
      <c r="E118" s="94" t="str">
        <f t="shared" si="11"/>
        <v>N/A</v>
      </c>
      <c r="F118" s="137" t="str">
        <f>IF($B118="N/A","",IF(INDEX(Equipment_Utility_Decision,MATCH($B118,equipment_ID,0))='4.2-Settings Internal'!$B$32,INDEX(Equipment_Utility_Run,MATCH($B118,equipment_ID,0)),""))</f>
        <v/>
      </c>
      <c r="G118" s="137" t="str">
        <f>IF($B118="N/A","",IF(INDEX(Equipment_Utility_Decision,MATCH($B118,equipment_ID,0))='4.2-Settings Internal'!$B$32,INDEX(Equipment_Utility_Water,MATCH($B118,equipment_ID,0)),""))</f>
        <v/>
      </c>
      <c r="H118" s="277" t="str">
        <f t="shared" si="12"/>
        <v/>
      </c>
      <c r="I118" s="137" t="str">
        <f>IF($B118="N/A","",IF(INDEX(Equipment_Utility_Decision,MATCH($B118,equipment_ID,0))='4.2-Settings Internal'!$B$32,INDEX(Equipment_Utility_Electricity,MATCH($B118,equipment_ID,0)),""))</f>
        <v/>
      </c>
      <c r="J118" s="277" t="str">
        <f t="shared" si="13"/>
        <v/>
      </c>
      <c r="K118" s="137" t="str">
        <f>IF($B118="N/A","",IF(INDEX(Equipment_Utility_Decision,MATCH($B118,equipment_ID,0))=INDEX(Yes_No_Choice[],1),INDEX(Equipment_Utility_Fuel,MATCH($B118,equipment_ID,0)),""))</f>
        <v/>
      </c>
      <c r="L118" s="277" t="str">
        <f t="shared" si="14"/>
        <v/>
      </c>
      <c r="M118" s="132" t="str">
        <f t="shared" si="15"/>
        <v/>
      </c>
      <c r="N118" s="277" t="str">
        <f t="shared" si="16"/>
        <v/>
      </c>
      <c r="O118" s="137" t="str">
        <f t="shared" si="17"/>
        <v/>
      </c>
    </row>
    <row r="119" spans="2:15">
      <c r="B119" s="76" t="str">
        <f t="array" ref="B119">IF(COUNTIFS(INDEX(Equipment_Allocation_New,0,MATCH($C$107,Unit_codes,0)),"&gt;0")&lt;ROWS('2.2-Equipment input'!$X$8:$X17),"N/A",INDEX('2.2-Equipment input'!B:B,SMALL(IF(INDEX(Equipment_Allocation_New,0,MATCH($C$107,Unit_codes,0))&gt;0,ROW(equipment_ID)),ROW('2.2-Equipment input'!B10))))</f>
        <v>N/A</v>
      </c>
      <c r="C119" s="76" t="str">
        <f>IF($B119="N/A","N/A",INDEX(Equipment_name[],MATCH(B119,equipment_ID,0)))</f>
        <v>N/A</v>
      </c>
      <c r="D119" s="277" t="str">
        <f t="shared" si="10"/>
        <v>N/A</v>
      </c>
      <c r="E119" s="94" t="str">
        <f t="shared" si="11"/>
        <v>N/A</v>
      </c>
      <c r="F119" s="137" t="str">
        <f>IF($B119="N/A","",IF(INDEX(Equipment_Utility_Decision,MATCH($B119,equipment_ID,0))='4.2-Settings Internal'!$B$32,INDEX(Equipment_Utility_Run,MATCH($B119,equipment_ID,0)),""))</f>
        <v/>
      </c>
      <c r="G119" s="137" t="str">
        <f>IF($B119="N/A","",IF(INDEX(Equipment_Utility_Decision,MATCH($B119,equipment_ID,0))='4.2-Settings Internal'!$B$32,INDEX(Equipment_Utility_Water,MATCH($B119,equipment_ID,0)),""))</f>
        <v/>
      </c>
      <c r="H119" s="277" t="str">
        <f t="shared" si="12"/>
        <v/>
      </c>
      <c r="I119" s="137" t="str">
        <f>IF($B119="N/A","",IF(INDEX(Equipment_Utility_Decision,MATCH($B119,equipment_ID,0))='4.2-Settings Internal'!$B$32,INDEX(Equipment_Utility_Electricity,MATCH($B119,equipment_ID,0)),""))</f>
        <v/>
      </c>
      <c r="J119" s="277" t="str">
        <f t="shared" si="13"/>
        <v/>
      </c>
      <c r="K119" s="137" t="str">
        <f>IF($B119="N/A","",IF(INDEX(Equipment_Utility_Decision,MATCH($B119,equipment_ID,0))=INDEX(Yes_No_Choice[],1),INDEX(Equipment_Utility_Fuel,MATCH($B119,equipment_ID,0)),""))</f>
        <v/>
      </c>
      <c r="L119" s="277" t="str">
        <f t="shared" si="14"/>
        <v/>
      </c>
      <c r="M119" s="132" t="str">
        <f t="shared" si="15"/>
        <v/>
      </c>
      <c r="N119" s="277" t="str">
        <f t="shared" si="16"/>
        <v/>
      </c>
      <c r="O119" s="137" t="str">
        <f t="shared" si="17"/>
        <v/>
      </c>
    </row>
    <row r="120" spans="2:15">
      <c r="B120" s="76" t="str">
        <f t="array" ref="B120">IF(COUNTIFS(INDEX(Equipment_Allocation_New,0,MATCH($C$107,Unit_codes,0)),"&gt;0")&lt;ROWS('2.2-Equipment input'!$X$8:$X18),"N/A",INDEX('2.2-Equipment input'!B:B,SMALL(IF(INDEX(Equipment_Allocation_New,0,MATCH($C$107,Unit_codes,0))&gt;0,ROW(equipment_ID)),ROW('2.2-Equipment input'!B11))))</f>
        <v>N/A</v>
      </c>
      <c r="C120" s="76" t="str">
        <f>IF($B120="N/A","N/A",INDEX(Equipment_name[],MATCH(B120,equipment_ID,0)))</f>
        <v>N/A</v>
      </c>
      <c r="D120" s="277" t="str">
        <f t="shared" si="10"/>
        <v>N/A</v>
      </c>
      <c r="E120" s="94" t="str">
        <f t="shared" si="11"/>
        <v>N/A</v>
      </c>
      <c r="F120" s="137" t="str">
        <f>IF($B120="N/A","",IF(INDEX(Equipment_Utility_Decision,MATCH($B120,equipment_ID,0))='4.2-Settings Internal'!$B$32,INDEX(Equipment_Utility_Run,MATCH($B120,equipment_ID,0)),""))</f>
        <v/>
      </c>
      <c r="G120" s="137" t="str">
        <f>IF($B120="N/A","",IF(INDEX(Equipment_Utility_Decision,MATCH($B120,equipment_ID,0))='4.2-Settings Internal'!$B$32,INDEX(Equipment_Utility_Water,MATCH($B120,equipment_ID,0)),""))</f>
        <v/>
      </c>
      <c r="H120" s="277" t="str">
        <f t="shared" si="12"/>
        <v/>
      </c>
      <c r="I120" s="137" t="str">
        <f>IF($B120="N/A","",IF(INDEX(Equipment_Utility_Decision,MATCH($B120,equipment_ID,0))='4.2-Settings Internal'!$B$32,INDEX(Equipment_Utility_Electricity,MATCH($B120,equipment_ID,0)),""))</f>
        <v/>
      </c>
      <c r="J120" s="277" t="str">
        <f t="shared" si="13"/>
        <v/>
      </c>
      <c r="K120" s="137" t="str">
        <f>IF($B120="N/A","",IF(INDEX(Equipment_Utility_Decision,MATCH($B120,equipment_ID,0))=INDEX(Yes_No_Choice[],1),INDEX(Equipment_Utility_Fuel,MATCH($B120,equipment_ID,0)),""))</f>
        <v/>
      </c>
      <c r="L120" s="277" t="str">
        <f t="shared" si="14"/>
        <v/>
      </c>
      <c r="M120" s="132" t="str">
        <f t="shared" si="15"/>
        <v/>
      </c>
      <c r="N120" s="277" t="str">
        <f t="shared" si="16"/>
        <v/>
      </c>
      <c r="O120" s="137" t="str">
        <f t="shared" si="17"/>
        <v/>
      </c>
    </row>
    <row r="121" spans="2:15">
      <c r="B121" s="76" t="str">
        <f t="array" ref="B121">IF(COUNTIFS(INDEX(Equipment_Allocation_New,0,MATCH($C$107,Unit_codes,0)),"&gt;0")&lt;ROWS('2.2-Equipment input'!$X$8:$X19),"N/A",INDEX('2.2-Equipment input'!B:B,SMALL(IF(INDEX(Equipment_Allocation_New,0,MATCH($C$107,Unit_codes,0))&gt;0,ROW(equipment_ID)),ROW('2.2-Equipment input'!B12))))</f>
        <v>N/A</v>
      </c>
      <c r="C121" s="76" t="str">
        <f>IF($B121="N/A","N/A",INDEX(Equipment_name[],MATCH(B121,equipment_ID,0)))</f>
        <v>N/A</v>
      </c>
      <c r="D121" s="277" t="str">
        <f t="shared" si="10"/>
        <v>N/A</v>
      </c>
      <c r="E121" s="94" t="str">
        <f t="shared" si="11"/>
        <v>N/A</v>
      </c>
      <c r="F121" s="137" t="str">
        <f>IF($B121="N/A","",IF(INDEX(Equipment_Utility_Decision,MATCH($B121,equipment_ID,0))='4.2-Settings Internal'!$B$32,INDEX(Equipment_Utility_Run,MATCH($B121,equipment_ID,0)),""))</f>
        <v/>
      </c>
      <c r="G121" s="137" t="str">
        <f>IF($B121="N/A","",IF(INDEX(Equipment_Utility_Decision,MATCH($B121,equipment_ID,0))='4.2-Settings Internal'!$B$32,INDEX(Equipment_Utility_Water,MATCH($B121,equipment_ID,0)),""))</f>
        <v/>
      </c>
      <c r="H121" s="277" t="str">
        <f t="shared" si="12"/>
        <v/>
      </c>
      <c r="I121" s="137" t="str">
        <f>IF($B121="N/A","",IF(INDEX(Equipment_Utility_Decision,MATCH($B121,equipment_ID,0))='4.2-Settings Internal'!$B$32,INDEX(Equipment_Utility_Electricity,MATCH($B121,equipment_ID,0)),""))</f>
        <v/>
      </c>
      <c r="J121" s="277" t="str">
        <f t="shared" si="13"/>
        <v/>
      </c>
      <c r="K121" s="137" t="str">
        <f>IF($B121="N/A","",IF(INDEX(Equipment_Utility_Decision,MATCH($B121,equipment_ID,0))=INDEX(Yes_No_Choice[],1),INDEX(Equipment_Utility_Fuel,MATCH($B121,equipment_ID,0)),""))</f>
        <v/>
      </c>
      <c r="L121" s="277" t="str">
        <f t="shared" si="14"/>
        <v/>
      </c>
      <c r="M121" s="132" t="str">
        <f t="shared" si="15"/>
        <v/>
      </c>
      <c r="N121" s="277" t="str">
        <f t="shared" si="16"/>
        <v/>
      </c>
      <c r="O121" s="137" t="str">
        <f t="shared" si="17"/>
        <v/>
      </c>
    </row>
    <row r="122" spans="2:15">
      <c r="B122" s="76" t="str">
        <f t="array" ref="B122">IF(COUNTIFS(INDEX(Equipment_Allocation_New,0,MATCH($C$107,Unit_codes,0)),"&gt;0")&lt;ROWS('2.2-Equipment input'!$X$8:$X20),"N/A",INDEX('2.2-Equipment input'!B:B,SMALL(IF(INDEX(Equipment_Allocation_New,0,MATCH($C$107,Unit_codes,0))&gt;0,ROW(equipment_ID)),ROW('2.2-Equipment input'!B13))))</f>
        <v>N/A</v>
      </c>
      <c r="C122" s="76" t="str">
        <f>IF($B122="N/A","N/A",INDEX(Equipment_name[],MATCH(B122,equipment_ID,0)))</f>
        <v>N/A</v>
      </c>
      <c r="D122" s="277" t="str">
        <f t="shared" si="10"/>
        <v>N/A</v>
      </c>
      <c r="E122" s="94" t="str">
        <f t="shared" si="11"/>
        <v>N/A</v>
      </c>
      <c r="F122" s="137" t="str">
        <f>IF($B122="N/A","",IF(INDEX(Equipment_Utility_Decision,MATCH($B122,equipment_ID,0))='4.2-Settings Internal'!$B$32,INDEX(Equipment_Utility_Run,MATCH($B122,equipment_ID,0)),""))</f>
        <v/>
      </c>
      <c r="G122" s="137" t="str">
        <f>IF($B122="N/A","",IF(INDEX(Equipment_Utility_Decision,MATCH($B122,equipment_ID,0))='4.2-Settings Internal'!$B$32,INDEX(Equipment_Utility_Water,MATCH($B122,equipment_ID,0)),""))</f>
        <v/>
      </c>
      <c r="H122" s="277" t="str">
        <f t="shared" si="12"/>
        <v/>
      </c>
      <c r="I122" s="137" t="str">
        <f>IF($B122="N/A","",IF(INDEX(Equipment_Utility_Decision,MATCH($B122,equipment_ID,0))='4.2-Settings Internal'!$B$32,INDEX(Equipment_Utility_Electricity,MATCH($B122,equipment_ID,0)),""))</f>
        <v/>
      </c>
      <c r="J122" s="277" t="str">
        <f t="shared" si="13"/>
        <v/>
      </c>
      <c r="K122" s="137" t="str">
        <f>IF($B122="N/A","",IF(INDEX(Equipment_Utility_Decision,MATCH($B122,equipment_ID,0))=INDEX(Yes_No_Choice[],1),INDEX(Equipment_Utility_Fuel,MATCH($B122,equipment_ID,0)),""))</f>
        <v/>
      </c>
      <c r="L122" s="277" t="str">
        <f t="shared" si="14"/>
        <v/>
      </c>
      <c r="M122" s="132" t="str">
        <f t="shared" si="15"/>
        <v/>
      </c>
      <c r="N122" s="277" t="str">
        <f t="shared" si="16"/>
        <v/>
      </c>
      <c r="O122" s="137" t="str">
        <f t="shared" si="17"/>
        <v/>
      </c>
    </row>
    <row r="123" spans="2:15">
      <c r="B123" s="76" t="str">
        <f t="array" ref="B123">IF(COUNTIFS(INDEX(Equipment_Allocation_New,0,MATCH($C$107,Unit_codes,0)),"&gt;0")&lt;ROWS('2.2-Equipment input'!$X$8:$X21),"N/A",INDEX('2.2-Equipment input'!B:B,SMALL(IF(INDEX(Equipment_Allocation_New,0,MATCH($C$107,Unit_codes,0))&gt;0,ROW(equipment_ID)),ROW('2.2-Equipment input'!B14))))</f>
        <v>N/A</v>
      </c>
      <c r="C123" s="76" t="str">
        <f>IF($B123="N/A","N/A",INDEX(Equipment_name[],MATCH(B123,equipment_ID,0)))</f>
        <v>N/A</v>
      </c>
      <c r="D123" s="277" t="str">
        <f t="shared" si="10"/>
        <v>N/A</v>
      </c>
      <c r="E123" s="94" t="str">
        <f t="shared" si="11"/>
        <v>N/A</v>
      </c>
      <c r="F123" s="137" t="str">
        <f>IF($B123="N/A","",IF(INDEX(Equipment_Utility_Decision,MATCH($B123,equipment_ID,0))='4.2-Settings Internal'!$B$32,INDEX(Equipment_Utility_Run,MATCH($B123,equipment_ID,0)),""))</f>
        <v/>
      </c>
      <c r="G123" s="137" t="str">
        <f>IF($B123="N/A","",IF(INDEX(Equipment_Utility_Decision,MATCH($B123,equipment_ID,0))='4.2-Settings Internal'!$B$32,INDEX(Equipment_Utility_Water,MATCH($B123,equipment_ID,0)),""))</f>
        <v/>
      </c>
      <c r="H123" s="277" t="str">
        <f t="shared" si="12"/>
        <v/>
      </c>
      <c r="I123" s="137" t="str">
        <f>IF($B123="N/A","",IF(INDEX(Equipment_Utility_Decision,MATCH($B123,equipment_ID,0))='4.2-Settings Internal'!$B$32,INDEX(Equipment_Utility_Electricity,MATCH($B123,equipment_ID,0)),""))</f>
        <v/>
      </c>
      <c r="J123" s="277" t="str">
        <f t="shared" si="13"/>
        <v/>
      </c>
      <c r="K123" s="137" t="str">
        <f>IF($B123="N/A","",IF(INDEX(Equipment_Utility_Decision,MATCH($B123,equipment_ID,0))=INDEX(Yes_No_Choice[],1),INDEX(Equipment_Utility_Fuel,MATCH($B123,equipment_ID,0)),""))</f>
        <v/>
      </c>
      <c r="L123" s="277" t="str">
        <f t="shared" si="14"/>
        <v/>
      </c>
      <c r="M123" s="132" t="str">
        <f t="shared" si="15"/>
        <v/>
      </c>
      <c r="N123" s="277" t="str">
        <f t="shared" si="16"/>
        <v/>
      </c>
      <c r="O123" s="137" t="str">
        <f t="shared" si="17"/>
        <v/>
      </c>
    </row>
    <row r="124" spans="2:15">
      <c r="B124" s="76" t="str">
        <f t="array" ref="B124">IF(COUNTIFS(INDEX(Equipment_Allocation_New,0,MATCH($C$107,Unit_codes,0)),"&gt;0")&lt;ROWS('2.2-Equipment input'!$X$8:$X22),"N/A",INDEX('2.2-Equipment input'!B:B,SMALL(IF(INDEX(Equipment_Allocation_New,0,MATCH($C$107,Unit_codes,0))&gt;0,ROW(equipment_ID)),ROW('2.2-Equipment input'!B15))))</f>
        <v>N/A</v>
      </c>
      <c r="C124" s="76" t="str">
        <f>IF($B124="N/A","N/A",INDEX(Equipment_name[],MATCH(B124,equipment_ID,0)))</f>
        <v>N/A</v>
      </c>
      <c r="D124" s="277" t="str">
        <f t="shared" si="10"/>
        <v>N/A</v>
      </c>
      <c r="E124" s="94" t="str">
        <f t="shared" si="11"/>
        <v>N/A</v>
      </c>
      <c r="F124" s="137" t="str">
        <f>IF($B124="N/A","",IF(INDEX(Equipment_Utility_Decision,MATCH($B124,equipment_ID,0))='4.2-Settings Internal'!$B$32,INDEX(Equipment_Utility_Run,MATCH($B124,equipment_ID,0)),""))</f>
        <v/>
      </c>
      <c r="G124" s="137" t="str">
        <f>IF($B124="N/A","",IF(INDEX(Equipment_Utility_Decision,MATCH($B124,equipment_ID,0))='4.2-Settings Internal'!$B$32,INDEX(Equipment_Utility_Water,MATCH($B124,equipment_ID,0)),""))</f>
        <v/>
      </c>
      <c r="H124" s="277" t="str">
        <f t="shared" si="12"/>
        <v/>
      </c>
      <c r="I124" s="137" t="str">
        <f>IF($B124="N/A","",IF(INDEX(Equipment_Utility_Decision,MATCH($B124,equipment_ID,0))='4.2-Settings Internal'!$B$32,INDEX(Equipment_Utility_Electricity,MATCH($B124,equipment_ID,0)),""))</f>
        <v/>
      </c>
      <c r="J124" s="277" t="str">
        <f t="shared" si="13"/>
        <v/>
      </c>
      <c r="K124" s="137" t="str">
        <f>IF($B124="N/A","",IF(INDEX(Equipment_Utility_Decision,MATCH($B124,equipment_ID,0))=INDEX(Yes_No_Choice[],1),INDEX(Equipment_Utility_Fuel,MATCH($B124,equipment_ID,0)),""))</f>
        <v/>
      </c>
      <c r="L124" s="277" t="str">
        <f t="shared" si="14"/>
        <v/>
      </c>
      <c r="M124" s="132" t="str">
        <f t="shared" si="15"/>
        <v/>
      </c>
      <c r="N124" s="277" t="str">
        <f t="shared" si="16"/>
        <v/>
      </c>
      <c r="O124" s="137" t="str">
        <f t="shared" si="17"/>
        <v/>
      </c>
    </row>
    <row r="125" spans="2:15">
      <c r="B125" s="76" t="str">
        <f t="array" ref="B125">IF(COUNTIFS(INDEX(Equipment_Allocation_New,0,MATCH($C$107,Unit_codes,0)),"&gt;0")&lt;ROWS('2.2-Equipment input'!$X$8:$X23),"N/A",INDEX('2.2-Equipment input'!B:B,SMALL(IF(INDEX(Equipment_Allocation_New,0,MATCH($C$107,Unit_codes,0))&gt;0,ROW(equipment_ID)),ROW('2.2-Equipment input'!B16))))</f>
        <v>N/A</v>
      </c>
      <c r="C125" s="76" t="str">
        <f>IF($B125="N/A","N/A",INDEX(Equipment_name[],MATCH(B125,equipment_ID,0)))</f>
        <v>N/A</v>
      </c>
      <c r="D125" s="277" t="str">
        <f t="shared" si="10"/>
        <v>N/A</v>
      </c>
      <c r="E125" s="94" t="str">
        <f t="shared" si="11"/>
        <v>N/A</v>
      </c>
      <c r="F125" s="137" t="str">
        <f>IF($B125="N/A","",IF(INDEX(Equipment_Utility_Decision,MATCH($B125,equipment_ID,0))='4.2-Settings Internal'!$B$32,INDEX(Equipment_Utility_Run,MATCH($B125,equipment_ID,0)),""))</f>
        <v/>
      </c>
      <c r="G125" s="137" t="str">
        <f>IF($B125="N/A","",IF(INDEX(Equipment_Utility_Decision,MATCH($B125,equipment_ID,0))='4.2-Settings Internal'!$B$32,INDEX(Equipment_Utility_Water,MATCH($B125,equipment_ID,0)),""))</f>
        <v/>
      </c>
      <c r="H125" s="277" t="str">
        <f t="shared" si="12"/>
        <v/>
      </c>
      <c r="I125" s="137" t="str">
        <f>IF($B125="N/A","",IF(INDEX(Equipment_Utility_Decision,MATCH($B125,equipment_ID,0))='4.2-Settings Internal'!$B$32,INDEX(Equipment_Utility_Electricity,MATCH($B125,equipment_ID,0)),""))</f>
        <v/>
      </c>
      <c r="J125" s="277" t="str">
        <f t="shared" si="13"/>
        <v/>
      </c>
      <c r="K125" s="137" t="str">
        <f>IF($B125="N/A","",IF(INDEX(Equipment_Utility_Decision,MATCH($B125,equipment_ID,0))=INDEX(Yes_No_Choice[],1),INDEX(Equipment_Utility_Fuel,MATCH($B125,equipment_ID,0)),""))</f>
        <v/>
      </c>
      <c r="L125" s="277" t="str">
        <f t="shared" si="14"/>
        <v/>
      </c>
      <c r="M125" s="132" t="str">
        <f t="shared" si="15"/>
        <v/>
      </c>
      <c r="N125" s="277" t="str">
        <f t="shared" si="16"/>
        <v/>
      </c>
      <c r="O125" s="137" t="str">
        <f t="shared" si="17"/>
        <v/>
      </c>
    </row>
    <row r="126" spans="2:15">
      <c r="B126" s="76" t="str">
        <f t="array" ref="B126">IF(COUNTIFS(INDEX(Equipment_Allocation_New,0,MATCH($C$107,Unit_codes,0)),"&gt;0")&lt;ROWS('2.2-Equipment input'!$X$8:$X24),"N/A",INDEX('2.2-Equipment input'!B:B,SMALL(IF(INDEX(Equipment_Allocation_New,0,MATCH($C$107,Unit_codes,0))&gt;0,ROW(equipment_ID)),ROW('2.2-Equipment input'!B17))))</f>
        <v>N/A</v>
      </c>
      <c r="C126" s="76" t="str">
        <f>IF($B126="N/A","N/A",INDEX(Equipment_name[],MATCH(B126,equipment_ID,0)))</f>
        <v>N/A</v>
      </c>
      <c r="D126" s="277" t="str">
        <f t="shared" si="10"/>
        <v>N/A</v>
      </c>
      <c r="E126" s="94" t="str">
        <f t="shared" si="11"/>
        <v>N/A</v>
      </c>
      <c r="F126" s="137" t="str">
        <f>IF($B126="N/A","",IF(INDEX(Equipment_Utility_Decision,MATCH($B126,equipment_ID,0))='4.2-Settings Internal'!$B$32,INDEX(Equipment_Utility_Run,MATCH($B126,equipment_ID,0)),""))</f>
        <v/>
      </c>
      <c r="G126" s="137" t="str">
        <f>IF($B126="N/A","",IF(INDEX(Equipment_Utility_Decision,MATCH($B126,equipment_ID,0))='4.2-Settings Internal'!$B$32,INDEX(Equipment_Utility_Water,MATCH($B126,equipment_ID,0)),""))</f>
        <v/>
      </c>
      <c r="H126" s="277" t="str">
        <f t="shared" si="12"/>
        <v/>
      </c>
      <c r="I126" s="137" t="str">
        <f>IF($B126="N/A","",IF(INDEX(Equipment_Utility_Decision,MATCH($B126,equipment_ID,0))='4.2-Settings Internal'!$B$32,INDEX(Equipment_Utility_Electricity,MATCH($B126,equipment_ID,0)),""))</f>
        <v/>
      </c>
      <c r="J126" s="277" t="str">
        <f t="shared" si="13"/>
        <v/>
      </c>
      <c r="K126" s="137" t="str">
        <f>IF($B126="N/A","",IF(INDEX(Equipment_Utility_Decision,MATCH($B126,equipment_ID,0))=INDEX(Yes_No_Choice[],1),INDEX(Equipment_Utility_Fuel,MATCH($B126,equipment_ID,0)),""))</f>
        <v/>
      </c>
      <c r="L126" s="277" t="str">
        <f t="shared" si="14"/>
        <v/>
      </c>
      <c r="M126" s="132" t="str">
        <f t="shared" si="15"/>
        <v/>
      </c>
      <c r="N126" s="277" t="str">
        <f t="shared" si="16"/>
        <v/>
      </c>
      <c r="O126" s="137" t="str">
        <f t="shared" si="17"/>
        <v/>
      </c>
    </row>
    <row r="127" spans="2:15">
      <c r="B127" s="76" t="str">
        <f t="array" ref="B127">IF(COUNTIFS(INDEX(Equipment_Allocation_New,0,MATCH($C$107,Unit_codes,0)),"&gt;0")&lt;ROWS('2.2-Equipment input'!$X$8:$X25),"N/A",INDEX('2.2-Equipment input'!B:B,SMALL(IF(INDEX(Equipment_Allocation_New,0,MATCH($C$107,Unit_codes,0))&gt;0,ROW(equipment_ID)),ROW('2.2-Equipment input'!B18))))</f>
        <v>N/A</v>
      </c>
      <c r="C127" s="76" t="str">
        <f>IF($B127="N/A","N/A",INDEX(Equipment_name[],MATCH(B127,equipment_ID,0)))</f>
        <v>N/A</v>
      </c>
      <c r="D127" s="277" t="str">
        <f t="shared" si="10"/>
        <v>N/A</v>
      </c>
      <c r="E127" s="94" t="str">
        <f t="shared" si="11"/>
        <v>N/A</v>
      </c>
      <c r="F127" s="137" t="str">
        <f>IF($B127="N/A","",IF(INDEX(Equipment_Utility_Decision,MATCH($B127,equipment_ID,0))='4.2-Settings Internal'!$B$32,INDEX(Equipment_Utility_Run,MATCH($B127,equipment_ID,0)),""))</f>
        <v/>
      </c>
      <c r="G127" s="137" t="str">
        <f>IF($B127="N/A","",IF(INDEX(Equipment_Utility_Decision,MATCH($B127,equipment_ID,0))='4.2-Settings Internal'!$B$32,INDEX(Equipment_Utility_Water,MATCH($B127,equipment_ID,0)),""))</f>
        <v/>
      </c>
      <c r="H127" s="277" t="str">
        <f t="shared" si="12"/>
        <v/>
      </c>
      <c r="I127" s="137" t="str">
        <f>IF($B127="N/A","",IF(INDEX(Equipment_Utility_Decision,MATCH($B127,equipment_ID,0))='4.2-Settings Internal'!$B$32,INDEX(Equipment_Utility_Electricity,MATCH($B127,equipment_ID,0)),""))</f>
        <v/>
      </c>
      <c r="J127" s="277" t="str">
        <f t="shared" si="13"/>
        <v/>
      </c>
      <c r="K127" s="137" t="str">
        <f>IF($B127="N/A","",IF(INDEX(Equipment_Utility_Decision,MATCH($B127,equipment_ID,0))=INDEX(Yes_No_Choice[],1),INDEX(Equipment_Utility_Fuel,MATCH($B127,equipment_ID,0)),""))</f>
        <v/>
      </c>
      <c r="L127" s="277" t="str">
        <f t="shared" si="14"/>
        <v/>
      </c>
      <c r="M127" s="132" t="str">
        <f t="shared" si="15"/>
        <v/>
      </c>
      <c r="N127" s="277" t="str">
        <f t="shared" si="16"/>
        <v/>
      </c>
      <c r="O127" s="137" t="str">
        <f t="shared" si="17"/>
        <v/>
      </c>
    </row>
    <row r="128" spans="2:15">
      <c r="B128" s="76" t="str">
        <f t="array" ref="B128">IF(COUNTIFS(INDEX(Equipment_Allocation_New,0,MATCH($C$107,Unit_codes,0)),"&gt;0")&lt;ROWS('2.2-Equipment input'!$X$8:$X26),"N/A",INDEX('2.2-Equipment input'!B:B,SMALL(IF(INDEX(Equipment_Allocation_New,0,MATCH($C$107,Unit_codes,0))&gt;0,ROW(equipment_ID)),ROW('2.2-Equipment input'!B19))))</f>
        <v>N/A</v>
      </c>
      <c r="C128" s="76" t="str">
        <f>IF($B128="N/A","N/A",INDEX(Equipment_name[],MATCH(B128,equipment_ID,0)))</f>
        <v>N/A</v>
      </c>
      <c r="D128" s="277" t="str">
        <f t="shared" si="10"/>
        <v>N/A</v>
      </c>
      <c r="E128" s="94" t="str">
        <f t="shared" si="11"/>
        <v>N/A</v>
      </c>
      <c r="F128" s="137" t="str">
        <f>IF($B128="N/A","",IF(INDEX(Equipment_Utility_Decision,MATCH($B128,equipment_ID,0))='4.2-Settings Internal'!$B$32,INDEX(Equipment_Utility_Run,MATCH($B128,equipment_ID,0)),""))</f>
        <v/>
      </c>
      <c r="G128" s="137" t="str">
        <f>IF($B128="N/A","",IF(INDEX(Equipment_Utility_Decision,MATCH($B128,equipment_ID,0))='4.2-Settings Internal'!$B$32,INDEX(Equipment_Utility_Water,MATCH($B128,equipment_ID,0)),""))</f>
        <v/>
      </c>
      <c r="H128" s="277" t="str">
        <f t="shared" si="12"/>
        <v/>
      </c>
      <c r="I128" s="137" t="str">
        <f>IF($B128="N/A","",IF(INDEX(Equipment_Utility_Decision,MATCH($B128,equipment_ID,0))='4.2-Settings Internal'!$B$32,INDEX(Equipment_Utility_Electricity,MATCH($B128,equipment_ID,0)),""))</f>
        <v/>
      </c>
      <c r="J128" s="277" t="str">
        <f t="shared" si="13"/>
        <v/>
      </c>
      <c r="K128" s="137" t="str">
        <f>IF($B128="N/A","",IF(INDEX(Equipment_Utility_Decision,MATCH($B128,equipment_ID,0))=INDEX(Yes_No_Choice[],1),INDEX(Equipment_Utility_Fuel,MATCH($B128,equipment_ID,0)),""))</f>
        <v/>
      </c>
      <c r="L128" s="277" t="str">
        <f t="shared" si="14"/>
        <v/>
      </c>
      <c r="M128" s="132" t="str">
        <f t="shared" si="15"/>
        <v/>
      </c>
      <c r="N128" s="277" t="str">
        <f t="shared" si="16"/>
        <v/>
      </c>
      <c r="O128" s="137" t="str">
        <f t="shared" si="17"/>
        <v/>
      </c>
    </row>
    <row r="129" spans="2:15">
      <c r="B129" s="76" t="str">
        <f t="array" ref="B129">IF(COUNTIFS(INDEX(Equipment_Allocation_New,0,MATCH($C$107,Unit_codes,0)),"&gt;0")&lt;ROWS('2.2-Equipment input'!$X$8:$X27),"N/A",INDEX('2.2-Equipment input'!B:B,SMALL(IF(INDEX(Equipment_Allocation_New,0,MATCH($C$107,Unit_codes,0))&gt;0,ROW(equipment_ID)),ROW('2.2-Equipment input'!B20))))</f>
        <v>N/A</v>
      </c>
      <c r="C129" s="76" t="str">
        <f>IF($B129="N/A","N/A",INDEX(Equipment_name[],MATCH(B129,equipment_ID,0)))</f>
        <v>N/A</v>
      </c>
      <c r="D129" s="277" t="str">
        <f t="shared" si="10"/>
        <v>N/A</v>
      </c>
      <c r="E129" s="94" t="str">
        <f t="shared" si="11"/>
        <v>N/A</v>
      </c>
      <c r="F129" s="137" t="str">
        <f>IF($B129="N/A","",IF(INDEX(Equipment_Utility_Decision,MATCH($B129,equipment_ID,0))='4.2-Settings Internal'!$B$32,INDEX(Equipment_Utility_Run,MATCH($B129,equipment_ID,0)),""))</f>
        <v/>
      </c>
      <c r="G129" s="137" t="str">
        <f>IF($B129="N/A","",IF(INDEX(Equipment_Utility_Decision,MATCH($B129,equipment_ID,0))='4.2-Settings Internal'!$B$32,INDEX(Equipment_Utility_Water,MATCH($B129,equipment_ID,0)),""))</f>
        <v/>
      </c>
      <c r="H129" s="277" t="str">
        <f t="shared" si="12"/>
        <v/>
      </c>
      <c r="I129" s="137" t="str">
        <f>IF($B129="N/A","",IF(INDEX(Equipment_Utility_Decision,MATCH($B129,equipment_ID,0))='4.2-Settings Internal'!$B$32,INDEX(Equipment_Utility_Electricity,MATCH($B129,equipment_ID,0)),""))</f>
        <v/>
      </c>
      <c r="J129" s="277" t="str">
        <f t="shared" si="13"/>
        <v/>
      </c>
      <c r="K129" s="137" t="str">
        <f>IF($B129="N/A","",IF(INDEX(Equipment_Utility_Decision,MATCH($B129,equipment_ID,0))=INDEX(Yes_No_Choice[],1),INDEX(Equipment_Utility_Fuel,MATCH($B129,equipment_ID,0)),""))</f>
        <v/>
      </c>
      <c r="L129" s="277" t="str">
        <f t="shared" si="14"/>
        <v/>
      </c>
      <c r="M129" s="132" t="str">
        <f t="shared" si="15"/>
        <v/>
      </c>
      <c r="N129" s="277" t="str">
        <f t="shared" si="16"/>
        <v/>
      </c>
      <c r="O129" s="137" t="str">
        <f t="shared" si="17"/>
        <v/>
      </c>
    </row>
    <row r="130" spans="2:15">
      <c r="B130" s="76" t="str">
        <f t="array" ref="B130">IF(COUNTIFS(INDEX(Equipment_Allocation_New,0,MATCH($C$107,Unit_codes,0)),"&gt;0")&lt;ROWS('2.2-Equipment input'!$X$8:$X28),"N/A",INDEX('2.2-Equipment input'!B:B,SMALL(IF(INDEX(Equipment_Allocation_New,0,MATCH($C$107,Unit_codes,0))&gt;0,ROW(equipment_ID)),ROW('2.2-Equipment input'!B21))))</f>
        <v>N/A</v>
      </c>
      <c r="C130" s="76" t="str">
        <f>IF($B130="N/A","N/A",INDEX(Equipment_name[],MATCH(B130,equipment_ID,0)))</f>
        <v>N/A</v>
      </c>
      <c r="D130" s="277" t="str">
        <f t="shared" si="10"/>
        <v>N/A</v>
      </c>
      <c r="E130" s="94" t="str">
        <f t="shared" si="11"/>
        <v>N/A</v>
      </c>
      <c r="F130" s="137" t="str">
        <f>IF($B130="N/A","",IF(INDEX(Equipment_Utility_Decision,MATCH($B130,equipment_ID,0))='4.2-Settings Internal'!$B$32,INDEX(Equipment_Utility_Run,MATCH($B130,equipment_ID,0)),""))</f>
        <v/>
      </c>
      <c r="G130" s="137" t="str">
        <f>IF($B130="N/A","",IF(INDEX(Equipment_Utility_Decision,MATCH($B130,equipment_ID,0))='4.2-Settings Internal'!$B$32,INDEX(Equipment_Utility_Water,MATCH($B130,equipment_ID,0)),""))</f>
        <v/>
      </c>
      <c r="H130" s="277" t="str">
        <f t="shared" si="12"/>
        <v/>
      </c>
      <c r="I130" s="137" t="str">
        <f>IF($B130="N/A","",IF(INDEX(Equipment_Utility_Decision,MATCH($B130,equipment_ID,0))='4.2-Settings Internal'!$B$32,INDEX(Equipment_Utility_Electricity,MATCH($B130,equipment_ID,0)),""))</f>
        <v/>
      </c>
      <c r="J130" s="277" t="str">
        <f t="shared" si="13"/>
        <v/>
      </c>
      <c r="K130" s="137" t="str">
        <f>IF($B130="N/A","",IF(INDEX(Equipment_Utility_Decision,MATCH($B130,equipment_ID,0))=INDEX(Yes_No_Choice[],1),INDEX(Equipment_Utility_Fuel,MATCH($B130,equipment_ID,0)),""))</f>
        <v/>
      </c>
      <c r="L130" s="277" t="str">
        <f t="shared" si="14"/>
        <v/>
      </c>
      <c r="M130" s="132" t="str">
        <f t="shared" si="15"/>
        <v/>
      </c>
      <c r="N130" s="277" t="str">
        <f t="shared" si="16"/>
        <v/>
      </c>
      <c r="O130" s="137" t="str">
        <f t="shared" si="17"/>
        <v/>
      </c>
    </row>
    <row r="131" spans="2:15">
      <c r="B131" s="76" t="str">
        <f t="array" ref="B131">IF(COUNTIFS(INDEX(Equipment_Allocation_New,0,MATCH($C$107,Unit_codes,0)),"&gt;0")&lt;ROWS('2.2-Equipment input'!$X$8:$X29),"N/A",INDEX('2.2-Equipment input'!B:B,SMALL(IF(INDEX(Equipment_Allocation_New,0,MATCH($C$107,Unit_codes,0))&gt;0,ROW(equipment_ID)),ROW('2.2-Equipment input'!B22))))</f>
        <v>N/A</v>
      </c>
      <c r="C131" s="76" t="str">
        <f>IF($B131="N/A","N/A",INDEX(Equipment_name[],MATCH(B131,equipment_ID,0)))</f>
        <v>N/A</v>
      </c>
      <c r="D131" s="277" t="str">
        <f t="shared" si="10"/>
        <v>N/A</v>
      </c>
      <c r="E131" s="94" t="str">
        <f t="shared" si="11"/>
        <v>N/A</v>
      </c>
      <c r="F131" s="137" t="str">
        <f>IF($B131="N/A","",IF(INDEX(Equipment_Utility_Decision,MATCH($B131,equipment_ID,0))='4.2-Settings Internal'!$B$32,INDEX(Equipment_Utility_Run,MATCH($B131,equipment_ID,0)),""))</f>
        <v/>
      </c>
      <c r="G131" s="137" t="str">
        <f>IF($B131="N/A","",IF(INDEX(Equipment_Utility_Decision,MATCH($B131,equipment_ID,0))='4.2-Settings Internal'!$B$32,INDEX(Equipment_Utility_Water,MATCH($B131,equipment_ID,0)),""))</f>
        <v/>
      </c>
      <c r="H131" s="277" t="str">
        <f t="shared" si="12"/>
        <v/>
      </c>
      <c r="I131" s="137" t="str">
        <f>IF($B131="N/A","",IF(INDEX(Equipment_Utility_Decision,MATCH($B131,equipment_ID,0))='4.2-Settings Internal'!$B$32,INDEX(Equipment_Utility_Electricity,MATCH($B131,equipment_ID,0)),""))</f>
        <v/>
      </c>
      <c r="J131" s="277" t="str">
        <f t="shared" si="13"/>
        <v/>
      </c>
      <c r="K131" s="137" t="str">
        <f>IF($B131="N/A","",IF(INDEX(Equipment_Utility_Decision,MATCH($B131,equipment_ID,0))=INDEX(Yes_No_Choice[],1),INDEX(Equipment_Utility_Fuel,MATCH($B131,equipment_ID,0)),""))</f>
        <v/>
      </c>
      <c r="L131" s="277" t="str">
        <f t="shared" si="14"/>
        <v/>
      </c>
      <c r="M131" s="132" t="str">
        <f t="shared" si="15"/>
        <v/>
      </c>
      <c r="N131" s="277" t="str">
        <f t="shared" si="16"/>
        <v/>
      </c>
      <c r="O131" s="137" t="str">
        <f t="shared" si="17"/>
        <v/>
      </c>
    </row>
    <row r="132" spans="2:15">
      <c r="B132" s="76" t="str">
        <f t="array" ref="B132">IF(COUNTIFS(INDEX(Equipment_Allocation_New,0,MATCH($C$107,Unit_codes,0)),"&gt;0")&lt;ROWS('2.2-Equipment input'!$X$8:$X30),"N/A",INDEX('2.2-Equipment input'!B:B,SMALL(IF(INDEX(Equipment_Allocation_New,0,MATCH($C$107,Unit_codes,0))&gt;0,ROW(equipment_ID)),ROW('2.2-Equipment input'!B23))))</f>
        <v>N/A</v>
      </c>
      <c r="C132" s="76" t="str">
        <f>IF($B132="N/A","N/A",INDEX(Equipment_name[],MATCH(B132,equipment_ID,0)))</f>
        <v>N/A</v>
      </c>
      <c r="D132" s="277" t="str">
        <f t="shared" si="10"/>
        <v>N/A</v>
      </c>
      <c r="E132" s="94" t="str">
        <f t="shared" si="11"/>
        <v>N/A</v>
      </c>
      <c r="F132" s="137" t="str">
        <f>IF($B132="N/A","",IF(INDEX(Equipment_Utility_Decision,MATCH($B132,equipment_ID,0))='4.2-Settings Internal'!$B$32,INDEX(Equipment_Utility_Run,MATCH($B132,equipment_ID,0)),""))</f>
        <v/>
      </c>
      <c r="G132" s="137" t="str">
        <f>IF($B132="N/A","",IF(INDEX(Equipment_Utility_Decision,MATCH($B132,equipment_ID,0))='4.2-Settings Internal'!$B$32,INDEX(Equipment_Utility_Water,MATCH($B132,equipment_ID,0)),""))</f>
        <v/>
      </c>
      <c r="H132" s="277" t="str">
        <f t="shared" si="12"/>
        <v/>
      </c>
      <c r="I132" s="137" t="str">
        <f>IF($B132="N/A","",IF(INDEX(Equipment_Utility_Decision,MATCH($B132,equipment_ID,0))='4.2-Settings Internal'!$B$32,INDEX(Equipment_Utility_Electricity,MATCH($B132,equipment_ID,0)),""))</f>
        <v/>
      </c>
      <c r="J132" s="277" t="str">
        <f t="shared" si="13"/>
        <v/>
      </c>
      <c r="K132" s="137" t="str">
        <f>IF($B132="N/A","",IF(INDEX(Equipment_Utility_Decision,MATCH($B132,equipment_ID,0))=INDEX(Yes_No_Choice[],1),INDEX(Equipment_Utility_Fuel,MATCH($B132,equipment_ID,0)),""))</f>
        <v/>
      </c>
      <c r="L132" s="277" t="str">
        <f t="shared" si="14"/>
        <v/>
      </c>
      <c r="M132" s="132" t="str">
        <f t="shared" si="15"/>
        <v/>
      </c>
      <c r="N132" s="277" t="str">
        <f t="shared" si="16"/>
        <v/>
      </c>
      <c r="O132" s="137" t="str">
        <f t="shared" si="17"/>
        <v/>
      </c>
    </row>
    <row r="133" spans="2:15">
      <c r="B133" s="76" t="str">
        <f t="array" ref="B133">IF(COUNTIFS(INDEX(Equipment_Allocation_New,0,MATCH($C$107,Unit_codes,0)),"&gt;0")&lt;ROWS('2.2-Equipment input'!$X$8:$X31),"N/A",INDEX('2.2-Equipment input'!B:B,SMALL(IF(INDEX(Equipment_Allocation_New,0,MATCH($C$107,Unit_codes,0))&gt;0,ROW(equipment_ID)),ROW('2.2-Equipment input'!B24))))</f>
        <v>N/A</v>
      </c>
      <c r="C133" s="76" t="str">
        <f>IF($B133="N/A","N/A",INDEX(Equipment_name[],MATCH(B133,equipment_ID,0)))</f>
        <v>N/A</v>
      </c>
      <c r="D133" s="277" t="str">
        <f t="shared" si="10"/>
        <v>N/A</v>
      </c>
      <c r="E133" s="94" t="str">
        <f t="shared" si="11"/>
        <v>N/A</v>
      </c>
      <c r="F133" s="137" t="str">
        <f>IF($B133="N/A","",IF(INDEX(Equipment_Utility_Decision,MATCH($B133,equipment_ID,0))='4.2-Settings Internal'!$B$32,INDEX(Equipment_Utility_Run,MATCH($B133,equipment_ID,0)),""))</f>
        <v/>
      </c>
      <c r="G133" s="137" t="str">
        <f>IF($B133="N/A","",IF(INDEX(Equipment_Utility_Decision,MATCH($B133,equipment_ID,0))='4.2-Settings Internal'!$B$32,INDEX(Equipment_Utility_Water,MATCH($B133,equipment_ID,0)),""))</f>
        <v/>
      </c>
      <c r="H133" s="277" t="str">
        <f t="shared" si="12"/>
        <v/>
      </c>
      <c r="I133" s="137" t="str">
        <f>IF($B133="N/A","",IF(INDEX(Equipment_Utility_Decision,MATCH($B133,equipment_ID,0))='4.2-Settings Internal'!$B$32,INDEX(Equipment_Utility_Electricity,MATCH($B133,equipment_ID,0)),""))</f>
        <v/>
      </c>
      <c r="J133" s="277" t="str">
        <f t="shared" si="13"/>
        <v/>
      </c>
      <c r="K133" s="137" t="str">
        <f>IF($B133="N/A","",IF(INDEX(Equipment_Utility_Decision,MATCH($B133,equipment_ID,0))=INDEX(Yes_No_Choice[],1),INDEX(Equipment_Utility_Fuel,MATCH($B133,equipment_ID,0)),""))</f>
        <v/>
      </c>
      <c r="L133" s="277" t="str">
        <f t="shared" si="14"/>
        <v/>
      </c>
      <c r="M133" s="132" t="str">
        <f t="shared" si="15"/>
        <v/>
      </c>
      <c r="N133" s="277" t="str">
        <f t="shared" si="16"/>
        <v/>
      </c>
      <c r="O133" s="137" t="str">
        <f t="shared" si="17"/>
        <v/>
      </c>
    </row>
    <row r="134" spans="2:15">
      <c r="B134" s="76" t="str">
        <f t="array" ref="B134">IF(COUNTIFS(INDEX(Equipment_Allocation_New,0,MATCH($C$107,Unit_codes,0)),"&gt;0")&lt;ROWS('2.2-Equipment input'!$X$8:$X32),"N/A",INDEX('2.2-Equipment input'!B:B,SMALL(IF(INDEX(Equipment_Allocation_New,0,MATCH($C$107,Unit_codes,0))&gt;0,ROW(equipment_ID)),ROW('2.2-Equipment input'!B25))))</f>
        <v>N/A</v>
      </c>
      <c r="C134" s="76" t="str">
        <f>IF($B134="N/A","N/A",INDEX(Equipment_name[],MATCH(B134,equipment_ID,0)))</f>
        <v>N/A</v>
      </c>
      <c r="D134" s="277" t="str">
        <f t="shared" si="10"/>
        <v>N/A</v>
      </c>
      <c r="E134" s="94" t="str">
        <f t="shared" si="11"/>
        <v>N/A</v>
      </c>
      <c r="F134" s="137" t="str">
        <f>IF($B134="N/A","",IF(INDEX(Equipment_Utility_Decision,MATCH($B134,equipment_ID,0))='4.2-Settings Internal'!$B$32,INDEX(Equipment_Utility_Run,MATCH($B134,equipment_ID,0)),""))</f>
        <v/>
      </c>
      <c r="G134" s="137" t="str">
        <f>IF($B134="N/A","",IF(INDEX(Equipment_Utility_Decision,MATCH($B134,equipment_ID,0))='4.2-Settings Internal'!$B$32,INDEX(Equipment_Utility_Water,MATCH($B134,equipment_ID,0)),""))</f>
        <v/>
      </c>
      <c r="H134" s="277" t="str">
        <f t="shared" si="12"/>
        <v/>
      </c>
      <c r="I134" s="137" t="str">
        <f>IF($B134="N/A","",IF(INDEX(Equipment_Utility_Decision,MATCH($B134,equipment_ID,0))='4.2-Settings Internal'!$B$32,INDEX(Equipment_Utility_Electricity,MATCH($B134,equipment_ID,0)),""))</f>
        <v/>
      </c>
      <c r="J134" s="277" t="str">
        <f t="shared" si="13"/>
        <v/>
      </c>
      <c r="K134" s="137" t="str">
        <f>IF($B134="N/A","",IF(INDEX(Equipment_Utility_Decision,MATCH($B134,equipment_ID,0))=INDEX(Yes_No_Choice[],1),INDEX(Equipment_Utility_Fuel,MATCH($B134,equipment_ID,0)),""))</f>
        <v/>
      </c>
      <c r="L134" s="277" t="str">
        <f t="shared" si="14"/>
        <v/>
      </c>
      <c r="M134" s="132" t="str">
        <f t="shared" si="15"/>
        <v/>
      </c>
      <c r="N134" s="277" t="str">
        <f t="shared" si="16"/>
        <v/>
      </c>
      <c r="O134" s="137" t="str">
        <f t="shared" si="17"/>
        <v/>
      </c>
    </row>
    <row r="135" spans="2:15">
      <c r="B135" s="76" t="str">
        <f t="array" ref="B135">IF(COUNTIFS(INDEX(Equipment_Allocation_New,0,MATCH($C$107,Unit_codes,0)),"&gt;0")&lt;ROWS('2.2-Equipment input'!$X$8:$X33),"N/A",INDEX('2.2-Equipment input'!B:B,SMALL(IF(INDEX(Equipment_Allocation_New,0,MATCH($C$107,Unit_codes,0))&gt;0,ROW(equipment_ID)),ROW('2.2-Equipment input'!B26))))</f>
        <v>N/A</v>
      </c>
      <c r="C135" s="76" t="str">
        <f>IF($B135="N/A","N/A",INDEX(Equipment_name[],MATCH(B135,equipment_ID,0)))</f>
        <v>N/A</v>
      </c>
      <c r="D135" s="277" t="str">
        <f t="shared" si="10"/>
        <v>N/A</v>
      </c>
      <c r="E135" s="94" t="str">
        <f t="shared" si="11"/>
        <v>N/A</v>
      </c>
      <c r="F135" s="137" t="str">
        <f>IF($B135="N/A","",IF(INDEX(Equipment_Utility_Decision,MATCH($B135,equipment_ID,0))='4.2-Settings Internal'!$B$32,INDEX(Equipment_Utility_Run,MATCH($B135,equipment_ID,0)),""))</f>
        <v/>
      </c>
      <c r="G135" s="137" t="str">
        <f>IF($B135="N/A","",IF(INDEX(Equipment_Utility_Decision,MATCH($B135,equipment_ID,0))='4.2-Settings Internal'!$B$32,INDEX(Equipment_Utility_Water,MATCH($B135,equipment_ID,0)),""))</f>
        <v/>
      </c>
      <c r="H135" s="277" t="str">
        <f t="shared" si="12"/>
        <v/>
      </c>
      <c r="I135" s="137" t="str">
        <f>IF($B135="N/A","",IF(INDEX(Equipment_Utility_Decision,MATCH($B135,equipment_ID,0))='4.2-Settings Internal'!$B$32,INDEX(Equipment_Utility_Electricity,MATCH($B135,equipment_ID,0)),""))</f>
        <v/>
      </c>
      <c r="J135" s="277" t="str">
        <f t="shared" si="13"/>
        <v/>
      </c>
      <c r="K135" s="137" t="str">
        <f>IF($B135="N/A","",IF(INDEX(Equipment_Utility_Decision,MATCH($B135,equipment_ID,0))=INDEX(Yes_No_Choice[],1),INDEX(Equipment_Utility_Fuel,MATCH($B135,equipment_ID,0)),""))</f>
        <v/>
      </c>
      <c r="L135" s="277" t="str">
        <f t="shared" si="14"/>
        <v/>
      </c>
      <c r="M135" s="132" t="str">
        <f t="shared" si="15"/>
        <v/>
      </c>
      <c r="N135" s="277" t="str">
        <f t="shared" si="16"/>
        <v/>
      </c>
      <c r="O135" s="137" t="str">
        <f t="shared" si="17"/>
        <v/>
      </c>
    </row>
    <row r="136" spans="2:15">
      <c r="B136" s="76" t="str">
        <f t="array" ref="B136">IF(COUNTIFS(INDEX(Equipment_Allocation_New,0,MATCH($C$107,Unit_codes,0)),"&gt;0")&lt;ROWS('2.2-Equipment input'!$X$8:$X34),"N/A",INDEX('2.2-Equipment input'!B:B,SMALL(IF(INDEX(Equipment_Allocation_New,0,MATCH($C$107,Unit_codes,0))&gt;0,ROW(equipment_ID)),ROW('2.2-Equipment input'!B27))))</f>
        <v>N/A</v>
      </c>
      <c r="C136" s="76" t="str">
        <f>IF($B136="N/A","N/A",INDEX(Equipment_name[],MATCH(B136,equipment_ID,0)))</f>
        <v>N/A</v>
      </c>
      <c r="D136" s="277" t="str">
        <f t="shared" si="10"/>
        <v>N/A</v>
      </c>
      <c r="E136" s="94" t="str">
        <f t="shared" si="11"/>
        <v>N/A</v>
      </c>
      <c r="F136" s="137" t="str">
        <f>IF($B136="N/A","",IF(INDEX(Equipment_Utility_Decision,MATCH($B136,equipment_ID,0))='4.2-Settings Internal'!$B$32,INDEX(Equipment_Utility_Run,MATCH($B136,equipment_ID,0)),""))</f>
        <v/>
      </c>
      <c r="G136" s="137" t="str">
        <f>IF($B136="N/A","",IF(INDEX(Equipment_Utility_Decision,MATCH($B136,equipment_ID,0))='4.2-Settings Internal'!$B$32,INDEX(Equipment_Utility_Water,MATCH($B136,equipment_ID,0)),""))</f>
        <v/>
      </c>
      <c r="H136" s="277" t="str">
        <f t="shared" si="12"/>
        <v/>
      </c>
      <c r="I136" s="137" t="str">
        <f>IF($B136="N/A","",IF(INDEX(Equipment_Utility_Decision,MATCH($B136,equipment_ID,0))='4.2-Settings Internal'!$B$32,INDEX(Equipment_Utility_Electricity,MATCH($B136,equipment_ID,0)),""))</f>
        <v/>
      </c>
      <c r="J136" s="277" t="str">
        <f t="shared" si="13"/>
        <v/>
      </c>
      <c r="K136" s="137" t="str">
        <f>IF($B136="N/A","",IF(INDEX(Equipment_Utility_Decision,MATCH($B136,equipment_ID,0))=INDEX(Yes_No_Choice[],1),INDEX(Equipment_Utility_Fuel,MATCH($B136,equipment_ID,0)),""))</f>
        <v/>
      </c>
      <c r="L136" s="277" t="str">
        <f t="shared" si="14"/>
        <v/>
      </c>
      <c r="M136" s="132" t="str">
        <f t="shared" si="15"/>
        <v/>
      </c>
      <c r="N136" s="277" t="str">
        <f t="shared" si="16"/>
        <v/>
      </c>
      <c r="O136" s="137" t="str">
        <f t="shared" si="17"/>
        <v/>
      </c>
    </row>
    <row r="137" spans="2:15">
      <c r="B137" s="76" t="str">
        <f t="array" ref="B137">IF(COUNTIFS(INDEX(Equipment_Allocation_New,0,MATCH($C$107,Unit_codes,0)),"&gt;0")&lt;ROWS('2.2-Equipment input'!$X$8:$X35),"N/A",INDEX('2.2-Equipment input'!B:B,SMALL(IF(INDEX(Equipment_Allocation_New,0,MATCH($C$107,Unit_codes,0))&gt;0,ROW(equipment_ID)),ROW('2.2-Equipment input'!B28))))</f>
        <v>N/A</v>
      </c>
      <c r="C137" s="76" t="str">
        <f>IF($B137="N/A","N/A",INDEX(Equipment_name[],MATCH(B137,equipment_ID,0)))</f>
        <v>N/A</v>
      </c>
      <c r="D137" s="277" t="str">
        <f t="shared" si="10"/>
        <v>N/A</v>
      </c>
      <c r="E137" s="94" t="str">
        <f t="shared" si="11"/>
        <v>N/A</v>
      </c>
      <c r="F137" s="137" t="str">
        <f>IF($B137="N/A","",IF(INDEX(Equipment_Utility_Decision,MATCH($B137,equipment_ID,0))='4.2-Settings Internal'!$B$32,INDEX(Equipment_Utility_Run,MATCH($B137,equipment_ID,0)),""))</f>
        <v/>
      </c>
      <c r="G137" s="137" t="str">
        <f>IF($B137="N/A","",IF(INDEX(Equipment_Utility_Decision,MATCH($B137,equipment_ID,0))='4.2-Settings Internal'!$B$32,INDEX(Equipment_Utility_Water,MATCH($B137,equipment_ID,0)),""))</f>
        <v/>
      </c>
      <c r="H137" s="277" t="str">
        <f t="shared" si="12"/>
        <v/>
      </c>
      <c r="I137" s="137" t="str">
        <f>IF($B137="N/A","",IF(INDEX(Equipment_Utility_Decision,MATCH($B137,equipment_ID,0))='4.2-Settings Internal'!$B$32,INDEX(Equipment_Utility_Electricity,MATCH($B137,equipment_ID,0)),""))</f>
        <v/>
      </c>
      <c r="J137" s="277" t="str">
        <f t="shared" si="13"/>
        <v/>
      </c>
      <c r="K137" s="137" t="str">
        <f>IF($B137="N/A","",IF(INDEX(Equipment_Utility_Decision,MATCH($B137,equipment_ID,0))=INDEX(Yes_No_Choice[],1),INDEX(Equipment_Utility_Fuel,MATCH($B137,equipment_ID,0)),""))</f>
        <v/>
      </c>
      <c r="L137" s="277" t="str">
        <f t="shared" si="14"/>
        <v/>
      </c>
      <c r="M137" s="132" t="str">
        <f t="shared" si="15"/>
        <v/>
      </c>
      <c r="N137" s="277" t="str">
        <f t="shared" si="16"/>
        <v/>
      </c>
      <c r="O137" s="137" t="str">
        <f t="shared" si="17"/>
        <v/>
      </c>
    </row>
    <row r="138" spans="2:15">
      <c r="B138" s="76" t="str">
        <f t="array" ref="B138">IF(COUNTIFS(INDEX(Equipment_Allocation_New,0,MATCH($C$107,Unit_codes,0)),"&gt;0")&lt;ROWS('2.2-Equipment input'!$X$8:$X36),"N/A",INDEX('2.2-Equipment input'!B:B,SMALL(IF(INDEX(Equipment_Allocation_New,0,MATCH($C$107,Unit_codes,0))&gt;0,ROW(equipment_ID)),ROW('2.2-Equipment input'!B29))))</f>
        <v>N/A</v>
      </c>
      <c r="C138" s="76" t="str">
        <f>IF($B138="N/A","N/A",INDEX(Equipment_name[],MATCH(B138,equipment_ID,0)))</f>
        <v>N/A</v>
      </c>
      <c r="D138" s="277" t="str">
        <f t="shared" si="10"/>
        <v>N/A</v>
      </c>
      <c r="E138" s="94" t="str">
        <f t="shared" si="11"/>
        <v>N/A</v>
      </c>
      <c r="F138" s="137" t="str">
        <f>IF($B138="N/A","",IF(INDEX(Equipment_Utility_Decision,MATCH($B138,equipment_ID,0))='4.2-Settings Internal'!$B$32,INDEX(Equipment_Utility_Run,MATCH($B138,equipment_ID,0)),""))</f>
        <v/>
      </c>
      <c r="G138" s="137" t="str">
        <f>IF($B138="N/A","",IF(INDEX(Equipment_Utility_Decision,MATCH($B138,equipment_ID,0))='4.2-Settings Internal'!$B$32,INDEX(Equipment_Utility_Water,MATCH($B138,equipment_ID,0)),""))</f>
        <v/>
      </c>
      <c r="H138" s="277" t="str">
        <f t="shared" si="12"/>
        <v/>
      </c>
      <c r="I138" s="137" t="str">
        <f>IF($B138="N/A","",IF(INDEX(Equipment_Utility_Decision,MATCH($B138,equipment_ID,0))='4.2-Settings Internal'!$B$32,INDEX(Equipment_Utility_Electricity,MATCH($B138,equipment_ID,0)),""))</f>
        <v/>
      </c>
      <c r="J138" s="277" t="str">
        <f t="shared" si="13"/>
        <v/>
      </c>
      <c r="K138" s="137" t="str">
        <f>IF($B138="N/A","",IF(INDEX(Equipment_Utility_Decision,MATCH($B138,equipment_ID,0))=INDEX(Yes_No_Choice[],1),INDEX(Equipment_Utility_Fuel,MATCH($B138,equipment_ID,0)),""))</f>
        <v/>
      </c>
      <c r="L138" s="277" t="str">
        <f t="shared" si="14"/>
        <v/>
      </c>
      <c r="M138" s="132" t="str">
        <f t="shared" si="15"/>
        <v/>
      </c>
      <c r="N138" s="277" t="str">
        <f t="shared" si="16"/>
        <v/>
      </c>
      <c r="O138" s="137" t="str">
        <f t="shared" si="17"/>
        <v/>
      </c>
    </row>
    <row r="139" spans="2:15">
      <c r="B139" s="76" t="str">
        <f t="array" ref="B139">IF(COUNTIFS(INDEX(Equipment_Allocation_New,0,MATCH($C$107,Unit_codes,0)),"&gt;0")&lt;ROWS('2.2-Equipment input'!$X$8:$X37),"N/A",INDEX('2.2-Equipment input'!B:B,SMALL(IF(INDEX(Equipment_Allocation_New,0,MATCH($C$107,Unit_codes,0))&gt;0,ROW(equipment_ID)),ROW('2.2-Equipment input'!B30))))</f>
        <v>N/A</v>
      </c>
      <c r="C139" s="76" t="str">
        <f>IF($B139="N/A","N/A",INDEX(Equipment_name[],MATCH(B139,equipment_ID,0)))</f>
        <v>N/A</v>
      </c>
      <c r="D139" s="277" t="str">
        <f t="shared" si="10"/>
        <v>N/A</v>
      </c>
      <c r="E139" s="94" t="str">
        <f t="shared" si="11"/>
        <v>N/A</v>
      </c>
      <c r="F139" s="137" t="str">
        <f>IF($B139="N/A","",IF(INDEX(Equipment_Utility_Decision,MATCH($B139,equipment_ID,0))='4.2-Settings Internal'!$B$32,INDEX(Equipment_Utility_Run,MATCH($B139,equipment_ID,0)),""))</f>
        <v/>
      </c>
      <c r="G139" s="137" t="str">
        <f>IF($B139="N/A","",IF(INDEX(Equipment_Utility_Decision,MATCH($B139,equipment_ID,0))='4.2-Settings Internal'!$B$32,INDEX(Equipment_Utility_Water,MATCH($B139,equipment_ID,0)),""))</f>
        <v/>
      </c>
      <c r="H139" s="277" t="str">
        <f t="shared" si="12"/>
        <v/>
      </c>
      <c r="I139" s="137" t="str">
        <f>IF($B139="N/A","",IF(INDEX(Equipment_Utility_Decision,MATCH($B139,equipment_ID,0))='4.2-Settings Internal'!$B$32,INDEX(Equipment_Utility_Electricity,MATCH($B139,equipment_ID,0)),""))</f>
        <v/>
      </c>
      <c r="J139" s="277" t="str">
        <f t="shared" si="13"/>
        <v/>
      </c>
      <c r="K139" s="137" t="str">
        <f>IF($B139="N/A","",IF(INDEX(Equipment_Utility_Decision,MATCH($B139,equipment_ID,0))=INDEX(Yes_No_Choice[],1),INDEX(Equipment_Utility_Fuel,MATCH($B139,equipment_ID,0)),""))</f>
        <v/>
      </c>
      <c r="L139" s="277" t="str">
        <f t="shared" si="14"/>
        <v/>
      </c>
      <c r="M139" s="132" t="str">
        <f t="shared" si="15"/>
        <v/>
      </c>
      <c r="N139" s="277" t="str">
        <f t="shared" si="16"/>
        <v/>
      </c>
      <c r="O139" s="137" t="str">
        <f t="shared" si="17"/>
        <v/>
      </c>
    </row>
    <row r="140" spans="2:15">
      <c r="B140" s="76" t="str">
        <f t="array" ref="B140">IF(COUNTIFS(INDEX(Equipment_Allocation_New,0,MATCH($C$107,Unit_codes,0)),"&gt;0")&lt;ROWS('2.2-Equipment input'!$X$8:$X38),"N/A",INDEX('2.2-Equipment input'!B:B,SMALL(IF(INDEX(Equipment_Allocation_New,0,MATCH($C$107,Unit_codes,0))&gt;0,ROW(equipment_ID)),ROW('2.2-Equipment input'!B31))))</f>
        <v>N/A</v>
      </c>
      <c r="C140" s="76" t="str">
        <f>IF($B140="N/A","N/A",INDEX(Equipment_name[],MATCH(B140,equipment_ID,0)))</f>
        <v>N/A</v>
      </c>
      <c r="D140" s="277" t="str">
        <f t="shared" si="10"/>
        <v>N/A</v>
      </c>
      <c r="E140" s="94" t="str">
        <f t="shared" si="11"/>
        <v>N/A</v>
      </c>
      <c r="F140" s="137" t="str">
        <f>IF($B140="N/A","",IF(INDEX(Equipment_Utility_Decision,MATCH($B140,equipment_ID,0))='4.2-Settings Internal'!$B$32,INDEX(Equipment_Utility_Run,MATCH($B140,equipment_ID,0)),""))</f>
        <v/>
      </c>
      <c r="G140" s="137" t="str">
        <f>IF($B140="N/A","",IF(INDEX(Equipment_Utility_Decision,MATCH($B140,equipment_ID,0))='4.2-Settings Internal'!$B$32,INDEX(Equipment_Utility_Water,MATCH($B140,equipment_ID,0)),""))</f>
        <v/>
      </c>
      <c r="H140" s="277" t="str">
        <f t="shared" si="12"/>
        <v/>
      </c>
      <c r="I140" s="137" t="str">
        <f>IF($B140="N/A","",IF(INDEX(Equipment_Utility_Decision,MATCH($B140,equipment_ID,0))='4.2-Settings Internal'!$B$32,INDEX(Equipment_Utility_Electricity,MATCH($B140,equipment_ID,0)),""))</f>
        <v/>
      </c>
      <c r="J140" s="277" t="str">
        <f t="shared" si="13"/>
        <v/>
      </c>
      <c r="K140" s="137" t="str">
        <f>IF($B140="N/A","",IF(INDEX(Equipment_Utility_Decision,MATCH($B140,equipment_ID,0))=INDEX(Yes_No_Choice[],1),INDEX(Equipment_Utility_Fuel,MATCH($B140,equipment_ID,0)),""))</f>
        <v/>
      </c>
      <c r="L140" s="277" t="str">
        <f t="shared" si="14"/>
        <v/>
      </c>
      <c r="M140" s="132" t="str">
        <f t="shared" si="15"/>
        <v/>
      </c>
      <c r="N140" s="277" t="str">
        <f t="shared" si="16"/>
        <v/>
      </c>
      <c r="O140" s="137" t="str">
        <f t="shared" si="17"/>
        <v/>
      </c>
    </row>
    <row r="141" spans="2:15">
      <c r="B141" s="76" t="str">
        <f t="array" ref="B141">IF(COUNTIFS(INDEX(Equipment_Allocation_New,0,MATCH($C$107,Unit_codes,0)),"&gt;0")&lt;ROWS('2.2-Equipment input'!$X$8:$X39),"N/A",INDEX('2.2-Equipment input'!B:B,SMALL(IF(INDEX(Equipment_Allocation_New,0,MATCH($C$107,Unit_codes,0))&gt;0,ROW(equipment_ID)),ROW('2.2-Equipment input'!B32))))</f>
        <v>N/A</v>
      </c>
      <c r="C141" s="76" t="str">
        <f>IF($B141="N/A","N/A",INDEX(Equipment_name[],MATCH(B141,equipment_ID,0)))</f>
        <v>N/A</v>
      </c>
      <c r="D141" s="277" t="str">
        <f t="shared" si="10"/>
        <v>N/A</v>
      </c>
      <c r="E141" s="94" t="str">
        <f t="shared" si="11"/>
        <v>N/A</v>
      </c>
      <c r="F141" s="137" t="str">
        <f>IF($B141="N/A","",IF(INDEX(Equipment_Utility_Decision,MATCH($B141,equipment_ID,0))='4.2-Settings Internal'!$B$32,INDEX(Equipment_Utility_Run,MATCH($B141,equipment_ID,0)),""))</f>
        <v/>
      </c>
      <c r="G141" s="137" t="str">
        <f>IF($B141="N/A","",IF(INDEX(Equipment_Utility_Decision,MATCH($B141,equipment_ID,0))='4.2-Settings Internal'!$B$32,INDEX(Equipment_Utility_Water,MATCH($B141,equipment_ID,0)),""))</f>
        <v/>
      </c>
      <c r="H141" s="277" t="str">
        <f t="shared" si="12"/>
        <v/>
      </c>
      <c r="I141" s="137" t="str">
        <f>IF($B141="N/A","",IF(INDEX(Equipment_Utility_Decision,MATCH($B141,equipment_ID,0))='4.2-Settings Internal'!$B$32,INDEX(Equipment_Utility_Electricity,MATCH($B141,equipment_ID,0)),""))</f>
        <v/>
      </c>
      <c r="J141" s="277" t="str">
        <f t="shared" si="13"/>
        <v/>
      </c>
      <c r="K141" s="137" t="str">
        <f>IF($B141="N/A","",IF(INDEX(Equipment_Utility_Decision,MATCH($B141,equipment_ID,0))=INDEX(Yes_No_Choice[],1),INDEX(Equipment_Utility_Fuel,MATCH($B141,equipment_ID,0)),""))</f>
        <v/>
      </c>
      <c r="L141" s="277" t="str">
        <f t="shared" si="14"/>
        <v/>
      </c>
      <c r="M141" s="132" t="str">
        <f t="shared" si="15"/>
        <v/>
      </c>
      <c r="N141" s="277" t="str">
        <f t="shared" si="16"/>
        <v/>
      </c>
      <c r="O141" s="137" t="str">
        <f t="shared" si="17"/>
        <v/>
      </c>
    </row>
    <row r="142" spans="2:15">
      <c r="B142" s="76" t="str">
        <f t="array" ref="B142">IF(COUNTIFS(INDEX(Equipment_Allocation_New,0,MATCH($C$107,Unit_codes,0)),"&gt;0")&lt;ROWS('2.2-Equipment input'!$X$8:$X40),"N/A",INDEX('2.2-Equipment input'!B:B,SMALL(IF(INDEX(Equipment_Allocation_New,0,MATCH($C$107,Unit_codes,0))&gt;0,ROW(equipment_ID)),ROW('2.2-Equipment input'!B33))))</f>
        <v>N/A</v>
      </c>
      <c r="C142" s="76" t="str">
        <f>IF($B142="N/A","N/A",INDEX(Equipment_name[],MATCH(B142,equipment_ID,0)))</f>
        <v>N/A</v>
      </c>
      <c r="D142" s="277" t="str">
        <f t="shared" si="10"/>
        <v>N/A</v>
      </c>
      <c r="E142" s="94" t="str">
        <f t="shared" si="11"/>
        <v>N/A</v>
      </c>
      <c r="F142" s="137" t="str">
        <f>IF($B142="N/A","",IF(INDEX(Equipment_Utility_Decision,MATCH($B142,equipment_ID,0))='4.2-Settings Internal'!$B$32,INDEX(Equipment_Utility_Run,MATCH($B142,equipment_ID,0)),""))</f>
        <v/>
      </c>
      <c r="G142" s="137" t="str">
        <f>IF($B142="N/A","",IF(INDEX(Equipment_Utility_Decision,MATCH($B142,equipment_ID,0))='4.2-Settings Internal'!$B$32,INDEX(Equipment_Utility_Water,MATCH($B142,equipment_ID,0)),""))</f>
        <v/>
      </c>
      <c r="H142" s="277" t="str">
        <f t="shared" si="12"/>
        <v/>
      </c>
      <c r="I142" s="137" t="str">
        <f>IF($B142="N/A","",IF(INDEX(Equipment_Utility_Decision,MATCH($B142,equipment_ID,0))='4.2-Settings Internal'!$B$32,INDEX(Equipment_Utility_Electricity,MATCH($B142,equipment_ID,0)),""))</f>
        <v/>
      </c>
      <c r="J142" s="277" t="str">
        <f t="shared" si="13"/>
        <v/>
      </c>
      <c r="K142" s="137" t="str">
        <f>IF($B142="N/A","",IF(INDEX(Equipment_Utility_Decision,MATCH($B142,equipment_ID,0))=INDEX(Yes_No_Choice[],1),INDEX(Equipment_Utility_Fuel,MATCH($B142,equipment_ID,0)),""))</f>
        <v/>
      </c>
      <c r="L142" s="277" t="str">
        <f t="shared" si="14"/>
        <v/>
      </c>
      <c r="M142" s="132" t="str">
        <f t="shared" si="15"/>
        <v/>
      </c>
      <c r="N142" s="277" t="str">
        <f t="shared" si="16"/>
        <v/>
      </c>
      <c r="O142" s="137" t="str">
        <f t="shared" si="17"/>
        <v/>
      </c>
    </row>
    <row r="143" spans="2:15">
      <c r="B143" s="76" t="str">
        <f t="array" ref="B143">IF(COUNTIFS(INDEX(Equipment_Allocation_New,0,MATCH($C$107,Unit_codes,0)),"&gt;0")&lt;ROWS('2.2-Equipment input'!$X$8:$X41),"N/A",INDEX('2.2-Equipment input'!B:B,SMALL(IF(INDEX(Equipment_Allocation_New,0,MATCH($C$107,Unit_codes,0))&gt;0,ROW(equipment_ID)),ROW('2.2-Equipment input'!B34))))</f>
        <v>N/A</v>
      </c>
      <c r="C143" s="76" t="str">
        <f>IF($B143="N/A","N/A",INDEX(Equipment_name[],MATCH(B143,equipment_ID,0)))</f>
        <v>N/A</v>
      </c>
      <c r="D143" s="277" t="str">
        <f t="shared" si="10"/>
        <v>N/A</v>
      </c>
      <c r="E143" s="94" t="str">
        <f t="shared" si="11"/>
        <v>N/A</v>
      </c>
      <c r="F143" s="137" t="str">
        <f>IF($B143="N/A","",IF(INDEX(Equipment_Utility_Decision,MATCH($B143,equipment_ID,0))='4.2-Settings Internal'!$B$32,INDEX(Equipment_Utility_Run,MATCH($B143,equipment_ID,0)),""))</f>
        <v/>
      </c>
      <c r="G143" s="137" t="str">
        <f>IF($B143="N/A","",IF(INDEX(Equipment_Utility_Decision,MATCH($B143,equipment_ID,0))='4.2-Settings Internal'!$B$32,INDEX(Equipment_Utility_Water,MATCH($B143,equipment_ID,0)),""))</f>
        <v/>
      </c>
      <c r="H143" s="277" t="str">
        <f t="shared" si="12"/>
        <v/>
      </c>
      <c r="I143" s="137" t="str">
        <f>IF($B143="N/A","",IF(INDEX(Equipment_Utility_Decision,MATCH($B143,equipment_ID,0))='4.2-Settings Internal'!$B$32,INDEX(Equipment_Utility_Electricity,MATCH($B143,equipment_ID,0)),""))</f>
        <v/>
      </c>
      <c r="J143" s="277" t="str">
        <f t="shared" si="13"/>
        <v/>
      </c>
      <c r="K143" s="137" t="str">
        <f>IF($B143="N/A","",IF(INDEX(Equipment_Utility_Decision,MATCH($B143,equipment_ID,0))=INDEX(Yes_No_Choice[],1),INDEX(Equipment_Utility_Fuel,MATCH($B143,equipment_ID,0)),""))</f>
        <v/>
      </c>
      <c r="L143" s="277" t="str">
        <f t="shared" si="14"/>
        <v/>
      </c>
      <c r="M143" s="132" t="str">
        <f t="shared" si="15"/>
        <v/>
      </c>
      <c r="N143" s="277" t="str">
        <f t="shared" si="16"/>
        <v/>
      </c>
      <c r="O143" s="137" t="str">
        <f t="shared" si="17"/>
        <v/>
      </c>
    </row>
    <row r="144" spans="2:15">
      <c r="B144" s="76" t="str">
        <f t="array" ref="B144">IF(COUNTIFS(INDEX(Equipment_Allocation_New,0,MATCH($C$107,Unit_codes,0)),"&gt;0")&lt;ROWS('2.2-Equipment input'!$X$8:$X42),"N/A",INDEX('2.2-Equipment input'!B:B,SMALL(IF(INDEX(Equipment_Allocation_New,0,MATCH($C$107,Unit_codes,0))&gt;0,ROW(equipment_ID)),ROW('2.2-Equipment input'!B35))))</f>
        <v>N/A</v>
      </c>
      <c r="C144" s="76" t="str">
        <f>IF($B144="N/A","N/A",INDEX(Equipment_name[],MATCH(B144,equipment_ID,0)))</f>
        <v>N/A</v>
      </c>
      <c r="D144" s="277" t="str">
        <f t="shared" si="10"/>
        <v>N/A</v>
      </c>
      <c r="E144" s="94" t="str">
        <f t="shared" si="11"/>
        <v>N/A</v>
      </c>
      <c r="F144" s="137" t="str">
        <f>IF($B144="N/A","",IF(INDEX(Equipment_Utility_Decision,MATCH($B144,equipment_ID,0))='4.2-Settings Internal'!$B$32,INDEX(Equipment_Utility_Run,MATCH($B144,equipment_ID,0)),""))</f>
        <v/>
      </c>
      <c r="G144" s="137" t="str">
        <f>IF($B144="N/A","",IF(INDEX(Equipment_Utility_Decision,MATCH($B144,equipment_ID,0))='4.2-Settings Internal'!$B$32,INDEX(Equipment_Utility_Water,MATCH($B144,equipment_ID,0)),""))</f>
        <v/>
      </c>
      <c r="H144" s="277" t="str">
        <f t="shared" si="12"/>
        <v/>
      </c>
      <c r="I144" s="137" t="str">
        <f>IF($B144="N/A","",IF(INDEX(Equipment_Utility_Decision,MATCH($B144,equipment_ID,0))='4.2-Settings Internal'!$B$32,INDEX(Equipment_Utility_Electricity,MATCH($B144,equipment_ID,0)),""))</f>
        <v/>
      </c>
      <c r="J144" s="277" t="str">
        <f t="shared" si="13"/>
        <v/>
      </c>
      <c r="K144" s="137" t="str">
        <f>IF($B144="N/A","",IF(INDEX(Equipment_Utility_Decision,MATCH($B144,equipment_ID,0))=INDEX(Yes_No_Choice[],1),INDEX(Equipment_Utility_Fuel,MATCH($B144,equipment_ID,0)),""))</f>
        <v/>
      </c>
      <c r="L144" s="277" t="str">
        <f t="shared" si="14"/>
        <v/>
      </c>
      <c r="M144" s="132" t="str">
        <f t="shared" si="15"/>
        <v/>
      </c>
      <c r="N144" s="277" t="str">
        <f t="shared" si="16"/>
        <v/>
      </c>
      <c r="O144" s="137" t="str">
        <f t="shared" si="17"/>
        <v/>
      </c>
    </row>
    <row r="145" spans="2:23">
      <c r="B145" s="76" t="str">
        <f t="array" ref="B145">IF(COUNTIFS(INDEX(Equipment_Allocation_New,0,MATCH($C$107,Unit_codes,0)),"&gt;0")&lt;ROWS('2.2-Equipment input'!$X$8:$X43),"N/A",INDEX('2.2-Equipment input'!B:B,SMALL(IF(INDEX(Equipment_Allocation_New,0,MATCH($C$107,Unit_codes,0))&gt;0,ROW(equipment_ID)),ROW('2.2-Equipment input'!B36))))</f>
        <v>N/A</v>
      </c>
      <c r="C145" s="76" t="str">
        <f>IF($B145="N/A","N/A",INDEX(Equipment_name[],MATCH(B145,equipment_ID,0)))</f>
        <v>N/A</v>
      </c>
      <c r="D145" s="277" t="str">
        <f t="shared" si="10"/>
        <v>N/A</v>
      </c>
      <c r="E145" s="94" t="str">
        <f t="shared" si="11"/>
        <v>N/A</v>
      </c>
      <c r="F145" s="137" t="str">
        <f>IF($B145="N/A","",IF(INDEX(Equipment_Utility_Decision,MATCH($B145,equipment_ID,0))='4.2-Settings Internal'!$B$32,INDEX(Equipment_Utility_Run,MATCH($B145,equipment_ID,0)),""))</f>
        <v/>
      </c>
      <c r="G145" s="137" t="str">
        <f>IF($B145="N/A","",IF(INDEX(Equipment_Utility_Decision,MATCH($B145,equipment_ID,0))='4.2-Settings Internal'!$B$32,INDEX(Equipment_Utility_Water,MATCH($B145,equipment_ID,0)),""))</f>
        <v/>
      </c>
      <c r="H145" s="277" t="str">
        <f t="shared" si="12"/>
        <v/>
      </c>
      <c r="I145" s="137" t="str">
        <f>IF($B145="N/A","",IF(INDEX(Equipment_Utility_Decision,MATCH($B145,equipment_ID,0))='4.2-Settings Internal'!$B$32,INDEX(Equipment_Utility_Electricity,MATCH($B145,equipment_ID,0)),""))</f>
        <v/>
      </c>
      <c r="J145" s="277" t="str">
        <f t="shared" si="13"/>
        <v/>
      </c>
      <c r="K145" s="137" t="str">
        <f>IF($B145="N/A","",IF(INDEX(Equipment_Utility_Decision,MATCH($B145,equipment_ID,0))=INDEX(Yes_No_Choice[],1),INDEX(Equipment_Utility_Fuel,MATCH($B145,equipment_ID,0)),""))</f>
        <v/>
      </c>
      <c r="L145" s="277" t="str">
        <f t="shared" si="14"/>
        <v/>
      </c>
      <c r="M145" s="132" t="str">
        <f t="shared" si="15"/>
        <v/>
      </c>
      <c r="N145" s="277" t="str">
        <f t="shared" si="16"/>
        <v/>
      </c>
      <c r="O145" s="137" t="str">
        <f t="shared" si="17"/>
        <v/>
      </c>
    </row>
    <row r="146" spans="2:23">
      <c r="B146" s="76" t="str">
        <f t="array" ref="B146">IF(COUNTIFS(INDEX(Equipment_Allocation_New,0,MATCH($C$107,Unit_codes,0)),"&gt;0")&lt;ROWS('2.2-Equipment input'!$X$8:$X44),"N/A",INDEX('2.2-Equipment input'!B:B,SMALL(IF(INDEX(Equipment_Allocation_New,0,MATCH($C$107,Unit_codes,0))&gt;0,ROW(equipment_ID)),ROW('2.2-Equipment input'!B37))))</f>
        <v>N/A</v>
      </c>
      <c r="C146" s="76" t="str">
        <f>IF($B146="N/A","N/A",INDEX(Equipment_name[],MATCH(B146,equipment_ID,0)))</f>
        <v>N/A</v>
      </c>
      <c r="D146" s="277" t="str">
        <f t="shared" si="10"/>
        <v>N/A</v>
      </c>
      <c r="E146" s="94" t="str">
        <f t="shared" si="11"/>
        <v>N/A</v>
      </c>
      <c r="F146" s="137" t="str">
        <f>IF($B146="N/A","",IF(INDEX(Equipment_Utility_Decision,MATCH($B146,equipment_ID,0))='4.2-Settings Internal'!$B$32,INDEX(Equipment_Utility_Run,MATCH($B146,equipment_ID,0)),""))</f>
        <v/>
      </c>
      <c r="G146" s="137" t="str">
        <f>IF($B146="N/A","",IF(INDEX(Equipment_Utility_Decision,MATCH($B146,equipment_ID,0))='4.2-Settings Internal'!$B$32,INDEX(Equipment_Utility_Water,MATCH($B146,equipment_ID,0)),""))</f>
        <v/>
      </c>
      <c r="H146" s="277" t="str">
        <f t="shared" si="12"/>
        <v/>
      </c>
      <c r="I146" s="137" t="str">
        <f>IF($B146="N/A","",IF(INDEX(Equipment_Utility_Decision,MATCH($B146,equipment_ID,0))='4.2-Settings Internal'!$B$32,INDEX(Equipment_Utility_Electricity,MATCH($B146,equipment_ID,0)),""))</f>
        <v/>
      </c>
      <c r="J146" s="277" t="str">
        <f t="shared" si="13"/>
        <v/>
      </c>
      <c r="K146" s="137" t="str">
        <f>IF($B146="N/A","",IF(INDEX(Equipment_Utility_Decision,MATCH($B146,equipment_ID,0))=INDEX(Yes_No_Choice[],1),INDEX(Equipment_Utility_Fuel,MATCH($B146,equipment_ID,0)),""))</f>
        <v/>
      </c>
      <c r="L146" s="277" t="str">
        <f t="shared" si="14"/>
        <v/>
      </c>
      <c r="M146" s="132" t="str">
        <f t="shared" si="15"/>
        <v/>
      </c>
      <c r="N146" s="277" t="str">
        <f t="shared" si="16"/>
        <v/>
      </c>
      <c r="O146" s="137" t="str">
        <f t="shared" si="17"/>
        <v/>
      </c>
    </row>
    <row r="147" spans="2:23">
      <c r="B147" s="76" t="str">
        <f t="array" ref="B147">IF(COUNTIFS(INDEX(Equipment_Allocation_New,0,MATCH($C$107,Unit_codes,0)),"&gt;0")&lt;ROWS('2.2-Equipment input'!$X$8:$X45),"N/A",INDEX('2.2-Equipment input'!B:B,SMALL(IF(INDEX(Equipment_Allocation_New,0,MATCH($C$107,Unit_codes,0))&gt;0,ROW(equipment_ID)),ROW('2.2-Equipment input'!B38))))</f>
        <v>N/A</v>
      </c>
      <c r="C147" s="76" t="str">
        <f>IF($B147="N/A","N/A",INDEX(Equipment_name[],MATCH(B147,equipment_ID,0)))</f>
        <v>N/A</v>
      </c>
      <c r="D147" s="277" t="str">
        <f t="shared" si="10"/>
        <v>N/A</v>
      </c>
      <c r="E147" s="94" t="str">
        <f t="shared" si="11"/>
        <v>N/A</v>
      </c>
      <c r="F147" s="137" t="str">
        <f>IF($B147="N/A","",IF(INDEX(Equipment_Utility_Decision,MATCH($B147,equipment_ID,0))='4.2-Settings Internal'!$B$32,INDEX(Equipment_Utility_Run,MATCH($B147,equipment_ID,0)),""))</f>
        <v/>
      </c>
      <c r="G147" s="137" t="str">
        <f>IF($B147="N/A","",IF(INDEX(Equipment_Utility_Decision,MATCH($B147,equipment_ID,0))='4.2-Settings Internal'!$B$32,INDEX(Equipment_Utility_Water,MATCH($B147,equipment_ID,0)),""))</f>
        <v/>
      </c>
      <c r="H147" s="277" t="str">
        <f t="shared" si="12"/>
        <v/>
      </c>
      <c r="I147" s="137" t="str">
        <f>IF($B147="N/A","",IF(INDEX(Equipment_Utility_Decision,MATCH($B147,equipment_ID,0))='4.2-Settings Internal'!$B$32,INDEX(Equipment_Utility_Electricity,MATCH($B147,equipment_ID,0)),""))</f>
        <v/>
      </c>
      <c r="J147" s="277" t="str">
        <f t="shared" si="13"/>
        <v/>
      </c>
      <c r="K147" s="137" t="str">
        <f>IF($B147="N/A","",IF(INDEX(Equipment_Utility_Decision,MATCH($B147,equipment_ID,0))=INDEX(Yes_No_Choice[],1),INDEX(Equipment_Utility_Fuel,MATCH($B147,equipment_ID,0)),""))</f>
        <v/>
      </c>
      <c r="L147" s="277" t="str">
        <f t="shared" si="14"/>
        <v/>
      </c>
      <c r="M147" s="132" t="str">
        <f t="shared" si="15"/>
        <v/>
      </c>
      <c r="N147" s="277" t="str">
        <f t="shared" si="16"/>
        <v/>
      </c>
      <c r="O147" s="137" t="str">
        <f t="shared" si="17"/>
        <v/>
      </c>
    </row>
    <row r="148" spans="2:23" ht="33" customHeight="1"/>
    <row r="149" spans="2:23" ht="33" customHeight="1">
      <c r="G149" s="188" t="s">
        <v>620</v>
      </c>
      <c r="H149" s="288">
        <f>SUM(H152:H189)</f>
        <v>104.99999999999999</v>
      </c>
      <c r="I149" s="288">
        <f t="shared" ref="I149:W149" si="18">SUM(I152:I189)</f>
        <v>0</v>
      </c>
      <c r="J149" s="288">
        <f t="shared" si="18"/>
        <v>0</v>
      </c>
      <c r="K149" s="288">
        <f t="shared" si="18"/>
        <v>0</v>
      </c>
      <c r="L149" s="288">
        <f t="shared" si="18"/>
        <v>0</v>
      </c>
      <c r="M149" s="288">
        <f t="shared" si="18"/>
        <v>104.99999999999999</v>
      </c>
      <c r="N149" s="288">
        <f t="shared" si="18"/>
        <v>0</v>
      </c>
      <c r="O149" s="288">
        <f t="shared" si="18"/>
        <v>0</v>
      </c>
      <c r="P149" s="288">
        <f t="shared" si="18"/>
        <v>0</v>
      </c>
      <c r="Q149" s="288">
        <f t="shared" si="18"/>
        <v>0</v>
      </c>
      <c r="R149" s="288">
        <f t="shared" si="18"/>
        <v>104.99999999999999</v>
      </c>
      <c r="S149" s="288">
        <f t="shared" si="18"/>
        <v>0</v>
      </c>
      <c r="T149" s="288">
        <f t="shared" si="18"/>
        <v>0</v>
      </c>
      <c r="U149" s="288">
        <f t="shared" si="18"/>
        <v>0</v>
      </c>
      <c r="V149" s="288">
        <f t="shared" si="18"/>
        <v>0</v>
      </c>
      <c r="W149" s="288">
        <f t="shared" si="18"/>
        <v>104.99999999999999</v>
      </c>
    </row>
    <row r="151" spans="2:23" ht="31.5">
      <c r="B151" s="97" t="s">
        <v>84</v>
      </c>
      <c r="C151" s="97" t="s">
        <v>53</v>
      </c>
      <c r="D151" s="97" t="s">
        <v>52</v>
      </c>
      <c r="E151" s="184" t="s">
        <v>149</v>
      </c>
      <c r="F151" s="97" t="s">
        <v>50</v>
      </c>
      <c r="G151" s="97" t="s">
        <v>121</v>
      </c>
      <c r="H151" s="97" t="s">
        <v>617</v>
      </c>
      <c r="I151" s="97" t="s">
        <v>595</v>
      </c>
      <c r="J151" s="97" t="s">
        <v>596</v>
      </c>
      <c r="K151" s="97" t="s">
        <v>597</v>
      </c>
      <c r="L151" s="97" t="s">
        <v>598</v>
      </c>
      <c r="M151" s="97" t="s">
        <v>599</v>
      </c>
      <c r="N151" s="97" t="s">
        <v>600</v>
      </c>
      <c r="O151" s="97" t="s">
        <v>601</v>
      </c>
      <c r="P151" s="97" t="s">
        <v>602</v>
      </c>
      <c r="Q151" s="97" t="s">
        <v>603</v>
      </c>
      <c r="R151" s="97" t="s">
        <v>604</v>
      </c>
      <c r="S151" s="97" t="s">
        <v>605</v>
      </c>
      <c r="T151" s="97" t="s">
        <v>606</v>
      </c>
      <c r="U151" s="97" t="s">
        <v>607</v>
      </c>
      <c r="V151" s="97" t="s">
        <v>608</v>
      </c>
      <c r="W151" s="97" t="s">
        <v>609</v>
      </c>
    </row>
    <row r="152" spans="2:23">
      <c r="B152" s="76" t="str">
        <f t="array" ref="B152">IF(COUNTIFS(INDEX(Equipment_Allocation_New,0,MATCH($C$107,Unit_codes,0)),"&gt;0")&lt;ROWS('2.2-Equipment input'!$X$8:$X8),"N/A",INDEX('2.2-Equipment input'!B:B,SMALL(IF(INDEX(Equipment_Allocation_New,0,MATCH($C$107,Unit_codes,0))&gt;0,ROW(equipment_ID)),ROW('2.2-Equipment input'!B1))))</f>
        <v>eq0030</v>
      </c>
      <c r="C152" s="76" t="str">
        <f>IF($B152="N/A","N/A",INDEX(Equipment_name[],MATCH(B152,equipment_ID,0)))</f>
        <v>Measuring balance ("heavy" duty)</v>
      </c>
      <c r="D152" s="277">
        <f t="shared" ref="D152:D189" si="19">IF($B152="N/A","N/A",INDEX(Equipment_Capital_Cost,MATCH($B152,equipment_ID,0)))</f>
        <v>174.99999999999997</v>
      </c>
      <c r="E152" s="94">
        <f t="shared" ref="E152:E189" si="20">IF($B152="N/A","N/A",INDEX(Equipment_Lifetime,MATCH($B152,equipment_ID,0)))</f>
        <v>5</v>
      </c>
      <c r="F152" s="94">
        <f t="shared" ref="F152:F189" si="21">IF($B152="N/A","N/A",INDEX(Equipment_Quantity_New,MATCH($B152,equipment_ID,0)))</f>
        <v>3</v>
      </c>
      <c r="G152" s="92">
        <f t="shared" ref="G152:G189" si="22">IF($B152="N/A","N/A",INDEX(Equipment_Allocation_New,MATCH($B152,equipment_ID,0),MATCH($C$107,Unit_codes,0)))</f>
        <v>0.2</v>
      </c>
      <c r="H152" s="277">
        <f>IFERROR(IF($B152="N/A","N/A",IF(MOD(COLUMNS(H$151:$H$151)-1,$E152)=0,$F152*$D152*$G152,)),)</f>
        <v>104.99999999999999</v>
      </c>
      <c r="I152" s="277">
        <f>IFERROR(IF($B152="N/A","N/A",IF(MOD(COLUMNS($H$151:I$151)-1,$E152)=0,$F152*$D152*$G152,)),)</f>
        <v>0</v>
      </c>
      <c r="J152" s="277">
        <f>IFERROR(IF($B152="N/A","N/A",IF(MOD(COLUMNS($H$151:J$151)-1,$E152)=0,$F152*$D152*$G152,)),)</f>
        <v>0</v>
      </c>
      <c r="K152" s="277">
        <f>IFERROR(IF($B152="N/A","N/A",IF(MOD(COLUMNS($H$151:K$151)-1,$E152)=0,$F152*$D152*$G152,)),)</f>
        <v>0</v>
      </c>
      <c r="L152" s="277">
        <f>IFERROR(IF($B152="N/A","N/A",IF(MOD(COLUMNS($H$151:L$151)-1,$E152)=0,$F152*$D152*$G152,)),)</f>
        <v>0</v>
      </c>
      <c r="M152" s="277">
        <f>IFERROR(IF($B152="N/A","N/A",IF(MOD(COLUMNS($H$151:M$151)-1,$E152)=0,$F152*$D152*$G152,)),)</f>
        <v>104.99999999999999</v>
      </c>
      <c r="N152" s="277">
        <f>IFERROR(IF($B152="N/A","N/A",IF(MOD(COLUMNS($H$151:N$151)-1,$E152)=0,$F152*$D152*$G152,)),)</f>
        <v>0</v>
      </c>
      <c r="O152" s="277">
        <f>IFERROR(IF($B152="N/A","N/A",IF(MOD(COLUMNS($H$151:O$151)-1,$E152)=0,$F152*$D152*$G152,)),)</f>
        <v>0</v>
      </c>
      <c r="P152" s="277">
        <f>IFERROR(IF($B152="N/A","N/A",IF(MOD(COLUMNS($H$151:P$151)-1,$E152)=0,$F152*$D152*$G152,)),)</f>
        <v>0</v>
      </c>
      <c r="Q152" s="277">
        <f>IFERROR(IF($B152="N/A","N/A",IF(MOD(COLUMNS($H$151:Q$151)-1,$E152)=0,$F152*$D152*$G152,)),)</f>
        <v>0</v>
      </c>
      <c r="R152" s="277">
        <f>IFERROR(IF($B152="N/A","N/A",IF(MOD(COLUMNS($H$151:R$151)-1,$E152)=0,$F152*$D152*$G152,)),)</f>
        <v>104.99999999999999</v>
      </c>
      <c r="S152" s="277">
        <f>IFERROR(IF($B152="N/A","N/A",IF(MOD(COLUMNS($H$151:S$151)-1,$E152)=0,$F152*$D152*$G152,)),)</f>
        <v>0</v>
      </c>
      <c r="T152" s="277">
        <f>IFERROR(IF($B152="N/A","N/A",IF(MOD(COLUMNS($H$151:T$151)-1,$E152)=0,$F152*$D152*$G152,)),)</f>
        <v>0</v>
      </c>
      <c r="U152" s="277">
        <f>IFERROR(IF($B152="N/A","N/A",IF(MOD(COLUMNS($H$151:U$151)-1,$E152)=0,$F152*$D152*$G152,)),)</f>
        <v>0</v>
      </c>
      <c r="V152" s="277">
        <f>IFERROR(IF($B152="N/A","N/A",IF(MOD(COLUMNS($H$151:V$151)-1,$E152)=0,$F152*$D152*$G152,)),)</f>
        <v>0</v>
      </c>
      <c r="W152" s="277">
        <f>IFERROR(IF($B152="N/A","N/A",IF(MOD(COLUMNS($H$151:W$151)-1,$E152)=0,$F152*$D152*$G152,)),)</f>
        <v>104.99999999999999</v>
      </c>
    </row>
    <row r="153" spans="2:23">
      <c r="B153" s="76" t="str">
        <f t="array" ref="B153">IF(COUNTIFS(INDEX(Equipment_Allocation_New,0,MATCH($C$107,Unit_codes,0)),"&gt;0")&lt;ROWS('2.2-Equipment input'!$X$8:$X9),"N/A",INDEX('2.2-Equipment input'!B:B,SMALL(IF(INDEX(Equipment_Allocation_New,0,MATCH($C$107,Unit_codes,0))&gt;0,ROW(equipment_ID)),ROW('2.2-Equipment input'!B2))))</f>
        <v>N/A</v>
      </c>
      <c r="C153" s="76" t="str">
        <f>IF($B153="N/A","N/A",INDEX(Equipment_name[],MATCH(B153,equipment_ID,0)))</f>
        <v>N/A</v>
      </c>
      <c r="D153" s="277" t="str">
        <f t="shared" si="19"/>
        <v>N/A</v>
      </c>
      <c r="E153" s="94" t="str">
        <f t="shared" si="20"/>
        <v>N/A</v>
      </c>
      <c r="F153" s="94" t="str">
        <f t="shared" si="21"/>
        <v>N/A</v>
      </c>
      <c r="G153" s="92" t="str">
        <f t="shared" si="22"/>
        <v>N/A</v>
      </c>
      <c r="H153" s="277" t="str">
        <f>IFERROR(IF($B153="N/A","N/A",IF(MOD(COLUMNS(H$151:$H$151)-1,$E153)=0,$F153*$D153*$G153,)),)</f>
        <v>N/A</v>
      </c>
      <c r="I153" s="277" t="str">
        <f>IFERROR(IF($B153="N/A","N/A",IF(MOD(COLUMNS($H$151:I$151)-1,$E153)=0,$F153*$D153*$G153,)),)</f>
        <v>N/A</v>
      </c>
      <c r="J153" s="277" t="str">
        <f>IFERROR(IF($B153="N/A","N/A",IF(MOD(COLUMNS($H$151:J$151)-1,$E153)=0,$F153*$D153*$G153,)),)</f>
        <v>N/A</v>
      </c>
      <c r="K153" s="277" t="str">
        <f>IFERROR(IF($B153="N/A","N/A",IF(MOD(COLUMNS($H$151:K$151)-1,$E153)=0,$F153*$D153*$G153,)),)</f>
        <v>N/A</v>
      </c>
      <c r="L153" s="277" t="str">
        <f>IFERROR(IF($B153="N/A","N/A",IF(MOD(COLUMNS($H$151:L$151)-1,$E153)=0,$F153*$D153*$G153,)),)</f>
        <v>N/A</v>
      </c>
      <c r="M153" s="277" t="str">
        <f>IFERROR(IF($B153="N/A","N/A",IF(MOD(COLUMNS($H$151:M$151)-1,$E153)=0,$F153*$D153*$G153,)),)</f>
        <v>N/A</v>
      </c>
      <c r="N153" s="277" t="str">
        <f>IFERROR(IF($B153="N/A","N/A",IF(MOD(COLUMNS($H$151:N$151)-1,$E153)=0,$F153*$D153*$G153,)),)</f>
        <v>N/A</v>
      </c>
      <c r="O153" s="277" t="str">
        <f>IFERROR(IF($B153="N/A","N/A",IF(MOD(COLUMNS($H$151:O$151)-1,$E153)=0,$F153*$D153*$G153,)),)</f>
        <v>N/A</v>
      </c>
      <c r="P153" s="277" t="str">
        <f>IFERROR(IF($B153="N/A","N/A",IF(MOD(COLUMNS($H$151:P$151)-1,$E153)=0,$F153*$D153*$G153,)),)</f>
        <v>N/A</v>
      </c>
      <c r="Q153" s="277" t="str">
        <f>IFERROR(IF($B153="N/A","N/A",IF(MOD(COLUMNS($H$151:Q$151)-1,$E153)=0,$F153*$D153*$G153,)),)</f>
        <v>N/A</v>
      </c>
      <c r="R153" s="277" t="str">
        <f>IFERROR(IF($B153="N/A","N/A",IF(MOD(COLUMNS($H$151:R$151)-1,$E153)=0,$F153*$D153*$G153,)),)</f>
        <v>N/A</v>
      </c>
      <c r="S153" s="277" t="str">
        <f>IFERROR(IF($B153="N/A","N/A",IF(MOD(COLUMNS($H$151:S$151)-1,$E153)=0,$F153*$D153*$G153,)),)</f>
        <v>N/A</v>
      </c>
      <c r="T153" s="277" t="str">
        <f>IFERROR(IF($B153="N/A","N/A",IF(MOD(COLUMNS($H$151:T$151)-1,$E153)=0,$F153*$D153*$G153,)),)</f>
        <v>N/A</v>
      </c>
      <c r="U153" s="277" t="str">
        <f>IFERROR(IF($B153="N/A","N/A",IF(MOD(COLUMNS($H$151:U$151)-1,$E153)=0,$F153*$D153*$G153,)),)</f>
        <v>N/A</v>
      </c>
      <c r="V153" s="277" t="str">
        <f>IFERROR(IF($B153="N/A","N/A",IF(MOD(COLUMNS($H$151:V$151)-1,$E153)=0,$F153*$D153*$G153,)),)</f>
        <v>N/A</v>
      </c>
      <c r="W153" s="277" t="str">
        <f>IFERROR(IF($B153="N/A","N/A",IF(MOD(COLUMNS($H$151:W$151)-1,$E153)=0,$F153*$D153*$G153,)),)</f>
        <v>N/A</v>
      </c>
    </row>
    <row r="154" spans="2:23">
      <c r="B154" s="76" t="str">
        <f t="array" ref="B154">IF(COUNTIFS(INDEX(Equipment_Allocation_New,0,MATCH($C$107,Unit_codes,0)),"&gt;0")&lt;ROWS('2.2-Equipment input'!$X$8:$X10),"N/A",INDEX('2.2-Equipment input'!B:B,SMALL(IF(INDEX(Equipment_Allocation_New,0,MATCH($C$107,Unit_codes,0))&gt;0,ROW(equipment_ID)),ROW('2.2-Equipment input'!B3))))</f>
        <v>N/A</v>
      </c>
      <c r="C154" s="76" t="str">
        <f>IF($B154="N/A","N/A",INDEX(Equipment_name[],MATCH(B154,equipment_ID,0)))</f>
        <v>N/A</v>
      </c>
      <c r="D154" s="277" t="str">
        <f t="shared" si="19"/>
        <v>N/A</v>
      </c>
      <c r="E154" s="94" t="str">
        <f t="shared" si="20"/>
        <v>N/A</v>
      </c>
      <c r="F154" s="94" t="str">
        <f t="shared" si="21"/>
        <v>N/A</v>
      </c>
      <c r="G154" s="92" t="str">
        <f t="shared" si="22"/>
        <v>N/A</v>
      </c>
      <c r="H154" s="277" t="str">
        <f>IFERROR(IF($B154="N/A","N/A",IF(MOD(COLUMNS(H$151:$H$151)-1,$E154)=0,$F154*$D154*$G154,)),)</f>
        <v>N/A</v>
      </c>
      <c r="I154" s="277" t="str">
        <f>IFERROR(IF($B154="N/A","N/A",IF(MOD(COLUMNS($H$151:I$151)-1,$E154)=0,$F154*$D154*$G154,)),)</f>
        <v>N/A</v>
      </c>
      <c r="J154" s="277" t="str">
        <f>IFERROR(IF($B154="N/A","N/A",IF(MOD(COLUMNS($H$151:J$151)-1,$E154)=0,$F154*$D154*$G154,)),)</f>
        <v>N/A</v>
      </c>
      <c r="K154" s="277" t="str">
        <f>IFERROR(IF($B154="N/A","N/A",IF(MOD(COLUMNS($H$151:K$151)-1,$E154)=0,$F154*$D154*$G154,)),)</f>
        <v>N/A</v>
      </c>
      <c r="L154" s="277" t="str">
        <f>IFERROR(IF($B154="N/A","N/A",IF(MOD(COLUMNS($H$151:L$151)-1,$E154)=0,$F154*$D154*$G154,)),)</f>
        <v>N/A</v>
      </c>
      <c r="M154" s="277" t="str">
        <f>IFERROR(IF($B154="N/A","N/A",IF(MOD(COLUMNS($H$151:M$151)-1,$E154)=0,$F154*$D154*$G154,)),)</f>
        <v>N/A</v>
      </c>
      <c r="N154" s="277" t="str">
        <f>IFERROR(IF($B154="N/A","N/A",IF(MOD(COLUMNS($H$151:N$151)-1,$E154)=0,$F154*$D154*$G154,)),)</f>
        <v>N/A</v>
      </c>
      <c r="O154" s="277" t="str">
        <f>IFERROR(IF($B154="N/A","N/A",IF(MOD(COLUMNS($H$151:O$151)-1,$E154)=0,$F154*$D154*$G154,)),)</f>
        <v>N/A</v>
      </c>
      <c r="P154" s="277" t="str">
        <f>IFERROR(IF($B154="N/A","N/A",IF(MOD(COLUMNS($H$151:P$151)-1,$E154)=0,$F154*$D154*$G154,)),)</f>
        <v>N/A</v>
      </c>
      <c r="Q154" s="277" t="str">
        <f>IFERROR(IF($B154="N/A","N/A",IF(MOD(COLUMNS($H$151:Q$151)-1,$E154)=0,$F154*$D154*$G154,)),)</f>
        <v>N/A</v>
      </c>
      <c r="R154" s="277" t="str">
        <f>IFERROR(IF($B154="N/A","N/A",IF(MOD(COLUMNS($H$151:R$151)-1,$E154)=0,$F154*$D154*$G154,)),)</f>
        <v>N/A</v>
      </c>
      <c r="S154" s="277" t="str">
        <f>IFERROR(IF($B154="N/A","N/A",IF(MOD(COLUMNS($H$151:S$151)-1,$E154)=0,$F154*$D154*$G154,)),)</f>
        <v>N/A</v>
      </c>
      <c r="T154" s="277" t="str">
        <f>IFERROR(IF($B154="N/A","N/A",IF(MOD(COLUMNS($H$151:T$151)-1,$E154)=0,$F154*$D154*$G154,)),)</f>
        <v>N/A</v>
      </c>
      <c r="U154" s="277" t="str">
        <f>IFERROR(IF($B154="N/A","N/A",IF(MOD(COLUMNS($H$151:U$151)-1,$E154)=0,$F154*$D154*$G154,)),)</f>
        <v>N/A</v>
      </c>
      <c r="V154" s="277" t="str">
        <f>IFERROR(IF($B154="N/A","N/A",IF(MOD(COLUMNS($H$151:V$151)-1,$E154)=0,$F154*$D154*$G154,)),)</f>
        <v>N/A</v>
      </c>
      <c r="W154" s="277" t="str">
        <f>IFERROR(IF($B154="N/A","N/A",IF(MOD(COLUMNS($H$151:W$151)-1,$E154)=0,$F154*$D154*$G154,)),)</f>
        <v>N/A</v>
      </c>
    </row>
    <row r="155" spans="2:23">
      <c r="B155" s="76" t="str">
        <f t="array" ref="B155">IF(COUNTIFS(INDEX(Equipment_Allocation_New,0,MATCH($C$107,Unit_codes,0)),"&gt;0")&lt;ROWS('2.2-Equipment input'!$X$8:$X11),"N/A",INDEX('2.2-Equipment input'!B:B,SMALL(IF(INDEX(Equipment_Allocation_New,0,MATCH($C$107,Unit_codes,0))&gt;0,ROW(equipment_ID)),ROW('2.2-Equipment input'!B4))))</f>
        <v>N/A</v>
      </c>
      <c r="C155" s="76" t="str">
        <f>IF($B155="N/A","N/A",INDEX(Equipment_name[],MATCH(B155,equipment_ID,0)))</f>
        <v>N/A</v>
      </c>
      <c r="D155" s="277" t="str">
        <f t="shared" si="19"/>
        <v>N/A</v>
      </c>
      <c r="E155" s="94" t="str">
        <f t="shared" si="20"/>
        <v>N/A</v>
      </c>
      <c r="F155" s="94" t="str">
        <f t="shared" si="21"/>
        <v>N/A</v>
      </c>
      <c r="G155" s="92" t="str">
        <f t="shared" si="22"/>
        <v>N/A</v>
      </c>
      <c r="H155" s="277" t="str">
        <f>IFERROR(IF($B155="N/A","N/A",IF(MOD(COLUMNS(H$151:$H$151)-1,$E155)=0,$F155*$D155*$G155,)),)</f>
        <v>N/A</v>
      </c>
      <c r="I155" s="277" t="str">
        <f>IFERROR(IF($B155="N/A","N/A",IF(MOD(COLUMNS($H$151:I$151)-1,$E155)=0,$F155*$D155*$G155,)),)</f>
        <v>N/A</v>
      </c>
      <c r="J155" s="277" t="str">
        <f>IFERROR(IF($B155="N/A","N/A",IF(MOD(COLUMNS($H$151:J$151)-1,$E155)=0,$F155*$D155*$G155,)),)</f>
        <v>N/A</v>
      </c>
      <c r="K155" s="277" t="str">
        <f>IFERROR(IF($B155="N/A","N/A",IF(MOD(COLUMNS($H$151:K$151)-1,$E155)=0,$F155*$D155*$G155,)),)</f>
        <v>N/A</v>
      </c>
      <c r="L155" s="277" t="str">
        <f>IFERROR(IF($B155="N/A","N/A",IF(MOD(COLUMNS($H$151:L$151)-1,$E155)=0,$F155*$D155*$G155,)),)</f>
        <v>N/A</v>
      </c>
      <c r="M155" s="277" t="str">
        <f>IFERROR(IF($B155="N/A","N/A",IF(MOD(COLUMNS($H$151:M$151)-1,$E155)=0,$F155*$D155*$G155,)),)</f>
        <v>N/A</v>
      </c>
      <c r="N155" s="277" t="str">
        <f>IFERROR(IF($B155="N/A","N/A",IF(MOD(COLUMNS($H$151:N$151)-1,$E155)=0,$F155*$D155*$G155,)),)</f>
        <v>N/A</v>
      </c>
      <c r="O155" s="277" t="str">
        <f>IFERROR(IF($B155="N/A","N/A",IF(MOD(COLUMNS($H$151:O$151)-1,$E155)=0,$F155*$D155*$G155,)),)</f>
        <v>N/A</v>
      </c>
      <c r="P155" s="277" t="str">
        <f>IFERROR(IF($B155="N/A","N/A",IF(MOD(COLUMNS($H$151:P$151)-1,$E155)=0,$F155*$D155*$G155,)),)</f>
        <v>N/A</v>
      </c>
      <c r="Q155" s="277" t="str">
        <f>IFERROR(IF($B155="N/A","N/A",IF(MOD(COLUMNS($H$151:Q$151)-1,$E155)=0,$F155*$D155*$G155,)),)</f>
        <v>N/A</v>
      </c>
      <c r="R155" s="277" t="str">
        <f>IFERROR(IF($B155="N/A","N/A",IF(MOD(COLUMNS($H$151:R$151)-1,$E155)=0,$F155*$D155*$G155,)),)</f>
        <v>N/A</v>
      </c>
      <c r="S155" s="277" t="str">
        <f>IFERROR(IF($B155="N/A","N/A",IF(MOD(COLUMNS($H$151:S$151)-1,$E155)=0,$F155*$D155*$G155,)),)</f>
        <v>N/A</v>
      </c>
      <c r="T155" s="277" t="str">
        <f>IFERROR(IF($B155="N/A","N/A",IF(MOD(COLUMNS($H$151:T$151)-1,$E155)=0,$F155*$D155*$G155,)),)</f>
        <v>N/A</v>
      </c>
      <c r="U155" s="277" t="str">
        <f>IFERROR(IF($B155="N/A","N/A",IF(MOD(COLUMNS($H$151:U$151)-1,$E155)=0,$F155*$D155*$G155,)),)</f>
        <v>N/A</v>
      </c>
      <c r="V155" s="277" t="str">
        <f>IFERROR(IF($B155="N/A","N/A",IF(MOD(COLUMNS($H$151:V$151)-1,$E155)=0,$F155*$D155*$G155,)),)</f>
        <v>N/A</v>
      </c>
      <c r="W155" s="277" t="str">
        <f>IFERROR(IF($B155="N/A","N/A",IF(MOD(COLUMNS($H$151:W$151)-1,$E155)=0,$F155*$D155*$G155,)),)</f>
        <v>N/A</v>
      </c>
    </row>
    <row r="156" spans="2:23">
      <c r="B156" s="76" t="str">
        <f t="array" ref="B156">IF(COUNTIFS(INDEX(Equipment_Allocation_New,0,MATCH($C$107,Unit_codes,0)),"&gt;0")&lt;ROWS('2.2-Equipment input'!$X$8:$X12),"N/A",INDEX('2.2-Equipment input'!B:B,SMALL(IF(INDEX(Equipment_Allocation_New,0,MATCH($C$107,Unit_codes,0))&gt;0,ROW(equipment_ID)),ROW('2.2-Equipment input'!B5))))</f>
        <v>N/A</v>
      </c>
      <c r="C156" s="76" t="str">
        <f>IF($B156="N/A","N/A",INDEX(Equipment_name[],MATCH(B156,equipment_ID,0)))</f>
        <v>N/A</v>
      </c>
      <c r="D156" s="277" t="str">
        <f t="shared" si="19"/>
        <v>N/A</v>
      </c>
      <c r="E156" s="94" t="str">
        <f t="shared" si="20"/>
        <v>N/A</v>
      </c>
      <c r="F156" s="94" t="str">
        <f t="shared" si="21"/>
        <v>N/A</v>
      </c>
      <c r="G156" s="92" t="str">
        <f t="shared" si="22"/>
        <v>N/A</v>
      </c>
      <c r="H156" s="277" t="str">
        <f>IFERROR(IF($B156="N/A","N/A",IF(MOD(COLUMNS(H$151:$H$151)-1,$E156)=0,$F156*$D156*$G156,)),)</f>
        <v>N/A</v>
      </c>
      <c r="I156" s="277" t="str">
        <f>IFERROR(IF($B156="N/A","N/A",IF(MOD(COLUMNS($H$151:I$151)-1,$E156)=0,$F156*$D156*$G156,)),)</f>
        <v>N/A</v>
      </c>
      <c r="J156" s="277" t="str">
        <f>IFERROR(IF($B156="N/A","N/A",IF(MOD(COLUMNS($H$151:J$151)-1,$E156)=0,$F156*$D156*$G156,)),)</f>
        <v>N/A</v>
      </c>
      <c r="K156" s="277" t="str">
        <f>IFERROR(IF($B156="N/A","N/A",IF(MOD(COLUMNS($H$151:K$151)-1,$E156)=0,$F156*$D156*$G156,)),)</f>
        <v>N/A</v>
      </c>
      <c r="L156" s="277" t="str">
        <f>IFERROR(IF($B156="N/A","N/A",IF(MOD(COLUMNS($H$151:L$151)-1,$E156)=0,$F156*$D156*$G156,)),)</f>
        <v>N/A</v>
      </c>
      <c r="M156" s="277" t="str">
        <f>IFERROR(IF($B156="N/A","N/A",IF(MOD(COLUMNS($H$151:M$151)-1,$E156)=0,$F156*$D156*$G156,)),)</f>
        <v>N/A</v>
      </c>
      <c r="N156" s="277" t="str">
        <f>IFERROR(IF($B156="N/A","N/A",IF(MOD(COLUMNS($H$151:N$151)-1,$E156)=0,$F156*$D156*$G156,)),)</f>
        <v>N/A</v>
      </c>
      <c r="O156" s="277" t="str">
        <f>IFERROR(IF($B156="N/A","N/A",IF(MOD(COLUMNS($H$151:O$151)-1,$E156)=0,$F156*$D156*$G156,)),)</f>
        <v>N/A</v>
      </c>
      <c r="P156" s="277" t="str">
        <f>IFERROR(IF($B156="N/A","N/A",IF(MOD(COLUMNS($H$151:P$151)-1,$E156)=0,$F156*$D156*$G156,)),)</f>
        <v>N/A</v>
      </c>
      <c r="Q156" s="277" t="str">
        <f>IFERROR(IF($B156="N/A","N/A",IF(MOD(COLUMNS($H$151:Q$151)-1,$E156)=0,$F156*$D156*$G156,)),)</f>
        <v>N/A</v>
      </c>
      <c r="R156" s="277" t="str">
        <f>IFERROR(IF($B156="N/A","N/A",IF(MOD(COLUMNS($H$151:R$151)-1,$E156)=0,$F156*$D156*$G156,)),)</f>
        <v>N/A</v>
      </c>
      <c r="S156" s="277" t="str">
        <f>IFERROR(IF($B156="N/A","N/A",IF(MOD(COLUMNS($H$151:S$151)-1,$E156)=0,$F156*$D156*$G156,)),)</f>
        <v>N/A</v>
      </c>
      <c r="T156" s="277" t="str">
        <f>IFERROR(IF($B156="N/A","N/A",IF(MOD(COLUMNS($H$151:T$151)-1,$E156)=0,$F156*$D156*$G156,)),)</f>
        <v>N/A</v>
      </c>
      <c r="U156" s="277" t="str">
        <f>IFERROR(IF($B156="N/A","N/A",IF(MOD(COLUMNS($H$151:U$151)-1,$E156)=0,$F156*$D156*$G156,)),)</f>
        <v>N/A</v>
      </c>
      <c r="V156" s="277" t="str">
        <f>IFERROR(IF($B156="N/A","N/A",IF(MOD(COLUMNS($H$151:V$151)-1,$E156)=0,$F156*$D156*$G156,)),)</f>
        <v>N/A</v>
      </c>
      <c r="W156" s="277" t="str">
        <f>IFERROR(IF($B156="N/A","N/A",IF(MOD(COLUMNS($H$151:W$151)-1,$E156)=0,$F156*$D156*$G156,)),)</f>
        <v>N/A</v>
      </c>
    </row>
    <row r="157" spans="2:23">
      <c r="B157" s="76" t="str">
        <f t="array" ref="B157">IF(COUNTIFS(INDEX(Equipment_Allocation_New,0,MATCH($C$107,Unit_codes,0)),"&gt;0")&lt;ROWS('2.2-Equipment input'!$X$8:$X13),"N/A",INDEX('2.2-Equipment input'!B:B,SMALL(IF(INDEX(Equipment_Allocation_New,0,MATCH($C$107,Unit_codes,0))&gt;0,ROW(equipment_ID)),ROW('2.2-Equipment input'!B6))))</f>
        <v>N/A</v>
      </c>
      <c r="C157" s="76" t="str">
        <f>IF($B157="N/A","N/A",INDEX(Equipment_name[],MATCH(B157,equipment_ID,0)))</f>
        <v>N/A</v>
      </c>
      <c r="D157" s="277" t="str">
        <f t="shared" si="19"/>
        <v>N/A</v>
      </c>
      <c r="E157" s="94" t="str">
        <f t="shared" si="20"/>
        <v>N/A</v>
      </c>
      <c r="F157" s="94" t="str">
        <f t="shared" si="21"/>
        <v>N/A</v>
      </c>
      <c r="G157" s="92" t="str">
        <f t="shared" si="22"/>
        <v>N/A</v>
      </c>
      <c r="H157" s="277" t="str">
        <f>IFERROR(IF($B157="N/A","N/A",IF(MOD(COLUMNS(H$151:$H$151)-1,$E157)=0,$F157*$D157*$G157,)),)</f>
        <v>N/A</v>
      </c>
      <c r="I157" s="277" t="str">
        <f>IFERROR(IF($B157="N/A","N/A",IF(MOD(COLUMNS($H$151:I$151)-1,$E157)=0,$F157*$D157*$G157,)),)</f>
        <v>N/A</v>
      </c>
      <c r="J157" s="277" t="str">
        <f>IFERROR(IF($B157="N/A","N/A",IF(MOD(COLUMNS($H$151:J$151)-1,$E157)=0,$F157*$D157*$G157,)),)</f>
        <v>N/A</v>
      </c>
      <c r="K157" s="277" t="str">
        <f>IFERROR(IF($B157="N/A","N/A",IF(MOD(COLUMNS($H$151:K$151)-1,$E157)=0,$F157*$D157*$G157,)),)</f>
        <v>N/A</v>
      </c>
      <c r="L157" s="277" t="str">
        <f>IFERROR(IF($B157="N/A","N/A",IF(MOD(COLUMNS($H$151:L$151)-1,$E157)=0,$F157*$D157*$G157,)),)</f>
        <v>N/A</v>
      </c>
      <c r="M157" s="277" t="str">
        <f>IFERROR(IF($B157="N/A","N/A",IF(MOD(COLUMNS($H$151:M$151)-1,$E157)=0,$F157*$D157*$G157,)),)</f>
        <v>N/A</v>
      </c>
      <c r="N157" s="277" t="str">
        <f>IFERROR(IF($B157="N/A","N/A",IF(MOD(COLUMNS($H$151:N$151)-1,$E157)=0,$F157*$D157*$G157,)),)</f>
        <v>N/A</v>
      </c>
      <c r="O157" s="277" t="str">
        <f>IFERROR(IF($B157="N/A","N/A",IF(MOD(COLUMNS($H$151:O$151)-1,$E157)=0,$F157*$D157*$G157,)),)</f>
        <v>N/A</v>
      </c>
      <c r="P157" s="277" t="str">
        <f>IFERROR(IF($B157="N/A","N/A",IF(MOD(COLUMNS($H$151:P$151)-1,$E157)=0,$F157*$D157*$G157,)),)</f>
        <v>N/A</v>
      </c>
      <c r="Q157" s="277" t="str">
        <f>IFERROR(IF($B157="N/A","N/A",IF(MOD(COLUMNS($H$151:Q$151)-1,$E157)=0,$F157*$D157*$G157,)),)</f>
        <v>N/A</v>
      </c>
      <c r="R157" s="277" t="str">
        <f>IFERROR(IF($B157="N/A","N/A",IF(MOD(COLUMNS($H$151:R$151)-1,$E157)=0,$F157*$D157*$G157,)),)</f>
        <v>N/A</v>
      </c>
      <c r="S157" s="277" t="str">
        <f>IFERROR(IF($B157="N/A","N/A",IF(MOD(COLUMNS($H$151:S$151)-1,$E157)=0,$F157*$D157*$G157,)),)</f>
        <v>N/A</v>
      </c>
      <c r="T157" s="277" t="str">
        <f>IFERROR(IF($B157="N/A","N/A",IF(MOD(COLUMNS($H$151:T$151)-1,$E157)=0,$F157*$D157*$G157,)),)</f>
        <v>N/A</v>
      </c>
      <c r="U157" s="277" t="str">
        <f>IFERROR(IF($B157="N/A","N/A",IF(MOD(COLUMNS($H$151:U$151)-1,$E157)=0,$F157*$D157*$G157,)),)</f>
        <v>N/A</v>
      </c>
      <c r="V157" s="277" t="str">
        <f>IFERROR(IF($B157="N/A","N/A",IF(MOD(COLUMNS($H$151:V$151)-1,$E157)=0,$F157*$D157*$G157,)),)</f>
        <v>N/A</v>
      </c>
      <c r="W157" s="277" t="str">
        <f>IFERROR(IF($B157="N/A","N/A",IF(MOD(COLUMNS($H$151:W$151)-1,$E157)=0,$F157*$D157*$G157,)),)</f>
        <v>N/A</v>
      </c>
    </row>
    <row r="158" spans="2:23">
      <c r="B158" s="76" t="str">
        <f t="array" ref="B158">IF(COUNTIFS(INDEX(Equipment_Allocation_New,0,MATCH($C$107,Unit_codes,0)),"&gt;0")&lt;ROWS('2.2-Equipment input'!$X$8:$X14),"N/A",INDEX('2.2-Equipment input'!B:B,SMALL(IF(INDEX(Equipment_Allocation_New,0,MATCH($C$107,Unit_codes,0))&gt;0,ROW(equipment_ID)),ROW('2.2-Equipment input'!B7))))</f>
        <v>N/A</v>
      </c>
      <c r="C158" s="76" t="str">
        <f>IF($B158="N/A","N/A",INDEX(Equipment_name[],MATCH(B158,equipment_ID,0)))</f>
        <v>N/A</v>
      </c>
      <c r="D158" s="277" t="str">
        <f t="shared" si="19"/>
        <v>N/A</v>
      </c>
      <c r="E158" s="94" t="str">
        <f t="shared" si="20"/>
        <v>N/A</v>
      </c>
      <c r="F158" s="94" t="str">
        <f t="shared" si="21"/>
        <v>N/A</v>
      </c>
      <c r="G158" s="92" t="str">
        <f t="shared" si="22"/>
        <v>N/A</v>
      </c>
      <c r="H158" s="277" t="str">
        <f>IFERROR(IF($B158="N/A","N/A",IF(MOD(COLUMNS(H$151:$H$151)-1,$E158)=0,$F158*$D158*$G158,)),)</f>
        <v>N/A</v>
      </c>
      <c r="I158" s="277" t="str">
        <f>IFERROR(IF($B158="N/A","N/A",IF(MOD(COLUMNS($H$151:I$151)-1,$E158)=0,$F158*$D158*$G158,)),)</f>
        <v>N/A</v>
      </c>
      <c r="J158" s="277" t="str">
        <f>IFERROR(IF($B158="N/A","N/A",IF(MOD(COLUMNS($H$151:J$151)-1,$E158)=0,$F158*$D158*$G158,)),)</f>
        <v>N/A</v>
      </c>
      <c r="K158" s="277" t="str">
        <f>IFERROR(IF($B158="N/A","N/A",IF(MOD(COLUMNS($H$151:K$151)-1,$E158)=0,$F158*$D158*$G158,)),)</f>
        <v>N/A</v>
      </c>
      <c r="L158" s="277" t="str">
        <f>IFERROR(IF($B158="N/A","N/A",IF(MOD(COLUMNS($H$151:L$151)-1,$E158)=0,$F158*$D158*$G158,)),)</f>
        <v>N/A</v>
      </c>
      <c r="M158" s="277" t="str">
        <f>IFERROR(IF($B158="N/A","N/A",IF(MOD(COLUMNS($H$151:M$151)-1,$E158)=0,$F158*$D158*$G158,)),)</f>
        <v>N/A</v>
      </c>
      <c r="N158" s="277" t="str">
        <f>IFERROR(IF($B158="N/A","N/A",IF(MOD(COLUMNS($H$151:N$151)-1,$E158)=0,$F158*$D158*$G158,)),)</f>
        <v>N/A</v>
      </c>
      <c r="O158" s="277" t="str">
        <f>IFERROR(IF($B158="N/A","N/A",IF(MOD(COLUMNS($H$151:O$151)-1,$E158)=0,$F158*$D158*$G158,)),)</f>
        <v>N/A</v>
      </c>
      <c r="P158" s="277" t="str">
        <f>IFERROR(IF($B158="N/A","N/A",IF(MOD(COLUMNS($H$151:P$151)-1,$E158)=0,$F158*$D158*$G158,)),)</f>
        <v>N/A</v>
      </c>
      <c r="Q158" s="277" t="str">
        <f>IFERROR(IF($B158="N/A","N/A",IF(MOD(COLUMNS($H$151:Q$151)-1,$E158)=0,$F158*$D158*$G158,)),)</f>
        <v>N/A</v>
      </c>
      <c r="R158" s="277" t="str">
        <f>IFERROR(IF($B158="N/A","N/A",IF(MOD(COLUMNS($H$151:R$151)-1,$E158)=0,$F158*$D158*$G158,)),)</f>
        <v>N/A</v>
      </c>
      <c r="S158" s="277" t="str">
        <f>IFERROR(IF($B158="N/A","N/A",IF(MOD(COLUMNS($H$151:S$151)-1,$E158)=0,$F158*$D158*$G158,)),)</f>
        <v>N/A</v>
      </c>
      <c r="T158" s="277" t="str">
        <f>IFERROR(IF($B158="N/A","N/A",IF(MOD(COLUMNS($H$151:T$151)-1,$E158)=0,$F158*$D158*$G158,)),)</f>
        <v>N/A</v>
      </c>
      <c r="U158" s="277" t="str">
        <f>IFERROR(IF($B158="N/A","N/A",IF(MOD(COLUMNS($H$151:U$151)-1,$E158)=0,$F158*$D158*$G158,)),)</f>
        <v>N/A</v>
      </c>
      <c r="V158" s="277" t="str">
        <f>IFERROR(IF($B158="N/A","N/A",IF(MOD(COLUMNS($H$151:V$151)-1,$E158)=0,$F158*$D158*$G158,)),)</f>
        <v>N/A</v>
      </c>
      <c r="W158" s="277" t="str">
        <f>IFERROR(IF($B158="N/A","N/A",IF(MOD(COLUMNS($H$151:W$151)-1,$E158)=0,$F158*$D158*$G158,)),)</f>
        <v>N/A</v>
      </c>
    </row>
    <row r="159" spans="2:23">
      <c r="B159" s="76" t="str">
        <f t="array" ref="B159">IF(COUNTIFS(INDEX(Equipment_Allocation_New,0,MATCH($C$107,Unit_codes,0)),"&gt;0")&lt;ROWS('2.2-Equipment input'!$X$8:$X15),"N/A",INDEX('2.2-Equipment input'!B:B,SMALL(IF(INDEX(Equipment_Allocation_New,0,MATCH($C$107,Unit_codes,0))&gt;0,ROW(equipment_ID)),ROW('2.2-Equipment input'!B8))))</f>
        <v>N/A</v>
      </c>
      <c r="C159" s="76" t="str">
        <f>IF($B159="N/A","N/A",INDEX(Equipment_name[],MATCH(B159,equipment_ID,0)))</f>
        <v>N/A</v>
      </c>
      <c r="D159" s="277" t="str">
        <f t="shared" si="19"/>
        <v>N/A</v>
      </c>
      <c r="E159" s="94" t="str">
        <f t="shared" si="20"/>
        <v>N/A</v>
      </c>
      <c r="F159" s="94" t="str">
        <f t="shared" si="21"/>
        <v>N/A</v>
      </c>
      <c r="G159" s="92" t="str">
        <f t="shared" si="22"/>
        <v>N/A</v>
      </c>
      <c r="H159" s="277" t="str">
        <f>IFERROR(IF($B159="N/A","N/A",IF(MOD(COLUMNS(H$151:$H$151)-1,$E159)=0,$F159*$D159*$G159,)),)</f>
        <v>N/A</v>
      </c>
      <c r="I159" s="277" t="str">
        <f>IFERROR(IF($B159="N/A","N/A",IF(MOD(COLUMNS($H$151:I$151)-1,$E159)=0,$F159*$D159*$G159,)),)</f>
        <v>N/A</v>
      </c>
      <c r="J159" s="277" t="str">
        <f>IFERROR(IF($B159="N/A","N/A",IF(MOD(COLUMNS($H$151:J$151)-1,$E159)=0,$F159*$D159*$G159,)),)</f>
        <v>N/A</v>
      </c>
      <c r="K159" s="277" t="str">
        <f>IFERROR(IF($B159="N/A","N/A",IF(MOD(COLUMNS($H$151:K$151)-1,$E159)=0,$F159*$D159*$G159,)),)</f>
        <v>N/A</v>
      </c>
      <c r="L159" s="277" t="str">
        <f>IFERROR(IF($B159="N/A","N/A",IF(MOD(COLUMNS($H$151:L$151)-1,$E159)=0,$F159*$D159*$G159,)),)</f>
        <v>N/A</v>
      </c>
      <c r="M159" s="277" t="str">
        <f>IFERROR(IF($B159="N/A","N/A",IF(MOD(COLUMNS($H$151:M$151)-1,$E159)=0,$F159*$D159*$G159,)),)</f>
        <v>N/A</v>
      </c>
      <c r="N159" s="277" t="str">
        <f>IFERROR(IF($B159="N/A","N/A",IF(MOD(COLUMNS($H$151:N$151)-1,$E159)=0,$F159*$D159*$G159,)),)</f>
        <v>N/A</v>
      </c>
      <c r="O159" s="277" t="str">
        <f>IFERROR(IF($B159="N/A","N/A",IF(MOD(COLUMNS($H$151:O$151)-1,$E159)=0,$F159*$D159*$G159,)),)</f>
        <v>N/A</v>
      </c>
      <c r="P159" s="277" t="str">
        <f>IFERROR(IF($B159="N/A","N/A",IF(MOD(COLUMNS($H$151:P$151)-1,$E159)=0,$F159*$D159*$G159,)),)</f>
        <v>N/A</v>
      </c>
      <c r="Q159" s="277" t="str">
        <f>IFERROR(IF($B159="N/A","N/A",IF(MOD(COLUMNS($H$151:Q$151)-1,$E159)=0,$F159*$D159*$G159,)),)</f>
        <v>N/A</v>
      </c>
      <c r="R159" s="277" t="str">
        <f>IFERROR(IF($B159="N/A","N/A",IF(MOD(COLUMNS($H$151:R$151)-1,$E159)=0,$F159*$D159*$G159,)),)</f>
        <v>N/A</v>
      </c>
      <c r="S159" s="277" t="str">
        <f>IFERROR(IF($B159="N/A","N/A",IF(MOD(COLUMNS($H$151:S$151)-1,$E159)=0,$F159*$D159*$G159,)),)</f>
        <v>N/A</v>
      </c>
      <c r="T159" s="277" t="str">
        <f>IFERROR(IF($B159="N/A","N/A",IF(MOD(COLUMNS($H$151:T$151)-1,$E159)=0,$F159*$D159*$G159,)),)</f>
        <v>N/A</v>
      </c>
      <c r="U159" s="277" t="str">
        <f>IFERROR(IF($B159="N/A","N/A",IF(MOD(COLUMNS($H$151:U$151)-1,$E159)=0,$F159*$D159*$G159,)),)</f>
        <v>N/A</v>
      </c>
      <c r="V159" s="277" t="str">
        <f>IFERROR(IF($B159="N/A","N/A",IF(MOD(COLUMNS($H$151:V$151)-1,$E159)=0,$F159*$D159*$G159,)),)</f>
        <v>N/A</v>
      </c>
      <c r="W159" s="277" t="str">
        <f>IFERROR(IF($B159="N/A","N/A",IF(MOD(COLUMNS($H$151:W$151)-1,$E159)=0,$F159*$D159*$G159,)),)</f>
        <v>N/A</v>
      </c>
    </row>
    <row r="160" spans="2:23">
      <c r="B160" s="76" t="str">
        <f t="array" ref="B160">IF(COUNTIFS(INDEX(Equipment_Allocation_New,0,MATCH($C$107,Unit_codes,0)),"&gt;0")&lt;ROWS('2.2-Equipment input'!$X$8:$X16),"N/A",INDEX('2.2-Equipment input'!B:B,SMALL(IF(INDEX(Equipment_Allocation_New,0,MATCH($C$107,Unit_codes,0))&gt;0,ROW(equipment_ID)),ROW('2.2-Equipment input'!B9))))</f>
        <v>N/A</v>
      </c>
      <c r="C160" s="76" t="str">
        <f>IF($B160="N/A","N/A",INDEX(Equipment_name[],MATCH(B160,equipment_ID,0)))</f>
        <v>N/A</v>
      </c>
      <c r="D160" s="277" t="str">
        <f t="shared" si="19"/>
        <v>N/A</v>
      </c>
      <c r="E160" s="94" t="str">
        <f t="shared" si="20"/>
        <v>N/A</v>
      </c>
      <c r="F160" s="94" t="str">
        <f t="shared" si="21"/>
        <v>N/A</v>
      </c>
      <c r="G160" s="92" t="str">
        <f t="shared" si="22"/>
        <v>N/A</v>
      </c>
      <c r="H160" s="277" t="str">
        <f>IFERROR(IF($B160="N/A","N/A",IF(MOD(COLUMNS(H$151:$H$151)-1,$E160)=0,$F160*$D160*$G160,)),)</f>
        <v>N/A</v>
      </c>
      <c r="I160" s="277" t="str">
        <f>IFERROR(IF($B160="N/A","N/A",IF(MOD(COLUMNS($H$151:I$151)-1,$E160)=0,$F160*$D160*$G160,)),)</f>
        <v>N/A</v>
      </c>
      <c r="J160" s="277" t="str">
        <f>IFERROR(IF($B160="N/A","N/A",IF(MOD(COLUMNS($H$151:J$151)-1,$E160)=0,$F160*$D160*$G160,)),)</f>
        <v>N/A</v>
      </c>
      <c r="K160" s="277" t="str">
        <f>IFERROR(IF($B160="N/A","N/A",IF(MOD(COLUMNS($H$151:K$151)-1,$E160)=0,$F160*$D160*$G160,)),)</f>
        <v>N/A</v>
      </c>
      <c r="L160" s="277" t="str">
        <f>IFERROR(IF($B160="N/A","N/A",IF(MOD(COLUMNS($H$151:L$151)-1,$E160)=0,$F160*$D160*$G160,)),)</f>
        <v>N/A</v>
      </c>
      <c r="M160" s="277" t="str">
        <f>IFERROR(IF($B160="N/A","N/A",IF(MOD(COLUMNS($H$151:M$151)-1,$E160)=0,$F160*$D160*$G160,)),)</f>
        <v>N/A</v>
      </c>
      <c r="N160" s="277" t="str">
        <f>IFERROR(IF($B160="N/A","N/A",IF(MOD(COLUMNS($H$151:N$151)-1,$E160)=0,$F160*$D160*$G160,)),)</f>
        <v>N/A</v>
      </c>
      <c r="O160" s="277" t="str">
        <f>IFERROR(IF($B160="N/A","N/A",IF(MOD(COLUMNS($H$151:O$151)-1,$E160)=0,$F160*$D160*$G160,)),)</f>
        <v>N/A</v>
      </c>
      <c r="P160" s="277" t="str">
        <f>IFERROR(IF($B160="N/A","N/A",IF(MOD(COLUMNS($H$151:P$151)-1,$E160)=0,$F160*$D160*$G160,)),)</f>
        <v>N/A</v>
      </c>
      <c r="Q160" s="277" t="str">
        <f>IFERROR(IF($B160="N/A","N/A",IF(MOD(COLUMNS($H$151:Q$151)-1,$E160)=0,$F160*$D160*$G160,)),)</f>
        <v>N/A</v>
      </c>
      <c r="R160" s="277" t="str">
        <f>IFERROR(IF($B160="N/A","N/A",IF(MOD(COLUMNS($H$151:R$151)-1,$E160)=0,$F160*$D160*$G160,)),)</f>
        <v>N/A</v>
      </c>
      <c r="S160" s="277" t="str">
        <f>IFERROR(IF($B160="N/A","N/A",IF(MOD(COLUMNS($H$151:S$151)-1,$E160)=0,$F160*$D160*$G160,)),)</f>
        <v>N/A</v>
      </c>
      <c r="T160" s="277" t="str">
        <f>IFERROR(IF($B160="N/A","N/A",IF(MOD(COLUMNS($H$151:T$151)-1,$E160)=0,$F160*$D160*$G160,)),)</f>
        <v>N/A</v>
      </c>
      <c r="U160" s="277" t="str">
        <f>IFERROR(IF($B160="N/A","N/A",IF(MOD(COLUMNS($H$151:U$151)-1,$E160)=0,$F160*$D160*$G160,)),)</f>
        <v>N/A</v>
      </c>
      <c r="V160" s="277" t="str">
        <f>IFERROR(IF($B160="N/A","N/A",IF(MOD(COLUMNS($H$151:V$151)-1,$E160)=0,$F160*$D160*$G160,)),)</f>
        <v>N/A</v>
      </c>
      <c r="W160" s="277" t="str">
        <f>IFERROR(IF($B160="N/A","N/A",IF(MOD(COLUMNS($H$151:W$151)-1,$E160)=0,$F160*$D160*$G160,)),)</f>
        <v>N/A</v>
      </c>
    </row>
    <row r="161" spans="2:23">
      <c r="B161" s="76" t="str">
        <f t="array" ref="B161">IF(COUNTIFS(INDEX(Equipment_Allocation_New,0,MATCH($C$107,Unit_codes,0)),"&gt;0")&lt;ROWS('2.2-Equipment input'!$X$8:$X17),"N/A",INDEX('2.2-Equipment input'!B:B,SMALL(IF(INDEX(Equipment_Allocation_New,0,MATCH($C$107,Unit_codes,0))&gt;0,ROW(equipment_ID)),ROW('2.2-Equipment input'!B10))))</f>
        <v>N/A</v>
      </c>
      <c r="C161" s="76" t="str">
        <f>IF($B161="N/A","N/A",INDEX(Equipment_name[],MATCH(B161,equipment_ID,0)))</f>
        <v>N/A</v>
      </c>
      <c r="D161" s="277" t="str">
        <f t="shared" si="19"/>
        <v>N/A</v>
      </c>
      <c r="E161" s="94" t="str">
        <f t="shared" si="20"/>
        <v>N/A</v>
      </c>
      <c r="F161" s="94" t="str">
        <f t="shared" si="21"/>
        <v>N/A</v>
      </c>
      <c r="G161" s="94" t="str">
        <f t="shared" si="22"/>
        <v>N/A</v>
      </c>
      <c r="H161" s="277" t="str">
        <f>IFERROR(IF($B161="N/A","N/A",IF(MOD(COLUMNS(H$151:$H$151)-1,$E161)=0,$F161*$D161*$G161,)),)</f>
        <v>N/A</v>
      </c>
      <c r="I161" s="277" t="str">
        <f>IFERROR(IF($B161="N/A","N/A",IF(MOD(COLUMNS($H$151:I$151)-1,$E161)=0,$F161*$D161*$G161,)),)</f>
        <v>N/A</v>
      </c>
      <c r="J161" s="277" t="str">
        <f>IFERROR(IF($B161="N/A","N/A",IF(MOD(COLUMNS($H$151:J$151)-1,$E161)=0,$F161*$D161*$G161,)),)</f>
        <v>N/A</v>
      </c>
      <c r="K161" s="277" t="str">
        <f>IFERROR(IF($B161="N/A","N/A",IF(MOD(COLUMNS($H$151:K$151)-1,$E161)=0,$F161*$D161*$G161,)),)</f>
        <v>N/A</v>
      </c>
      <c r="L161" s="277" t="str">
        <f>IFERROR(IF($B161="N/A","N/A",IF(MOD(COLUMNS($H$151:L$151)-1,$E161)=0,$F161*$D161*$G161,)),)</f>
        <v>N/A</v>
      </c>
      <c r="M161" s="277" t="str">
        <f>IFERROR(IF($B161="N/A","N/A",IF(MOD(COLUMNS($H$151:M$151)-1,$E161)=0,$F161*$D161*$G161,)),)</f>
        <v>N/A</v>
      </c>
      <c r="N161" s="277" t="str">
        <f>IFERROR(IF($B161="N/A","N/A",IF(MOD(COLUMNS($H$151:N$151)-1,$E161)=0,$F161*$D161*$G161,)),)</f>
        <v>N/A</v>
      </c>
      <c r="O161" s="277" t="str">
        <f>IFERROR(IF($B161="N/A","N/A",IF(MOD(COLUMNS($H$151:O$151)-1,$E161)=0,$F161*$D161*$G161,)),)</f>
        <v>N/A</v>
      </c>
      <c r="P161" s="277" t="str">
        <f>IFERROR(IF($B161="N/A","N/A",IF(MOD(COLUMNS($H$151:P$151)-1,$E161)=0,$F161*$D161*$G161,)),)</f>
        <v>N/A</v>
      </c>
      <c r="Q161" s="277" t="str">
        <f>IFERROR(IF($B161="N/A","N/A",IF(MOD(COLUMNS($H$151:Q$151)-1,$E161)=0,$F161*$D161*$G161,)),)</f>
        <v>N/A</v>
      </c>
      <c r="R161" s="277" t="str">
        <f>IFERROR(IF($B161="N/A","N/A",IF(MOD(COLUMNS($H$151:R$151)-1,$E161)=0,$F161*$D161*$G161,)),)</f>
        <v>N/A</v>
      </c>
      <c r="S161" s="277" t="str">
        <f>IFERROR(IF($B161="N/A","N/A",IF(MOD(COLUMNS($H$151:S$151)-1,$E161)=0,$F161*$D161*$G161,)),)</f>
        <v>N/A</v>
      </c>
      <c r="T161" s="277" t="str">
        <f>IFERROR(IF($B161="N/A","N/A",IF(MOD(COLUMNS($H$151:T$151)-1,$E161)=0,$F161*$D161*$G161,)),)</f>
        <v>N/A</v>
      </c>
      <c r="U161" s="277" t="str">
        <f>IFERROR(IF($B161="N/A","N/A",IF(MOD(COLUMNS($H$151:U$151)-1,$E161)=0,$F161*$D161*$G161,)),)</f>
        <v>N/A</v>
      </c>
      <c r="V161" s="277" t="str">
        <f>IFERROR(IF($B161="N/A","N/A",IF(MOD(COLUMNS($H$151:V$151)-1,$E161)=0,$F161*$D161*$G161,)),)</f>
        <v>N/A</v>
      </c>
      <c r="W161" s="277" t="str">
        <f>IFERROR(IF($B161="N/A","N/A",IF(MOD(COLUMNS($H$151:W$151)-1,$E161)=0,$F161*$D161*$G161,)),)</f>
        <v>N/A</v>
      </c>
    </row>
    <row r="162" spans="2:23">
      <c r="B162" s="76" t="str">
        <f t="array" ref="B162">IF(COUNTIFS(INDEX(Equipment_Allocation_New,0,MATCH($C$107,Unit_codes,0)),"&gt;0")&lt;ROWS('2.2-Equipment input'!$X$8:$X18),"N/A",INDEX('2.2-Equipment input'!B:B,SMALL(IF(INDEX(Equipment_Allocation_New,0,MATCH($C$107,Unit_codes,0))&gt;0,ROW(equipment_ID)),ROW('2.2-Equipment input'!B11))))</f>
        <v>N/A</v>
      </c>
      <c r="C162" s="76" t="str">
        <f>IF($B162="N/A","N/A",INDEX(Equipment_name[],MATCH(B162,equipment_ID,0)))</f>
        <v>N/A</v>
      </c>
      <c r="D162" s="277" t="str">
        <f t="shared" si="19"/>
        <v>N/A</v>
      </c>
      <c r="E162" s="94" t="str">
        <f t="shared" si="20"/>
        <v>N/A</v>
      </c>
      <c r="F162" s="94" t="str">
        <f t="shared" si="21"/>
        <v>N/A</v>
      </c>
      <c r="G162" s="94" t="str">
        <f t="shared" si="22"/>
        <v>N/A</v>
      </c>
      <c r="H162" s="277" t="str">
        <f>IFERROR(IF($B162="N/A","N/A",IF(MOD(COLUMNS(H$151:$H$151)-1,$E162)=0,$F162*$D162*$G162,)),)</f>
        <v>N/A</v>
      </c>
      <c r="I162" s="277" t="str">
        <f>IFERROR(IF($B162="N/A","N/A",IF(MOD(COLUMNS($H$151:I$151)-1,$E162)=0,$F162*$D162*$G162,)),)</f>
        <v>N/A</v>
      </c>
      <c r="J162" s="277" t="str">
        <f>IFERROR(IF($B162="N/A","N/A",IF(MOD(COLUMNS($H$151:J$151)-1,$E162)=0,$F162*$D162*$G162,)),)</f>
        <v>N/A</v>
      </c>
      <c r="K162" s="277" t="str">
        <f>IFERROR(IF($B162="N/A","N/A",IF(MOD(COLUMNS($H$151:K$151)-1,$E162)=0,$F162*$D162*$G162,)),)</f>
        <v>N/A</v>
      </c>
      <c r="L162" s="277" t="str">
        <f>IFERROR(IF($B162="N/A","N/A",IF(MOD(COLUMNS($H$151:L$151)-1,$E162)=0,$F162*$D162*$G162,)),)</f>
        <v>N/A</v>
      </c>
      <c r="M162" s="277" t="str">
        <f>IFERROR(IF($B162="N/A","N/A",IF(MOD(COLUMNS($H$151:M$151)-1,$E162)=0,$F162*$D162*$G162,)),)</f>
        <v>N/A</v>
      </c>
      <c r="N162" s="277" t="str">
        <f>IFERROR(IF($B162="N/A","N/A",IF(MOD(COLUMNS($H$151:N$151)-1,$E162)=0,$F162*$D162*$G162,)),)</f>
        <v>N/A</v>
      </c>
      <c r="O162" s="277" t="str">
        <f>IFERROR(IF($B162="N/A","N/A",IF(MOD(COLUMNS($H$151:O$151)-1,$E162)=0,$F162*$D162*$G162,)),)</f>
        <v>N/A</v>
      </c>
      <c r="P162" s="277" t="str">
        <f>IFERROR(IF($B162="N/A","N/A",IF(MOD(COLUMNS($H$151:P$151)-1,$E162)=0,$F162*$D162*$G162,)),)</f>
        <v>N/A</v>
      </c>
      <c r="Q162" s="277" t="str">
        <f>IFERROR(IF($B162="N/A","N/A",IF(MOD(COLUMNS($H$151:Q$151)-1,$E162)=0,$F162*$D162*$G162,)),)</f>
        <v>N/A</v>
      </c>
      <c r="R162" s="277" t="str">
        <f>IFERROR(IF($B162="N/A","N/A",IF(MOD(COLUMNS($H$151:R$151)-1,$E162)=0,$F162*$D162*$G162,)),)</f>
        <v>N/A</v>
      </c>
      <c r="S162" s="277" t="str">
        <f>IFERROR(IF($B162="N/A","N/A",IF(MOD(COLUMNS($H$151:S$151)-1,$E162)=0,$F162*$D162*$G162,)),)</f>
        <v>N/A</v>
      </c>
      <c r="T162" s="277" t="str">
        <f>IFERROR(IF($B162="N/A","N/A",IF(MOD(COLUMNS($H$151:T$151)-1,$E162)=0,$F162*$D162*$G162,)),)</f>
        <v>N/A</v>
      </c>
      <c r="U162" s="277" t="str">
        <f>IFERROR(IF($B162="N/A","N/A",IF(MOD(COLUMNS($H$151:U$151)-1,$E162)=0,$F162*$D162*$G162,)),)</f>
        <v>N/A</v>
      </c>
      <c r="V162" s="277" t="str">
        <f>IFERROR(IF($B162="N/A","N/A",IF(MOD(COLUMNS($H$151:V$151)-1,$E162)=0,$F162*$D162*$G162,)),)</f>
        <v>N/A</v>
      </c>
      <c r="W162" s="277" t="str">
        <f>IFERROR(IF($B162="N/A","N/A",IF(MOD(COLUMNS($H$151:W$151)-1,$E162)=0,$F162*$D162*$G162,)),)</f>
        <v>N/A</v>
      </c>
    </row>
    <row r="163" spans="2:23">
      <c r="B163" s="76" t="str">
        <f t="array" ref="B163">IF(COUNTIFS(INDEX(Equipment_Allocation_New,0,MATCH($C$107,Unit_codes,0)),"&gt;0")&lt;ROWS('2.2-Equipment input'!$X$8:$X19),"N/A",INDEX('2.2-Equipment input'!B:B,SMALL(IF(INDEX(Equipment_Allocation_New,0,MATCH($C$107,Unit_codes,0))&gt;0,ROW(equipment_ID)),ROW('2.2-Equipment input'!B12))))</f>
        <v>N/A</v>
      </c>
      <c r="C163" s="76" t="str">
        <f>IF($B163="N/A","N/A",INDEX(Equipment_name[],MATCH(B163,equipment_ID,0)))</f>
        <v>N/A</v>
      </c>
      <c r="D163" s="277" t="str">
        <f t="shared" si="19"/>
        <v>N/A</v>
      </c>
      <c r="E163" s="94" t="str">
        <f t="shared" si="20"/>
        <v>N/A</v>
      </c>
      <c r="F163" s="94" t="str">
        <f t="shared" si="21"/>
        <v>N/A</v>
      </c>
      <c r="G163" s="94" t="str">
        <f t="shared" si="22"/>
        <v>N/A</v>
      </c>
      <c r="H163" s="277" t="str">
        <f>IFERROR(IF($B163="N/A","N/A",IF(MOD(COLUMNS(H$151:$H$151)-1,$E163)=0,$F163*$D163*$G163,)),)</f>
        <v>N/A</v>
      </c>
      <c r="I163" s="277" t="str">
        <f>IFERROR(IF($B163="N/A","N/A",IF(MOD(COLUMNS($H$151:I$151)-1,$E163)=0,$F163*$D163*$G163,)),)</f>
        <v>N/A</v>
      </c>
      <c r="J163" s="277" t="str">
        <f>IFERROR(IF($B163="N/A","N/A",IF(MOD(COLUMNS($H$151:J$151)-1,$E163)=0,$F163*$D163*$G163,)),)</f>
        <v>N/A</v>
      </c>
      <c r="K163" s="277" t="str">
        <f>IFERROR(IF($B163="N/A","N/A",IF(MOD(COLUMNS($H$151:K$151)-1,$E163)=0,$F163*$D163*$G163,)),)</f>
        <v>N/A</v>
      </c>
      <c r="L163" s="277" t="str">
        <f>IFERROR(IF($B163="N/A","N/A",IF(MOD(COLUMNS($H$151:L$151)-1,$E163)=0,$F163*$D163*$G163,)),)</f>
        <v>N/A</v>
      </c>
      <c r="M163" s="277" t="str">
        <f>IFERROR(IF($B163="N/A","N/A",IF(MOD(COLUMNS($H$151:M$151)-1,$E163)=0,$F163*$D163*$G163,)),)</f>
        <v>N/A</v>
      </c>
      <c r="N163" s="277" t="str">
        <f>IFERROR(IF($B163="N/A","N/A",IF(MOD(COLUMNS($H$151:N$151)-1,$E163)=0,$F163*$D163*$G163,)),)</f>
        <v>N/A</v>
      </c>
      <c r="O163" s="277" t="str">
        <f>IFERROR(IF($B163="N/A","N/A",IF(MOD(COLUMNS($H$151:O$151)-1,$E163)=0,$F163*$D163*$G163,)),)</f>
        <v>N/A</v>
      </c>
      <c r="P163" s="277" t="str">
        <f>IFERROR(IF($B163="N/A","N/A",IF(MOD(COLUMNS($H$151:P$151)-1,$E163)=0,$F163*$D163*$G163,)),)</f>
        <v>N/A</v>
      </c>
      <c r="Q163" s="277" t="str">
        <f>IFERROR(IF($B163="N/A","N/A",IF(MOD(COLUMNS($H$151:Q$151)-1,$E163)=0,$F163*$D163*$G163,)),)</f>
        <v>N/A</v>
      </c>
      <c r="R163" s="277" t="str">
        <f>IFERROR(IF($B163="N/A","N/A",IF(MOD(COLUMNS($H$151:R$151)-1,$E163)=0,$F163*$D163*$G163,)),)</f>
        <v>N/A</v>
      </c>
      <c r="S163" s="277" t="str">
        <f>IFERROR(IF($B163="N/A","N/A",IF(MOD(COLUMNS($H$151:S$151)-1,$E163)=0,$F163*$D163*$G163,)),)</f>
        <v>N/A</v>
      </c>
      <c r="T163" s="277" t="str">
        <f>IFERROR(IF($B163="N/A","N/A",IF(MOD(COLUMNS($H$151:T$151)-1,$E163)=0,$F163*$D163*$G163,)),)</f>
        <v>N/A</v>
      </c>
      <c r="U163" s="277" t="str">
        <f>IFERROR(IF($B163="N/A","N/A",IF(MOD(COLUMNS($H$151:U$151)-1,$E163)=0,$F163*$D163*$G163,)),)</f>
        <v>N/A</v>
      </c>
      <c r="V163" s="277" t="str">
        <f>IFERROR(IF($B163="N/A","N/A",IF(MOD(COLUMNS($H$151:V$151)-1,$E163)=0,$F163*$D163*$G163,)),)</f>
        <v>N/A</v>
      </c>
      <c r="W163" s="277" t="str">
        <f>IFERROR(IF($B163="N/A","N/A",IF(MOD(COLUMNS($H$151:W$151)-1,$E163)=0,$F163*$D163*$G163,)),)</f>
        <v>N/A</v>
      </c>
    </row>
    <row r="164" spans="2:23">
      <c r="B164" s="76" t="str">
        <f t="array" ref="B164">IF(COUNTIFS(INDEX(Equipment_Allocation_New,0,MATCH($C$107,Unit_codes,0)),"&gt;0")&lt;ROWS('2.2-Equipment input'!$X$8:$X20),"N/A",INDEX('2.2-Equipment input'!B:B,SMALL(IF(INDEX(Equipment_Allocation_New,0,MATCH($C$107,Unit_codes,0))&gt;0,ROW(equipment_ID)),ROW('2.2-Equipment input'!B13))))</f>
        <v>N/A</v>
      </c>
      <c r="C164" s="76" t="str">
        <f>IF($B164="N/A","N/A",INDEX(Equipment_name[],MATCH(B164,equipment_ID,0)))</f>
        <v>N/A</v>
      </c>
      <c r="D164" s="277" t="str">
        <f t="shared" si="19"/>
        <v>N/A</v>
      </c>
      <c r="E164" s="94" t="str">
        <f t="shared" si="20"/>
        <v>N/A</v>
      </c>
      <c r="F164" s="94" t="str">
        <f t="shared" si="21"/>
        <v>N/A</v>
      </c>
      <c r="G164" s="94" t="str">
        <f t="shared" si="22"/>
        <v>N/A</v>
      </c>
      <c r="H164" s="277" t="str">
        <f>IFERROR(IF($B164="N/A","N/A",IF(MOD(COLUMNS(H$151:$H$151)-1,$E164)=0,$F164*$D164*$G164,)),)</f>
        <v>N/A</v>
      </c>
      <c r="I164" s="277" t="str">
        <f>IFERROR(IF($B164="N/A","N/A",IF(MOD(COLUMNS($H$151:I$151)-1,$E164)=0,$F164*$D164*$G164,)),)</f>
        <v>N/A</v>
      </c>
      <c r="J164" s="277" t="str">
        <f>IFERROR(IF($B164="N/A","N/A",IF(MOD(COLUMNS($H$151:J$151)-1,$E164)=0,$F164*$D164*$G164,)),)</f>
        <v>N/A</v>
      </c>
      <c r="K164" s="277" t="str">
        <f>IFERROR(IF($B164="N/A","N/A",IF(MOD(COLUMNS($H$151:K$151)-1,$E164)=0,$F164*$D164*$G164,)),)</f>
        <v>N/A</v>
      </c>
      <c r="L164" s="277" t="str">
        <f>IFERROR(IF($B164="N/A","N/A",IF(MOD(COLUMNS($H$151:L$151)-1,$E164)=0,$F164*$D164*$G164,)),)</f>
        <v>N/A</v>
      </c>
      <c r="M164" s="277" t="str">
        <f>IFERROR(IF($B164="N/A","N/A",IF(MOD(COLUMNS($H$151:M$151)-1,$E164)=0,$F164*$D164*$G164,)),)</f>
        <v>N/A</v>
      </c>
      <c r="N164" s="277" t="str">
        <f>IFERROR(IF($B164="N/A","N/A",IF(MOD(COLUMNS($H$151:N$151)-1,$E164)=0,$F164*$D164*$G164,)),)</f>
        <v>N/A</v>
      </c>
      <c r="O164" s="277" t="str">
        <f>IFERROR(IF($B164="N/A","N/A",IF(MOD(COLUMNS($H$151:O$151)-1,$E164)=0,$F164*$D164*$G164,)),)</f>
        <v>N/A</v>
      </c>
      <c r="P164" s="277" t="str">
        <f>IFERROR(IF($B164="N/A","N/A",IF(MOD(COLUMNS($H$151:P$151)-1,$E164)=0,$F164*$D164*$G164,)),)</f>
        <v>N/A</v>
      </c>
      <c r="Q164" s="277" t="str">
        <f>IFERROR(IF($B164="N/A","N/A",IF(MOD(COLUMNS($H$151:Q$151)-1,$E164)=0,$F164*$D164*$G164,)),)</f>
        <v>N/A</v>
      </c>
      <c r="R164" s="277" t="str">
        <f>IFERROR(IF($B164="N/A","N/A",IF(MOD(COLUMNS($H$151:R$151)-1,$E164)=0,$F164*$D164*$G164,)),)</f>
        <v>N/A</v>
      </c>
      <c r="S164" s="277" t="str">
        <f>IFERROR(IF($B164="N/A","N/A",IF(MOD(COLUMNS($H$151:S$151)-1,$E164)=0,$F164*$D164*$G164,)),)</f>
        <v>N/A</v>
      </c>
      <c r="T164" s="277" t="str">
        <f>IFERROR(IF($B164="N/A","N/A",IF(MOD(COLUMNS($H$151:T$151)-1,$E164)=0,$F164*$D164*$G164,)),)</f>
        <v>N/A</v>
      </c>
      <c r="U164" s="277" t="str">
        <f>IFERROR(IF($B164="N/A","N/A",IF(MOD(COLUMNS($H$151:U$151)-1,$E164)=0,$F164*$D164*$G164,)),)</f>
        <v>N/A</v>
      </c>
      <c r="V164" s="277" t="str">
        <f>IFERROR(IF($B164="N/A","N/A",IF(MOD(COLUMNS($H$151:V$151)-1,$E164)=0,$F164*$D164*$G164,)),)</f>
        <v>N/A</v>
      </c>
      <c r="W164" s="277" t="str">
        <f>IFERROR(IF($B164="N/A","N/A",IF(MOD(COLUMNS($H$151:W$151)-1,$E164)=0,$F164*$D164*$G164,)),)</f>
        <v>N/A</v>
      </c>
    </row>
    <row r="165" spans="2:23">
      <c r="B165" s="76" t="str">
        <f t="array" ref="B165">IF(COUNTIFS(INDEX(Equipment_Allocation_New,0,MATCH($C$107,Unit_codes,0)),"&gt;0")&lt;ROWS('2.2-Equipment input'!$X$8:$X21),"N/A",INDEX('2.2-Equipment input'!B:B,SMALL(IF(INDEX(Equipment_Allocation_New,0,MATCH($C$107,Unit_codes,0))&gt;0,ROW(equipment_ID)),ROW('2.2-Equipment input'!B14))))</f>
        <v>N/A</v>
      </c>
      <c r="C165" s="76" t="str">
        <f>IF($B165="N/A","N/A",INDEX(Equipment_name[],MATCH(B165,equipment_ID,0)))</f>
        <v>N/A</v>
      </c>
      <c r="D165" s="277" t="str">
        <f t="shared" si="19"/>
        <v>N/A</v>
      </c>
      <c r="E165" s="94" t="str">
        <f t="shared" si="20"/>
        <v>N/A</v>
      </c>
      <c r="F165" s="94" t="str">
        <f t="shared" si="21"/>
        <v>N/A</v>
      </c>
      <c r="G165" s="94" t="str">
        <f t="shared" si="22"/>
        <v>N/A</v>
      </c>
      <c r="H165" s="277" t="str">
        <f>IFERROR(IF($B165="N/A","N/A",IF(MOD(COLUMNS(H$151:$H$151)-1,$E165)=0,$F165*$D165*$G165,)),)</f>
        <v>N/A</v>
      </c>
      <c r="I165" s="277" t="str">
        <f>IFERROR(IF($B165="N/A","N/A",IF(MOD(COLUMNS($H$151:I$151)-1,$E165)=0,$F165*$D165*$G165,)),)</f>
        <v>N/A</v>
      </c>
      <c r="J165" s="277" t="str">
        <f>IFERROR(IF($B165="N/A","N/A",IF(MOD(COLUMNS($H$151:J$151)-1,$E165)=0,$F165*$D165*$G165,)),)</f>
        <v>N/A</v>
      </c>
      <c r="K165" s="277" t="str">
        <f>IFERROR(IF($B165="N/A","N/A",IF(MOD(COLUMNS($H$151:K$151)-1,$E165)=0,$F165*$D165*$G165,)),)</f>
        <v>N/A</v>
      </c>
      <c r="L165" s="277" t="str">
        <f>IFERROR(IF($B165="N/A","N/A",IF(MOD(COLUMNS($H$151:L$151)-1,$E165)=0,$F165*$D165*$G165,)),)</f>
        <v>N/A</v>
      </c>
      <c r="M165" s="277" t="str">
        <f>IFERROR(IF($B165="N/A","N/A",IF(MOD(COLUMNS($H$151:M$151)-1,$E165)=0,$F165*$D165*$G165,)),)</f>
        <v>N/A</v>
      </c>
      <c r="N165" s="277" t="str">
        <f>IFERROR(IF($B165="N/A","N/A",IF(MOD(COLUMNS($H$151:N$151)-1,$E165)=0,$F165*$D165*$G165,)),)</f>
        <v>N/A</v>
      </c>
      <c r="O165" s="277" t="str">
        <f>IFERROR(IF($B165="N/A","N/A",IF(MOD(COLUMNS($H$151:O$151)-1,$E165)=0,$F165*$D165*$G165,)),)</f>
        <v>N/A</v>
      </c>
      <c r="P165" s="277" t="str">
        <f>IFERROR(IF($B165="N/A","N/A",IF(MOD(COLUMNS($H$151:P$151)-1,$E165)=0,$F165*$D165*$G165,)),)</f>
        <v>N/A</v>
      </c>
      <c r="Q165" s="277" t="str">
        <f>IFERROR(IF($B165="N/A","N/A",IF(MOD(COLUMNS($H$151:Q$151)-1,$E165)=0,$F165*$D165*$G165,)),)</f>
        <v>N/A</v>
      </c>
      <c r="R165" s="277" t="str">
        <f>IFERROR(IF($B165="N/A","N/A",IF(MOD(COLUMNS($H$151:R$151)-1,$E165)=0,$F165*$D165*$G165,)),)</f>
        <v>N/A</v>
      </c>
      <c r="S165" s="277" t="str">
        <f>IFERROR(IF($B165="N/A","N/A",IF(MOD(COLUMNS($H$151:S$151)-1,$E165)=0,$F165*$D165*$G165,)),)</f>
        <v>N/A</v>
      </c>
      <c r="T165" s="277" t="str">
        <f>IFERROR(IF($B165="N/A","N/A",IF(MOD(COLUMNS($H$151:T$151)-1,$E165)=0,$F165*$D165*$G165,)),)</f>
        <v>N/A</v>
      </c>
      <c r="U165" s="277" t="str">
        <f>IFERROR(IF($B165="N/A","N/A",IF(MOD(COLUMNS($H$151:U$151)-1,$E165)=0,$F165*$D165*$G165,)),)</f>
        <v>N/A</v>
      </c>
      <c r="V165" s="277" t="str">
        <f>IFERROR(IF($B165="N/A","N/A",IF(MOD(COLUMNS($H$151:V$151)-1,$E165)=0,$F165*$D165*$G165,)),)</f>
        <v>N/A</v>
      </c>
      <c r="W165" s="277" t="str">
        <f>IFERROR(IF($B165="N/A","N/A",IF(MOD(COLUMNS($H$151:W$151)-1,$E165)=0,$F165*$D165*$G165,)),)</f>
        <v>N/A</v>
      </c>
    </row>
    <row r="166" spans="2:23">
      <c r="B166" s="76" t="str">
        <f t="array" ref="B166">IF(COUNTIFS(INDEX(Equipment_Allocation_New,0,MATCH($C$107,Unit_codes,0)),"&gt;0")&lt;ROWS('2.2-Equipment input'!$X$8:$X22),"N/A",INDEX('2.2-Equipment input'!B:B,SMALL(IF(INDEX(Equipment_Allocation_New,0,MATCH($C$107,Unit_codes,0))&gt;0,ROW(equipment_ID)),ROW('2.2-Equipment input'!B15))))</f>
        <v>N/A</v>
      </c>
      <c r="C166" s="76" t="str">
        <f>IF($B166="N/A","N/A",INDEX(Equipment_name[],MATCH(B166,equipment_ID,0)))</f>
        <v>N/A</v>
      </c>
      <c r="D166" s="277" t="str">
        <f t="shared" si="19"/>
        <v>N/A</v>
      </c>
      <c r="E166" s="94" t="str">
        <f t="shared" si="20"/>
        <v>N/A</v>
      </c>
      <c r="F166" s="94" t="str">
        <f t="shared" si="21"/>
        <v>N/A</v>
      </c>
      <c r="G166" s="94" t="str">
        <f t="shared" si="22"/>
        <v>N/A</v>
      </c>
      <c r="H166" s="277" t="str">
        <f>IFERROR(IF($B166="N/A","N/A",IF(MOD(COLUMNS(H$151:$H$151)-1,$E166)=0,$F166*$D166*$G166,)),)</f>
        <v>N/A</v>
      </c>
      <c r="I166" s="277" t="str">
        <f>IFERROR(IF($B166="N/A","N/A",IF(MOD(COLUMNS($H$151:I$151)-1,$E166)=0,$F166*$D166*$G166,)),)</f>
        <v>N/A</v>
      </c>
      <c r="J166" s="277" t="str">
        <f>IFERROR(IF($B166="N/A","N/A",IF(MOD(COLUMNS($H$151:J$151)-1,$E166)=0,$F166*$D166*$G166,)),)</f>
        <v>N/A</v>
      </c>
      <c r="K166" s="277" t="str">
        <f>IFERROR(IF($B166="N/A","N/A",IF(MOD(COLUMNS($H$151:K$151)-1,$E166)=0,$F166*$D166*$G166,)),)</f>
        <v>N/A</v>
      </c>
      <c r="L166" s="277" t="str">
        <f>IFERROR(IF($B166="N/A","N/A",IF(MOD(COLUMNS($H$151:L$151)-1,$E166)=0,$F166*$D166*$G166,)),)</f>
        <v>N/A</v>
      </c>
      <c r="M166" s="277" t="str">
        <f>IFERROR(IF($B166="N/A","N/A",IF(MOD(COLUMNS($H$151:M$151)-1,$E166)=0,$F166*$D166*$G166,)),)</f>
        <v>N/A</v>
      </c>
      <c r="N166" s="277" t="str">
        <f>IFERROR(IF($B166="N/A","N/A",IF(MOD(COLUMNS($H$151:N$151)-1,$E166)=0,$F166*$D166*$G166,)),)</f>
        <v>N/A</v>
      </c>
      <c r="O166" s="277" t="str">
        <f>IFERROR(IF($B166="N/A","N/A",IF(MOD(COLUMNS($H$151:O$151)-1,$E166)=0,$F166*$D166*$G166,)),)</f>
        <v>N/A</v>
      </c>
      <c r="P166" s="277" t="str">
        <f>IFERROR(IF($B166="N/A","N/A",IF(MOD(COLUMNS($H$151:P$151)-1,$E166)=0,$F166*$D166*$G166,)),)</f>
        <v>N/A</v>
      </c>
      <c r="Q166" s="277" t="str">
        <f>IFERROR(IF($B166="N/A","N/A",IF(MOD(COLUMNS($H$151:Q$151)-1,$E166)=0,$F166*$D166*$G166,)),)</f>
        <v>N/A</v>
      </c>
      <c r="R166" s="277" t="str">
        <f>IFERROR(IF($B166="N/A","N/A",IF(MOD(COLUMNS($H$151:R$151)-1,$E166)=0,$F166*$D166*$G166,)),)</f>
        <v>N/A</v>
      </c>
      <c r="S166" s="277" t="str">
        <f>IFERROR(IF($B166="N/A","N/A",IF(MOD(COLUMNS($H$151:S$151)-1,$E166)=0,$F166*$D166*$G166,)),)</f>
        <v>N/A</v>
      </c>
      <c r="T166" s="277" t="str">
        <f>IFERROR(IF($B166="N/A","N/A",IF(MOD(COLUMNS($H$151:T$151)-1,$E166)=0,$F166*$D166*$G166,)),)</f>
        <v>N/A</v>
      </c>
      <c r="U166" s="277" t="str">
        <f>IFERROR(IF($B166="N/A","N/A",IF(MOD(COLUMNS($H$151:U$151)-1,$E166)=0,$F166*$D166*$G166,)),)</f>
        <v>N/A</v>
      </c>
      <c r="V166" s="277" t="str">
        <f>IFERROR(IF($B166="N/A","N/A",IF(MOD(COLUMNS($H$151:V$151)-1,$E166)=0,$F166*$D166*$G166,)),)</f>
        <v>N/A</v>
      </c>
      <c r="W166" s="277" t="str">
        <f>IFERROR(IF($B166="N/A","N/A",IF(MOD(COLUMNS($H$151:W$151)-1,$E166)=0,$F166*$D166*$G166,)),)</f>
        <v>N/A</v>
      </c>
    </row>
    <row r="167" spans="2:23">
      <c r="B167" s="76" t="str">
        <f t="array" ref="B167">IF(COUNTIFS(INDEX(Equipment_Allocation_New,0,MATCH($C$107,Unit_codes,0)),"&gt;0")&lt;ROWS('2.2-Equipment input'!$X$8:$X23),"N/A",INDEX('2.2-Equipment input'!B:B,SMALL(IF(INDEX(Equipment_Allocation_New,0,MATCH($C$107,Unit_codes,0))&gt;0,ROW(equipment_ID)),ROW('2.2-Equipment input'!B16))))</f>
        <v>N/A</v>
      </c>
      <c r="C167" s="76" t="str">
        <f>IF($B167="N/A","N/A",INDEX(Equipment_name[],MATCH(B167,equipment_ID,0)))</f>
        <v>N/A</v>
      </c>
      <c r="D167" s="277" t="str">
        <f t="shared" si="19"/>
        <v>N/A</v>
      </c>
      <c r="E167" s="94" t="str">
        <f t="shared" si="20"/>
        <v>N/A</v>
      </c>
      <c r="F167" s="94" t="str">
        <f t="shared" si="21"/>
        <v>N/A</v>
      </c>
      <c r="G167" s="94" t="str">
        <f t="shared" si="22"/>
        <v>N/A</v>
      </c>
      <c r="H167" s="277" t="str">
        <f>IFERROR(IF($B167="N/A","N/A",IF(MOD(COLUMNS(H$151:$H$151)-1,$E167)=0,$F167*$D167*$G167,)),)</f>
        <v>N/A</v>
      </c>
      <c r="I167" s="277" t="str">
        <f>IFERROR(IF($B167="N/A","N/A",IF(MOD(COLUMNS($H$151:I$151)-1,$E167)=0,$F167*$D167*$G167,)),)</f>
        <v>N/A</v>
      </c>
      <c r="J167" s="277" t="str">
        <f>IFERROR(IF($B167="N/A","N/A",IF(MOD(COLUMNS($H$151:J$151)-1,$E167)=0,$F167*$D167*$G167,)),)</f>
        <v>N/A</v>
      </c>
      <c r="K167" s="277" t="str">
        <f>IFERROR(IF($B167="N/A","N/A",IF(MOD(COLUMNS($H$151:K$151)-1,$E167)=0,$F167*$D167*$G167,)),)</f>
        <v>N/A</v>
      </c>
      <c r="L167" s="277" t="str">
        <f>IFERROR(IF($B167="N/A","N/A",IF(MOD(COLUMNS($H$151:L$151)-1,$E167)=0,$F167*$D167*$G167,)),)</f>
        <v>N/A</v>
      </c>
      <c r="M167" s="277" t="str">
        <f>IFERROR(IF($B167="N/A","N/A",IF(MOD(COLUMNS($H$151:M$151)-1,$E167)=0,$F167*$D167*$G167,)),)</f>
        <v>N/A</v>
      </c>
      <c r="N167" s="277" t="str">
        <f>IFERROR(IF($B167="N/A","N/A",IF(MOD(COLUMNS($H$151:N$151)-1,$E167)=0,$F167*$D167*$G167,)),)</f>
        <v>N/A</v>
      </c>
      <c r="O167" s="277" t="str">
        <f>IFERROR(IF($B167="N/A","N/A",IF(MOD(COLUMNS($H$151:O$151)-1,$E167)=0,$F167*$D167*$G167,)),)</f>
        <v>N/A</v>
      </c>
      <c r="P167" s="277" t="str">
        <f>IFERROR(IF($B167="N/A","N/A",IF(MOD(COLUMNS($H$151:P$151)-1,$E167)=0,$F167*$D167*$G167,)),)</f>
        <v>N/A</v>
      </c>
      <c r="Q167" s="277" t="str">
        <f>IFERROR(IF($B167="N/A","N/A",IF(MOD(COLUMNS($H$151:Q$151)-1,$E167)=0,$F167*$D167*$G167,)),)</f>
        <v>N/A</v>
      </c>
      <c r="R167" s="277" t="str">
        <f>IFERROR(IF($B167="N/A","N/A",IF(MOD(COLUMNS($H$151:R$151)-1,$E167)=0,$F167*$D167*$G167,)),)</f>
        <v>N/A</v>
      </c>
      <c r="S167" s="277" t="str">
        <f>IFERROR(IF($B167="N/A","N/A",IF(MOD(COLUMNS($H$151:S$151)-1,$E167)=0,$F167*$D167*$G167,)),)</f>
        <v>N/A</v>
      </c>
      <c r="T167" s="277" t="str">
        <f>IFERROR(IF($B167="N/A","N/A",IF(MOD(COLUMNS($H$151:T$151)-1,$E167)=0,$F167*$D167*$G167,)),)</f>
        <v>N/A</v>
      </c>
      <c r="U167" s="277" t="str">
        <f>IFERROR(IF($B167="N/A","N/A",IF(MOD(COLUMNS($H$151:U$151)-1,$E167)=0,$F167*$D167*$G167,)),)</f>
        <v>N/A</v>
      </c>
      <c r="V167" s="277" t="str">
        <f>IFERROR(IF($B167="N/A","N/A",IF(MOD(COLUMNS($H$151:V$151)-1,$E167)=0,$F167*$D167*$G167,)),)</f>
        <v>N/A</v>
      </c>
      <c r="W167" s="277" t="str">
        <f>IFERROR(IF($B167="N/A","N/A",IF(MOD(COLUMNS($H$151:W$151)-1,$E167)=0,$F167*$D167*$G167,)),)</f>
        <v>N/A</v>
      </c>
    </row>
    <row r="168" spans="2:23">
      <c r="B168" s="76" t="str">
        <f t="array" ref="B168">IF(COUNTIFS(INDEX(Equipment_Allocation_New,0,MATCH($C$107,Unit_codes,0)),"&gt;0")&lt;ROWS('2.2-Equipment input'!$X$8:$X24),"N/A",INDEX('2.2-Equipment input'!B:B,SMALL(IF(INDEX(Equipment_Allocation_New,0,MATCH($C$107,Unit_codes,0))&gt;0,ROW(equipment_ID)),ROW('2.2-Equipment input'!B17))))</f>
        <v>N/A</v>
      </c>
      <c r="C168" s="76" t="str">
        <f>IF($B168="N/A","N/A",INDEX(Equipment_name[],MATCH(B168,equipment_ID,0)))</f>
        <v>N/A</v>
      </c>
      <c r="D168" s="277" t="str">
        <f t="shared" si="19"/>
        <v>N/A</v>
      </c>
      <c r="E168" s="94" t="str">
        <f t="shared" si="20"/>
        <v>N/A</v>
      </c>
      <c r="F168" s="94" t="str">
        <f t="shared" si="21"/>
        <v>N/A</v>
      </c>
      <c r="G168" s="94" t="str">
        <f t="shared" si="22"/>
        <v>N/A</v>
      </c>
      <c r="H168" s="277" t="str">
        <f>IFERROR(IF($B168="N/A","N/A",IF(MOD(COLUMNS(H$151:$H$151)-1,$E168)=0,$F168*$D168*$G168,)),)</f>
        <v>N/A</v>
      </c>
      <c r="I168" s="277" t="str">
        <f>IFERROR(IF($B168="N/A","N/A",IF(MOD(COLUMNS($H$151:I$151)-1,$E168)=0,$F168*$D168*$G168,)),)</f>
        <v>N/A</v>
      </c>
      <c r="J168" s="277" t="str">
        <f>IFERROR(IF($B168="N/A","N/A",IF(MOD(COLUMNS($H$151:J$151)-1,$E168)=0,$F168*$D168*$G168,)),)</f>
        <v>N/A</v>
      </c>
      <c r="K168" s="277" t="str">
        <f>IFERROR(IF($B168="N/A","N/A",IF(MOD(COLUMNS($H$151:K$151)-1,$E168)=0,$F168*$D168*$G168,)),)</f>
        <v>N/A</v>
      </c>
      <c r="L168" s="277" t="str">
        <f>IFERROR(IF($B168="N/A","N/A",IF(MOD(COLUMNS($H$151:L$151)-1,$E168)=0,$F168*$D168*$G168,)),)</f>
        <v>N/A</v>
      </c>
      <c r="M168" s="277" t="str">
        <f>IFERROR(IF($B168="N/A","N/A",IF(MOD(COLUMNS($H$151:M$151)-1,$E168)=0,$F168*$D168*$G168,)),)</f>
        <v>N/A</v>
      </c>
      <c r="N168" s="277" t="str">
        <f>IFERROR(IF($B168="N/A","N/A",IF(MOD(COLUMNS($H$151:N$151)-1,$E168)=0,$F168*$D168*$G168,)),)</f>
        <v>N/A</v>
      </c>
      <c r="O168" s="277" t="str">
        <f>IFERROR(IF($B168="N/A","N/A",IF(MOD(COLUMNS($H$151:O$151)-1,$E168)=0,$F168*$D168*$G168,)),)</f>
        <v>N/A</v>
      </c>
      <c r="P168" s="277" t="str">
        <f>IFERROR(IF($B168="N/A","N/A",IF(MOD(COLUMNS($H$151:P$151)-1,$E168)=0,$F168*$D168*$G168,)),)</f>
        <v>N/A</v>
      </c>
      <c r="Q168" s="277" t="str">
        <f>IFERROR(IF($B168="N/A","N/A",IF(MOD(COLUMNS($H$151:Q$151)-1,$E168)=0,$F168*$D168*$G168,)),)</f>
        <v>N/A</v>
      </c>
      <c r="R168" s="277" t="str">
        <f>IFERROR(IF($B168="N/A","N/A",IF(MOD(COLUMNS($H$151:R$151)-1,$E168)=0,$F168*$D168*$G168,)),)</f>
        <v>N/A</v>
      </c>
      <c r="S168" s="277" t="str">
        <f>IFERROR(IF($B168="N/A","N/A",IF(MOD(COLUMNS($H$151:S$151)-1,$E168)=0,$F168*$D168*$G168,)),)</f>
        <v>N/A</v>
      </c>
      <c r="T168" s="277" t="str">
        <f>IFERROR(IF($B168="N/A","N/A",IF(MOD(COLUMNS($H$151:T$151)-1,$E168)=0,$F168*$D168*$G168,)),)</f>
        <v>N/A</v>
      </c>
      <c r="U168" s="277" t="str">
        <f>IFERROR(IF($B168="N/A","N/A",IF(MOD(COLUMNS($H$151:U$151)-1,$E168)=0,$F168*$D168*$G168,)),)</f>
        <v>N/A</v>
      </c>
      <c r="V168" s="277" t="str">
        <f>IFERROR(IF($B168="N/A","N/A",IF(MOD(COLUMNS($H$151:V$151)-1,$E168)=0,$F168*$D168*$G168,)),)</f>
        <v>N/A</v>
      </c>
      <c r="W168" s="277" t="str">
        <f>IFERROR(IF($B168="N/A","N/A",IF(MOD(COLUMNS($H$151:W$151)-1,$E168)=0,$F168*$D168*$G168,)),)</f>
        <v>N/A</v>
      </c>
    </row>
    <row r="169" spans="2:23">
      <c r="B169" s="76" t="str">
        <f t="array" ref="B169">IF(COUNTIFS(INDEX(Equipment_Allocation_New,0,MATCH($C$107,Unit_codes,0)),"&gt;0")&lt;ROWS('2.2-Equipment input'!$X$8:$X25),"N/A",INDEX('2.2-Equipment input'!B:B,SMALL(IF(INDEX(Equipment_Allocation_New,0,MATCH($C$107,Unit_codes,0))&gt;0,ROW(equipment_ID)),ROW('2.2-Equipment input'!B18))))</f>
        <v>N/A</v>
      </c>
      <c r="C169" s="76" t="str">
        <f>IF($B169="N/A","N/A",INDEX(Equipment_name[],MATCH(B169,equipment_ID,0)))</f>
        <v>N/A</v>
      </c>
      <c r="D169" s="277" t="str">
        <f t="shared" si="19"/>
        <v>N/A</v>
      </c>
      <c r="E169" s="94" t="str">
        <f t="shared" si="20"/>
        <v>N/A</v>
      </c>
      <c r="F169" s="94" t="str">
        <f t="shared" si="21"/>
        <v>N/A</v>
      </c>
      <c r="G169" s="94" t="str">
        <f t="shared" si="22"/>
        <v>N/A</v>
      </c>
      <c r="H169" s="277" t="str">
        <f>IFERROR(IF($B169="N/A","N/A",IF(MOD(COLUMNS(H$151:$H$151)-1,$E169)=0,$F169*$D169*$G169,)),)</f>
        <v>N/A</v>
      </c>
      <c r="I169" s="277" t="str">
        <f>IFERROR(IF($B169="N/A","N/A",IF(MOD(COLUMNS($H$151:I$151)-1,$E169)=0,$F169*$D169*$G169,)),)</f>
        <v>N/A</v>
      </c>
      <c r="J169" s="277" t="str">
        <f>IFERROR(IF($B169="N/A","N/A",IF(MOD(COLUMNS($H$151:J$151)-1,$E169)=0,$F169*$D169*$G169,)),)</f>
        <v>N/A</v>
      </c>
      <c r="K169" s="277" t="str">
        <f>IFERROR(IF($B169="N/A","N/A",IF(MOD(COLUMNS($H$151:K$151)-1,$E169)=0,$F169*$D169*$G169,)),)</f>
        <v>N/A</v>
      </c>
      <c r="L169" s="277" t="str">
        <f>IFERROR(IF($B169="N/A","N/A",IF(MOD(COLUMNS($H$151:L$151)-1,$E169)=0,$F169*$D169*$G169,)),)</f>
        <v>N/A</v>
      </c>
      <c r="M169" s="277" t="str">
        <f>IFERROR(IF($B169="N/A","N/A",IF(MOD(COLUMNS($H$151:M$151)-1,$E169)=0,$F169*$D169*$G169,)),)</f>
        <v>N/A</v>
      </c>
      <c r="N169" s="277" t="str">
        <f>IFERROR(IF($B169="N/A","N/A",IF(MOD(COLUMNS($H$151:N$151)-1,$E169)=0,$F169*$D169*$G169,)),)</f>
        <v>N/A</v>
      </c>
      <c r="O169" s="277" t="str">
        <f>IFERROR(IF($B169="N/A","N/A",IF(MOD(COLUMNS($H$151:O$151)-1,$E169)=0,$F169*$D169*$G169,)),)</f>
        <v>N/A</v>
      </c>
      <c r="P169" s="277" t="str">
        <f>IFERROR(IF($B169="N/A","N/A",IF(MOD(COLUMNS($H$151:P$151)-1,$E169)=0,$F169*$D169*$G169,)),)</f>
        <v>N/A</v>
      </c>
      <c r="Q169" s="277" t="str">
        <f>IFERROR(IF($B169="N/A","N/A",IF(MOD(COLUMNS($H$151:Q$151)-1,$E169)=0,$F169*$D169*$G169,)),)</f>
        <v>N/A</v>
      </c>
      <c r="R169" s="277" t="str">
        <f>IFERROR(IF($B169="N/A","N/A",IF(MOD(COLUMNS($H$151:R$151)-1,$E169)=0,$F169*$D169*$G169,)),)</f>
        <v>N/A</v>
      </c>
      <c r="S169" s="277" t="str">
        <f>IFERROR(IF($B169="N/A","N/A",IF(MOD(COLUMNS($H$151:S$151)-1,$E169)=0,$F169*$D169*$G169,)),)</f>
        <v>N/A</v>
      </c>
      <c r="T169" s="277" t="str">
        <f>IFERROR(IF($B169="N/A","N/A",IF(MOD(COLUMNS($H$151:T$151)-1,$E169)=0,$F169*$D169*$G169,)),)</f>
        <v>N/A</v>
      </c>
      <c r="U169" s="277" t="str">
        <f>IFERROR(IF($B169="N/A","N/A",IF(MOD(COLUMNS($H$151:U$151)-1,$E169)=0,$F169*$D169*$G169,)),)</f>
        <v>N/A</v>
      </c>
      <c r="V169" s="277" t="str">
        <f>IFERROR(IF($B169="N/A","N/A",IF(MOD(COLUMNS($H$151:V$151)-1,$E169)=0,$F169*$D169*$G169,)),)</f>
        <v>N/A</v>
      </c>
      <c r="W169" s="277" t="str">
        <f>IFERROR(IF($B169="N/A","N/A",IF(MOD(COLUMNS($H$151:W$151)-1,$E169)=0,$F169*$D169*$G169,)),)</f>
        <v>N/A</v>
      </c>
    </row>
    <row r="170" spans="2:23">
      <c r="B170" s="76" t="str">
        <f t="array" ref="B170">IF(COUNTIFS(INDEX(Equipment_Allocation_New,0,MATCH($C$107,Unit_codes,0)),"&gt;0")&lt;ROWS('2.2-Equipment input'!$X$8:$X26),"N/A",INDEX('2.2-Equipment input'!B:B,SMALL(IF(INDEX(Equipment_Allocation_New,0,MATCH($C$107,Unit_codes,0))&gt;0,ROW(equipment_ID)),ROW('2.2-Equipment input'!B19))))</f>
        <v>N/A</v>
      </c>
      <c r="C170" s="76" t="str">
        <f>IF($B170="N/A","N/A",INDEX(Equipment_name[],MATCH(B170,equipment_ID,0)))</f>
        <v>N/A</v>
      </c>
      <c r="D170" s="277" t="str">
        <f t="shared" si="19"/>
        <v>N/A</v>
      </c>
      <c r="E170" s="94" t="str">
        <f t="shared" si="20"/>
        <v>N/A</v>
      </c>
      <c r="F170" s="94" t="str">
        <f t="shared" si="21"/>
        <v>N/A</v>
      </c>
      <c r="G170" s="94" t="str">
        <f t="shared" si="22"/>
        <v>N/A</v>
      </c>
      <c r="H170" s="277" t="str">
        <f>IFERROR(IF($B170="N/A","N/A",IF(MOD(COLUMNS(H$151:$H$151)-1,$E170)=0,$F170*$D170*$G170,)),)</f>
        <v>N/A</v>
      </c>
      <c r="I170" s="277" t="str">
        <f>IFERROR(IF($B170="N/A","N/A",IF(MOD(COLUMNS($H$151:I$151)-1,$E170)=0,$F170*$D170*$G170,)),)</f>
        <v>N/A</v>
      </c>
      <c r="J170" s="277" t="str">
        <f>IFERROR(IF($B170="N/A","N/A",IF(MOD(COLUMNS($H$151:J$151)-1,$E170)=0,$F170*$D170*$G170,)),)</f>
        <v>N/A</v>
      </c>
      <c r="K170" s="277" t="str">
        <f>IFERROR(IF($B170="N/A","N/A",IF(MOD(COLUMNS($H$151:K$151)-1,$E170)=0,$F170*$D170*$G170,)),)</f>
        <v>N/A</v>
      </c>
      <c r="L170" s="277" t="str">
        <f>IFERROR(IF($B170="N/A","N/A",IF(MOD(COLUMNS($H$151:L$151)-1,$E170)=0,$F170*$D170*$G170,)),)</f>
        <v>N/A</v>
      </c>
      <c r="M170" s="277" t="str">
        <f>IFERROR(IF($B170="N/A","N/A",IF(MOD(COLUMNS($H$151:M$151)-1,$E170)=0,$F170*$D170*$G170,)),)</f>
        <v>N/A</v>
      </c>
      <c r="N170" s="277" t="str">
        <f>IFERROR(IF($B170="N/A","N/A",IF(MOD(COLUMNS($H$151:N$151)-1,$E170)=0,$F170*$D170*$G170,)),)</f>
        <v>N/A</v>
      </c>
      <c r="O170" s="277" t="str">
        <f>IFERROR(IF($B170="N/A","N/A",IF(MOD(COLUMNS($H$151:O$151)-1,$E170)=0,$F170*$D170*$G170,)),)</f>
        <v>N/A</v>
      </c>
      <c r="P170" s="277" t="str">
        <f>IFERROR(IF($B170="N/A","N/A",IF(MOD(COLUMNS($H$151:P$151)-1,$E170)=0,$F170*$D170*$G170,)),)</f>
        <v>N/A</v>
      </c>
      <c r="Q170" s="277" t="str">
        <f>IFERROR(IF($B170="N/A","N/A",IF(MOD(COLUMNS($H$151:Q$151)-1,$E170)=0,$F170*$D170*$G170,)),)</f>
        <v>N/A</v>
      </c>
      <c r="R170" s="277" t="str">
        <f>IFERROR(IF($B170="N/A","N/A",IF(MOD(COLUMNS($H$151:R$151)-1,$E170)=0,$F170*$D170*$G170,)),)</f>
        <v>N/A</v>
      </c>
      <c r="S170" s="277" t="str">
        <f>IFERROR(IF($B170="N/A","N/A",IF(MOD(COLUMNS($H$151:S$151)-1,$E170)=0,$F170*$D170*$G170,)),)</f>
        <v>N/A</v>
      </c>
      <c r="T170" s="277" t="str">
        <f>IFERROR(IF($B170="N/A","N/A",IF(MOD(COLUMNS($H$151:T$151)-1,$E170)=0,$F170*$D170*$G170,)),)</f>
        <v>N/A</v>
      </c>
      <c r="U170" s="277" t="str">
        <f>IFERROR(IF($B170="N/A","N/A",IF(MOD(COLUMNS($H$151:U$151)-1,$E170)=0,$F170*$D170*$G170,)),)</f>
        <v>N/A</v>
      </c>
      <c r="V170" s="277" t="str">
        <f>IFERROR(IF($B170="N/A","N/A",IF(MOD(COLUMNS($H$151:V$151)-1,$E170)=0,$F170*$D170*$G170,)),)</f>
        <v>N/A</v>
      </c>
      <c r="W170" s="277" t="str">
        <f>IFERROR(IF($B170="N/A","N/A",IF(MOD(COLUMNS($H$151:W$151)-1,$E170)=0,$F170*$D170*$G170,)),)</f>
        <v>N/A</v>
      </c>
    </row>
    <row r="171" spans="2:23">
      <c r="B171" s="76" t="str">
        <f t="array" ref="B171">IF(COUNTIFS(INDEX(Equipment_Allocation_New,0,MATCH($C$107,Unit_codes,0)),"&gt;0")&lt;ROWS('2.2-Equipment input'!$X$8:$X27),"N/A",INDEX('2.2-Equipment input'!B:B,SMALL(IF(INDEX(Equipment_Allocation_New,0,MATCH($C$107,Unit_codes,0))&gt;0,ROW(equipment_ID)),ROW('2.2-Equipment input'!B20))))</f>
        <v>N/A</v>
      </c>
      <c r="C171" s="76" t="str">
        <f>IF($B171="N/A","N/A",INDEX(Equipment_name[],MATCH(B171,equipment_ID,0)))</f>
        <v>N/A</v>
      </c>
      <c r="D171" s="277" t="str">
        <f t="shared" si="19"/>
        <v>N/A</v>
      </c>
      <c r="E171" s="94" t="str">
        <f t="shared" si="20"/>
        <v>N/A</v>
      </c>
      <c r="F171" s="94" t="str">
        <f t="shared" si="21"/>
        <v>N/A</v>
      </c>
      <c r="G171" s="94" t="str">
        <f t="shared" si="22"/>
        <v>N/A</v>
      </c>
      <c r="H171" s="277" t="str">
        <f>IFERROR(IF($B171="N/A","N/A",IF(MOD(COLUMNS(H$151:$H$151)-1,$E171)=0,$F171*$D171*$G171,)),)</f>
        <v>N/A</v>
      </c>
      <c r="I171" s="277" t="str">
        <f>IFERROR(IF($B171="N/A","N/A",IF(MOD(COLUMNS($H$151:I$151)-1,$E171)=0,$F171*$D171*$G171,)),)</f>
        <v>N/A</v>
      </c>
      <c r="J171" s="277" t="str">
        <f>IFERROR(IF($B171="N/A","N/A",IF(MOD(COLUMNS($H$151:J$151)-1,$E171)=0,$F171*$D171*$G171,)),)</f>
        <v>N/A</v>
      </c>
      <c r="K171" s="277" t="str">
        <f>IFERROR(IF($B171="N/A","N/A",IF(MOD(COLUMNS($H$151:K$151)-1,$E171)=0,$F171*$D171*$G171,)),)</f>
        <v>N/A</v>
      </c>
      <c r="L171" s="277" t="str">
        <f>IFERROR(IF($B171="N/A","N/A",IF(MOD(COLUMNS($H$151:L$151)-1,$E171)=0,$F171*$D171*$G171,)),)</f>
        <v>N/A</v>
      </c>
      <c r="M171" s="277" t="str">
        <f>IFERROR(IF($B171="N/A","N/A",IF(MOD(COLUMNS($H$151:M$151)-1,$E171)=0,$F171*$D171*$G171,)),)</f>
        <v>N/A</v>
      </c>
      <c r="N171" s="277" t="str">
        <f>IFERROR(IF($B171="N/A","N/A",IF(MOD(COLUMNS($H$151:N$151)-1,$E171)=0,$F171*$D171*$G171,)),)</f>
        <v>N/A</v>
      </c>
      <c r="O171" s="277" t="str">
        <f>IFERROR(IF($B171="N/A","N/A",IF(MOD(COLUMNS($H$151:O$151)-1,$E171)=0,$F171*$D171*$G171,)),)</f>
        <v>N/A</v>
      </c>
      <c r="P171" s="277" t="str">
        <f>IFERROR(IF($B171="N/A","N/A",IF(MOD(COLUMNS($H$151:P$151)-1,$E171)=0,$F171*$D171*$G171,)),)</f>
        <v>N/A</v>
      </c>
      <c r="Q171" s="277" t="str">
        <f>IFERROR(IF($B171="N/A","N/A",IF(MOD(COLUMNS($H$151:Q$151)-1,$E171)=0,$F171*$D171*$G171,)),)</f>
        <v>N/A</v>
      </c>
      <c r="R171" s="277" t="str">
        <f>IFERROR(IF($B171="N/A","N/A",IF(MOD(COLUMNS($H$151:R$151)-1,$E171)=0,$F171*$D171*$G171,)),)</f>
        <v>N/A</v>
      </c>
      <c r="S171" s="277" t="str">
        <f>IFERROR(IF($B171="N/A","N/A",IF(MOD(COLUMNS($H$151:S$151)-1,$E171)=0,$F171*$D171*$G171,)),)</f>
        <v>N/A</v>
      </c>
      <c r="T171" s="277" t="str">
        <f>IFERROR(IF($B171="N/A","N/A",IF(MOD(COLUMNS($H$151:T$151)-1,$E171)=0,$F171*$D171*$G171,)),)</f>
        <v>N/A</v>
      </c>
      <c r="U171" s="277" t="str">
        <f>IFERROR(IF($B171="N/A","N/A",IF(MOD(COLUMNS($H$151:U$151)-1,$E171)=0,$F171*$D171*$G171,)),)</f>
        <v>N/A</v>
      </c>
      <c r="V171" s="277" t="str">
        <f>IFERROR(IF($B171="N/A","N/A",IF(MOD(COLUMNS($H$151:V$151)-1,$E171)=0,$F171*$D171*$G171,)),)</f>
        <v>N/A</v>
      </c>
      <c r="W171" s="277" t="str">
        <f>IFERROR(IF($B171="N/A","N/A",IF(MOD(COLUMNS($H$151:W$151)-1,$E171)=0,$F171*$D171*$G171,)),)</f>
        <v>N/A</v>
      </c>
    </row>
    <row r="172" spans="2:23">
      <c r="B172" s="76" t="str">
        <f t="array" ref="B172">IF(COUNTIFS(INDEX(Equipment_Allocation_New,0,MATCH($C$107,Unit_codes,0)),"&gt;0")&lt;ROWS('2.2-Equipment input'!$X$8:$X28),"N/A",INDEX('2.2-Equipment input'!B:B,SMALL(IF(INDEX(Equipment_Allocation_New,0,MATCH($C$107,Unit_codes,0))&gt;0,ROW(equipment_ID)),ROW('2.2-Equipment input'!B21))))</f>
        <v>N/A</v>
      </c>
      <c r="C172" s="76" t="str">
        <f>IF($B172="N/A","N/A",INDEX(Equipment_name[],MATCH(B172,equipment_ID,0)))</f>
        <v>N/A</v>
      </c>
      <c r="D172" s="277" t="str">
        <f t="shared" si="19"/>
        <v>N/A</v>
      </c>
      <c r="E172" s="94" t="str">
        <f t="shared" si="20"/>
        <v>N/A</v>
      </c>
      <c r="F172" s="94" t="str">
        <f t="shared" si="21"/>
        <v>N/A</v>
      </c>
      <c r="G172" s="94" t="str">
        <f t="shared" si="22"/>
        <v>N/A</v>
      </c>
      <c r="H172" s="277" t="str">
        <f>IFERROR(IF($B172="N/A","N/A",IF(MOD(COLUMNS(H$151:$H$151)-1,$E172)=0,$F172*$D172*$G172,)),)</f>
        <v>N/A</v>
      </c>
      <c r="I172" s="277" t="str">
        <f>IFERROR(IF($B172="N/A","N/A",IF(MOD(COLUMNS($H$151:I$151)-1,$E172)=0,$F172*$D172*$G172,)),)</f>
        <v>N/A</v>
      </c>
      <c r="J172" s="277" t="str">
        <f>IFERROR(IF($B172="N/A","N/A",IF(MOD(COLUMNS($H$151:J$151)-1,$E172)=0,$F172*$D172*$G172,)),)</f>
        <v>N/A</v>
      </c>
      <c r="K172" s="277" t="str">
        <f>IFERROR(IF($B172="N/A","N/A",IF(MOD(COLUMNS($H$151:K$151)-1,$E172)=0,$F172*$D172*$G172,)),)</f>
        <v>N/A</v>
      </c>
      <c r="L172" s="277" t="str">
        <f>IFERROR(IF($B172="N/A","N/A",IF(MOD(COLUMNS($H$151:L$151)-1,$E172)=0,$F172*$D172*$G172,)),)</f>
        <v>N/A</v>
      </c>
      <c r="M172" s="277" t="str">
        <f>IFERROR(IF($B172="N/A","N/A",IF(MOD(COLUMNS($H$151:M$151)-1,$E172)=0,$F172*$D172*$G172,)),)</f>
        <v>N/A</v>
      </c>
      <c r="N172" s="277" t="str">
        <f>IFERROR(IF($B172="N/A","N/A",IF(MOD(COLUMNS($H$151:N$151)-1,$E172)=0,$F172*$D172*$G172,)),)</f>
        <v>N/A</v>
      </c>
      <c r="O172" s="277" t="str">
        <f>IFERROR(IF($B172="N/A","N/A",IF(MOD(COLUMNS($H$151:O$151)-1,$E172)=0,$F172*$D172*$G172,)),)</f>
        <v>N/A</v>
      </c>
      <c r="P172" s="277" t="str">
        <f>IFERROR(IF($B172="N/A","N/A",IF(MOD(COLUMNS($H$151:P$151)-1,$E172)=0,$F172*$D172*$G172,)),)</f>
        <v>N/A</v>
      </c>
      <c r="Q172" s="277" t="str">
        <f>IFERROR(IF($B172="N/A","N/A",IF(MOD(COLUMNS($H$151:Q$151)-1,$E172)=0,$F172*$D172*$G172,)),)</f>
        <v>N/A</v>
      </c>
      <c r="R172" s="277" t="str">
        <f>IFERROR(IF($B172="N/A","N/A",IF(MOD(COLUMNS($H$151:R$151)-1,$E172)=0,$F172*$D172*$G172,)),)</f>
        <v>N/A</v>
      </c>
      <c r="S172" s="277" t="str">
        <f>IFERROR(IF($B172="N/A","N/A",IF(MOD(COLUMNS($H$151:S$151)-1,$E172)=0,$F172*$D172*$G172,)),)</f>
        <v>N/A</v>
      </c>
      <c r="T172" s="277" t="str">
        <f>IFERROR(IF($B172="N/A","N/A",IF(MOD(COLUMNS($H$151:T$151)-1,$E172)=0,$F172*$D172*$G172,)),)</f>
        <v>N/A</v>
      </c>
      <c r="U172" s="277" t="str">
        <f>IFERROR(IF($B172="N/A","N/A",IF(MOD(COLUMNS($H$151:U$151)-1,$E172)=0,$F172*$D172*$G172,)),)</f>
        <v>N/A</v>
      </c>
      <c r="V172" s="277" t="str">
        <f>IFERROR(IF($B172="N/A","N/A",IF(MOD(COLUMNS($H$151:V$151)-1,$E172)=0,$F172*$D172*$G172,)),)</f>
        <v>N/A</v>
      </c>
      <c r="W172" s="277" t="str">
        <f>IFERROR(IF($B172="N/A","N/A",IF(MOD(COLUMNS($H$151:W$151)-1,$E172)=0,$F172*$D172*$G172,)),)</f>
        <v>N/A</v>
      </c>
    </row>
    <row r="173" spans="2:23">
      <c r="B173" s="76" t="str">
        <f t="array" ref="B173">IF(COUNTIFS(INDEX(Equipment_Allocation_New,0,MATCH($C$107,Unit_codes,0)),"&gt;0")&lt;ROWS('2.2-Equipment input'!$X$8:$X29),"N/A",INDEX('2.2-Equipment input'!B:B,SMALL(IF(INDEX(Equipment_Allocation_New,0,MATCH($C$107,Unit_codes,0))&gt;0,ROW(equipment_ID)),ROW('2.2-Equipment input'!B22))))</f>
        <v>N/A</v>
      </c>
      <c r="C173" s="76" t="str">
        <f>IF($B173="N/A","N/A",INDEX(Equipment_name[],MATCH(B173,equipment_ID,0)))</f>
        <v>N/A</v>
      </c>
      <c r="D173" s="277" t="str">
        <f t="shared" si="19"/>
        <v>N/A</v>
      </c>
      <c r="E173" s="94" t="str">
        <f t="shared" si="20"/>
        <v>N/A</v>
      </c>
      <c r="F173" s="94" t="str">
        <f t="shared" si="21"/>
        <v>N/A</v>
      </c>
      <c r="G173" s="94" t="str">
        <f t="shared" si="22"/>
        <v>N/A</v>
      </c>
      <c r="H173" s="277" t="str">
        <f>IFERROR(IF($B173="N/A","N/A",IF(MOD(COLUMNS(H$151:$H$151)-1,$E173)=0,$F173*$D173*$G173,)),)</f>
        <v>N/A</v>
      </c>
      <c r="I173" s="277" t="str">
        <f>IFERROR(IF($B173="N/A","N/A",IF(MOD(COLUMNS($H$151:I$151)-1,$E173)=0,$F173*$D173*$G173,)),)</f>
        <v>N/A</v>
      </c>
      <c r="J173" s="277" t="str">
        <f>IFERROR(IF($B173="N/A","N/A",IF(MOD(COLUMNS($H$151:J$151)-1,$E173)=0,$F173*$D173*$G173,)),)</f>
        <v>N/A</v>
      </c>
      <c r="K173" s="277" t="str">
        <f>IFERROR(IF($B173="N/A","N/A",IF(MOD(COLUMNS($H$151:K$151)-1,$E173)=0,$F173*$D173*$G173,)),)</f>
        <v>N/A</v>
      </c>
      <c r="L173" s="277" t="str">
        <f>IFERROR(IF($B173="N/A","N/A",IF(MOD(COLUMNS($H$151:L$151)-1,$E173)=0,$F173*$D173*$G173,)),)</f>
        <v>N/A</v>
      </c>
      <c r="M173" s="277" t="str">
        <f>IFERROR(IF($B173="N/A","N/A",IF(MOD(COLUMNS($H$151:M$151)-1,$E173)=0,$F173*$D173*$G173,)),)</f>
        <v>N/A</v>
      </c>
      <c r="N173" s="277" t="str">
        <f>IFERROR(IF($B173="N/A","N/A",IF(MOD(COLUMNS($H$151:N$151)-1,$E173)=0,$F173*$D173*$G173,)),)</f>
        <v>N/A</v>
      </c>
      <c r="O173" s="277" t="str">
        <f>IFERROR(IF($B173="N/A","N/A",IF(MOD(COLUMNS($H$151:O$151)-1,$E173)=0,$F173*$D173*$G173,)),)</f>
        <v>N/A</v>
      </c>
      <c r="P173" s="277" t="str">
        <f>IFERROR(IF($B173="N/A","N/A",IF(MOD(COLUMNS($H$151:P$151)-1,$E173)=0,$F173*$D173*$G173,)),)</f>
        <v>N/A</v>
      </c>
      <c r="Q173" s="277" t="str">
        <f>IFERROR(IF($B173="N/A","N/A",IF(MOD(COLUMNS($H$151:Q$151)-1,$E173)=0,$F173*$D173*$G173,)),)</f>
        <v>N/A</v>
      </c>
      <c r="R173" s="277" t="str">
        <f>IFERROR(IF($B173="N/A","N/A",IF(MOD(COLUMNS($H$151:R$151)-1,$E173)=0,$F173*$D173*$G173,)),)</f>
        <v>N/A</v>
      </c>
      <c r="S173" s="277" t="str">
        <f>IFERROR(IF($B173="N/A","N/A",IF(MOD(COLUMNS($H$151:S$151)-1,$E173)=0,$F173*$D173*$G173,)),)</f>
        <v>N/A</v>
      </c>
      <c r="T173" s="277" t="str">
        <f>IFERROR(IF($B173="N/A","N/A",IF(MOD(COLUMNS($H$151:T$151)-1,$E173)=0,$F173*$D173*$G173,)),)</f>
        <v>N/A</v>
      </c>
      <c r="U173" s="277" t="str">
        <f>IFERROR(IF($B173="N/A","N/A",IF(MOD(COLUMNS($H$151:U$151)-1,$E173)=0,$F173*$D173*$G173,)),)</f>
        <v>N/A</v>
      </c>
      <c r="V173" s="277" t="str">
        <f>IFERROR(IF($B173="N/A","N/A",IF(MOD(COLUMNS($H$151:V$151)-1,$E173)=0,$F173*$D173*$G173,)),)</f>
        <v>N/A</v>
      </c>
      <c r="W173" s="277" t="str">
        <f>IFERROR(IF($B173="N/A","N/A",IF(MOD(COLUMNS($H$151:W$151)-1,$E173)=0,$F173*$D173*$G173,)),)</f>
        <v>N/A</v>
      </c>
    </row>
    <row r="174" spans="2:23">
      <c r="B174" s="76" t="str">
        <f t="array" ref="B174">IF(COUNTIFS(INDEX(Equipment_Allocation_New,0,MATCH($C$107,Unit_codes,0)),"&gt;0")&lt;ROWS('2.2-Equipment input'!$X$8:$X30),"N/A",INDEX('2.2-Equipment input'!B:B,SMALL(IF(INDEX(Equipment_Allocation_New,0,MATCH($C$107,Unit_codes,0))&gt;0,ROW(equipment_ID)),ROW('2.2-Equipment input'!B23))))</f>
        <v>N/A</v>
      </c>
      <c r="C174" s="76" t="str">
        <f>IF($B174="N/A","N/A",INDEX(Equipment_name[],MATCH(B174,equipment_ID,0)))</f>
        <v>N/A</v>
      </c>
      <c r="D174" s="277" t="str">
        <f t="shared" si="19"/>
        <v>N/A</v>
      </c>
      <c r="E174" s="94" t="str">
        <f t="shared" si="20"/>
        <v>N/A</v>
      </c>
      <c r="F174" s="94" t="str">
        <f t="shared" si="21"/>
        <v>N/A</v>
      </c>
      <c r="G174" s="94" t="str">
        <f t="shared" si="22"/>
        <v>N/A</v>
      </c>
      <c r="H174" s="277" t="str">
        <f>IFERROR(IF($B174="N/A","N/A",IF(MOD(COLUMNS(H$151:$H$151)-1,$E174)=0,$F174*$D174*$G174,)),)</f>
        <v>N/A</v>
      </c>
      <c r="I174" s="277" t="str">
        <f>IFERROR(IF($B174="N/A","N/A",IF(MOD(COLUMNS($H$151:I$151)-1,$E174)=0,$F174*$D174*$G174,)),)</f>
        <v>N/A</v>
      </c>
      <c r="J174" s="277" t="str">
        <f>IFERROR(IF($B174="N/A","N/A",IF(MOD(COLUMNS($H$151:J$151)-1,$E174)=0,$F174*$D174*$G174,)),)</f>
        <v>N/A</v>
      </c>
      <c r="K174" s="277" t="str">
        <f>IFERROR(IF($B174="N/A","N/A",IF(MOD(COLUMNS($H$151:K$151)-1,$E174)=0,$F174*$D174*$G174,)),)</f>
        <v>N/A</v>
      </c>
      <c r="L174" s="277" t="str">
        <f>IFERROR(IF($B174="N/A","N/A",IF(MOD(COLUMNS($H$151:L$151)-1,$E174)=0,$F174*$D174*$G174,)),)</f>
        <v>N/A</v>
      </c>
      <c r="M174" s="277" t="str">
        <f>IFERROR(IF($B174="N/A","N/A",IF(MOD(COLUMNS($H$151:M$151)-1,$E174)=0,$F174*$D174*$G174,)),)</f>
        <v>N/A</v>
      </c>
      <c r="N174" s="277" t="str">
        <f>IFERROR(IF($B174="N/A","N/A",IF(MOD(COLUMNS($H$151:N$151)-1,$E174)=0,$F174*$D174*$G174,)),)</f>
        <v>N/A</v>
      </c>
      <c r="O174" s="277" t="str">
        <f>IFERROR(IF($B174="N/A","N/A",IF(MOD(COLUMNS($H$151:O$151)-1,$E174)=0,$F174*$D174*$G174,)),)</f>
        <v>N/A</v>
      </c>
      <c r="P174" s="277" t="str">
        <f>IFERROR(IF($B174="N/A","N/A",IF(MOD(COLUMNS($H$151:P$151)-1,$E174)=0,$F174*$D174*$G174,)),)</f>
        <v>N/A</v>
      </c>
      <c r="Q174" s="277" t="str">
        <f>IFERROR(IF($B174="N/A","N/A",IF(MOD(COLUMNS($H$151:Q$151)-1,$E174)=0,$F174*$D174*$G174,)),)</f>
        <v>N/A</v>
      </c>
      <c r="R174" s="277" t="str">
        <f>IFERROR(IF($B174="N/A","N/A",IF(MOD(COLUMNS($H$151:R$151)-1,$E174)=0,$F174*$D174*$G174,)),)</f>
        <v>N/A</v>
      </c>
      <c r="S174" s="277" t="str">
        <f>IFERROR(IF($B174="N/A","N/A",IF(MOD(COLUMNS($H$151:S$151)-1,$E174)=0,$F174*$D174*$G174,)),)</f>
        <v>N/A</v>
      </c>
      <c r="T174" s="277" t="str">
        <f>IFERROR(IF($B174="N/A","N/A",IF(MOD(COLUMNS($H$151:T$151)-1,$E174)=0,$F174*$D174*$G174,)),)</f>
        <v>N/A</v>
      </c>
      <c r="U174" s="277" t="str">
        <f>IFERROR(IF($B174="N/A","N/A",IF(MOD(COLUMNS($H$151:U$151)-1,$E174)=0,$F174*$D174*$G174,)),)</f>
        <v>N/A</v>
      </c>
      <c r="V174" s="277" t="str">
        <f>IFERROR(IF($B174="N/A","N/A",IF(MOD(COLUMNS($H$151:V$151)-1,$E174)=0,$F174*$D174*$G174,)),)</f>
        <v>N/A</v>
      </c>
      <c r="W174" s="277" t="str">
        <f>IFERROR(IF($B174="N/A","N/A",IF(MOD(COLUMNS($H$151:W$151)-1,$E174)=0,$F174*$D174*$G174,)),)</f>
        <v>N/A</v>
      </c>
    </row>
    <row r="175" spans="2:23">
      <c r="B175" s="76" t="str">
        <f t="array" ref="B175">IF(COUNTIFS(INDEX(Equipment_Allocation_New,0,MATCH($C$107,Unit_codes,0)),"&gt;0")&lt;ROWS('2.2-Equipment input'!$X$8:$X31),"N/A",INDEX('2.2-Equipment input'!B:B,SMALL(IF(INDEX(Equipment_Allocation_New,0,MATCH($C$107,Unit_codes,0))&gt;0,ROW(equipment_ID)),ROW('2.2-Equipment input'!B24))))</f>
        <v>N/A</v>
      </c>
      <c r="C175" s="76" t="str">
        <f>IF($B175="N/A","N/A",INDEX(Equipment_name[],MATCH(B175,equipment_ID,0)))</f>
        <v>N/A</v>
      </c>
      <c r="D175" s="277" t="str">
        <f t="shared" si="19"/>
        <v>N/A</v>
      </c>
      <c r="E175" s="94" t="str">
        <f t="shared" si="20"/>
        <v>N/A</v>
      </c>
      <c r="F175" s="94" t="str">
        <f t="shared" si="21"/>
        <v>N/A</v>
      </c>
      <c r="G175" s="94" t="str">
        <f t="shared" si="22"/>
        <v>N/A</v>
      </c>
      <c r="H175" s="277" t="str">
        <f>IFERROR(IF($B175="N/A","N/A",IF(MOD(COLUMNS(H$151:$H$151)-1,$E175)=0,$F175*$D175*$G175,)),)</f>
        <v>N/A</v>
      </c>
      <c r="I175" s="277" t="str">
        <f>IFERROR(IF($B175="N/A","N/A",IF(MOD(COLUMNS($H$151:I$151)-1,$E175)=0,$F175*$D175*$G175,)),)</f>
        <v>N/A</v>
      </c>
      <c r="J175" s="277" t="str">
        <f>IFERROR(IF($B175="N/A","N/A",IF(MOD(COLUMNS($H$151:J$151)-1,$E175)=0,$F175*$D175*$G175,)),)</f>
        <v>N/A</v>
      </c>
      <c r="K175" s="277" t="str">
        <f>IFERROR(IF($B175="N/A","N/A",IF(MOD(COLUMNS($H$151:K$151)-1,$E175)=0,$F175*$D175*$G175,)),)</f>
        <v>N/A</v>
      </c>
      <c r="L175" s="277" t="str">
        <f>IFERROR(IF($B175="N/A","N/A",IF(MOD(COLUMNS($H$151:L$151)-1,$E175)=0,$F175*$D175*$G175,)),)</f>
        <v>N/A</v>
      </c>
      <c r="M175" s="277" t="str">
        <f>IFERROR(IF($B175="N/A","N/A",IF(MOD(COLUMNS($H$151:M$151)-1,$E175)=0,$F175*$D175*$G175,)),)</f>
        <v>N/A</v>
      </c>
      <c r="N175" s="277" t="str">
        <f>IFERROR(IF($B175="N/A","N/A",IF(MOD(COLUMNS($H$151:N$151)-1,$E175)=0,$F175*$D175*$G175,)),)</f>
        <v>N/A</v>
      </c>
      <c r="O175" s="277" t="str">
        <f>IFERROR(IF($B175="N/A","N/A",IF(MOD(COLUMNS($H$151:O$151)-1,$E175)=0,$F175*$D175*$G175,)),)</f>
        <v>N/A</v>
      </c>
      <c r="P175" s="277" t="str">
        <f>IFERROR(IF($B175="N/A","N/A",IF(MOD(COLUMNS($H$151:P$151)-1,$E175)=0,$F175*$D175*$G175,)),)</f>
        <v>N/A</v>
      </c>
      <c r="Q175" s="277" t="str">
        <f>IFERROR(IF($B175="N/A","N/A",IF(MOD(COLUMNS($H$151:Q$151)-1,$E175)=0,$F175*$D175*$G175,)),)</f>
        <v>N/A</v>
      </c>
      <c r="R175" s="277" t="str">
        <f>IFERROR(IF($B175="N/A","N/A",IF(MOD(COLUMNS($H$151:R$151)-1,$E175)=0,$F175*$D175*$G175,)),)</f>
        <v>N/A</v>
      </c>
      <c r="S175" s="277" t="str">
        <f>IFERROR(IF($B175="N/A","N/A",IF(MOD(COLUMNS($H$151:S$151)-1,$E175)=0,$F175*$D175*$G175,)),)</f>
        <v>N/A</v>
      </c>
      <c r="T175" s="277" t="str">
        <f>IFERROR(IF($B175="N/A","N/A",IF(MOD(COLUMNS($H$151:T$151)-1,$E175)=0,$F175*$D175*$G175,)),)</f>
        <v>N/A</v>
      </c>
      <c r="U175" s="277" t="str">
        <f>IFERROR(IF($B175="N/A","N/A",IF(MOD(COLUMNS($H$151:U$151)-1,$E175)=0,$F175*$D175*$G175,)),)</f>
        <v>N/A</v>
      </c>
      <c r="V175" s="277" t="str">
        <f>IFERROR(IF($B175="N/A","N/A",IF(MOD(COLUMNS($H$151:V$151)-1,$E175)=0,$F175*$D175*$G175,)),)</f>
        <v>N/A</v>
      </c>
      <c r="W175" s="277" t="str">
        <f>IFERROR(IF($B175="N/A","N/A",IF(MOD(COLUMNS($H$151:W$151)-1,$E175)=0,$F175*$D175*$G175,)),)</f>
        <v>N/A</v>
      </c>
    </row>
    <row r="176" spans="2:23">
      <c r="B176" s="76" t="str">
        <f t="array" ref="B176">IF(COUNTIFS(INDEX(Equipment_Allocation_New,0,MATCH($C$107,Unit_codes,0)),"&gt;0")&lt;ROWS('2.2-Equipment input'!$X$8:$X32),"N/A",INDEX('2.2-Equipment input'!B:B,SMALL(IF(INDEX(Equipment_Allocation_New,0,MATCH($C$107,Unit_codes,0))&gt;0,ROW(equipment_ID)),ROW('2.2-Equipment input'!B25))))</f>
        <v>N/A</v>
      </c>
      <c r="C176" s="76" t="str">
        <f>IF($B176="N/A","N/A",INDEX(Equipment_name[],MATCH(B176,equipment_ID,0)))</f>
        <v>N/A</v>
      </c>
      <c r="D176" s="277" t="str">
        <f t="shared" si="19"/>
        <v>N/A</v>
      </c>
      <c r="E176" s="94" t="str">
        <f t="shared" si="20"/>
        <v>N/A</v>
      </c>
      <c r="F176" s="94" t="str">
        <f t="shared" si="21"/>
        <v>N/A</v>
      </c>
      <c r="G176" s="94" t="str">
        <f t="shared" si="22"/>
        <v>N/A</v>
      </c>
      <c r="H176" s="277" t="str">
        <f>IFERROR(IF($B176="N/A","N/A",IF(MOD(COLUMNS(H$151:$H$151)-1,$E176)=0,$F176*$D176*$G176,)),)</f>
        <v>N/A</v>
      </c>
      <c r="I176" s="277" t="str">
        <f>IFERROR(IF($B176="N/A","N/A",IF(MOD(COLUMNS($H$151:I$151)-1,$E176)=0,$F176*$D176*$G176,)),)</f>
        <v>N/A</v>
      </c>
      <c r="J176" s="277" t="str">
        <f>IFERROR(IF($B176="N/A","N/A",IF(MOD(COLUMNS($H$151:J$151)-1,$E176)=0,$F176*$D176*$G176,)),)</f>
        <v>N/A</v>
      </c>
      <c r="K176" s="277" t="str">
        <f>IFERROR(IF($B176="N/A","N/A",IF(MOD(COLUMNS($H$151:K$151)-1,$E176)=0,$F176*$D176*$G176,)),)</f>
        <v>N/A</v>
      </c>
      <c r="L176" s="277" t="str">
        <f>IFERROR(IF($B176="N/A","N/A",IF(MOD(COLUMNS($H$151:L$151)-1,$E176)=0,$F176*$D176*$G176,)),)</f>
        <v>N/A</v>
      </c>
      <c r="M176" s="277" t="str">
        <f>IFERROR(IF($B176="N/A","N/A",IF(MOD(COLUMNS($H$151:M$151)-1,$E176)=0,$F176*$D176*$G176,)),)</f>
        <v>N/A</v>
      </c>
      <c r="N176" s="277" t="str">
        <f>IFERROR(IF($B176="N/A","N/A",IF(MOD(COLUMNS($H$151:N$151)-1,$E176)=0,$F176*$D176*$G176,)),)</f>
        <v>N/A</v>
      </c>
      <c r="O176" s="277" t="str">
        <f>IFERROR(IF($B176="N/A","N/A",IF(MOD(COLUMNS($H$151:O$151)-1,$E176)=0,$F176*$D176*$G176,)),)</f>
        <v>N/A</v>
      </c>
      <c r="P176" s="277" t="str">
        <f>IFERROR(IF($B176="N/A","N/A",IF(MOD(COLUMNS($H$151:P$151)-1,$E176)=0,$F176*$D176*$G176,)),)</f>
        <v>N/A</v>
      </c>
      <c r="Q176" s="277" t="str">
        <f>IFERROR(IF($B176="N/A","N/A",IF(MOD(COLUMNS($H$151:Q$151)-1,$E176)=0,$F176*$D176*$G176,)),)</f>
        <v>N/A</v>
      </c>
      <c r="R176" s="277" t="str">
        <f>IFERROR(IF($B176="N/A","N/A",IF(MOD(COLUMNS($H$151:R$151)-1,$E176)=0,$F176*$D176*$G176,)),)</f>
        <v>N/A</v>
      </c>
      <c r="S176" s="277" t="str">
        <f>IFERROR(IF($B176="N/A","N/A",IF(MOD(COLUMNS($H$151:S$151)-1,$E176)=0,$F176*$D176*$G176,)),)</f>
        <v>N/A</v>
      </c>
      <c r="T176" s="277" t="str">
        <f>IFERROR(IF($B176="N/A","N/A",IF(MOD(COLUMNS($H$151:T$151)-1,$E176)=0,$F176*$D176*$G176,)),)</f>
        <v>N/A</v>
      </c>
      <c r="U176" s="277" t="str">
        <f>IFERROR(IF($B176="N/A","N/A",IF(MOD(COLUMNS($H$151:U$151)-1,$E176)=0,$F176*$D176*$G176,)),)</f>
        <v>N/A</v>
      </c>
      <c r="V176" s="277" t="str">
        <f>IFERROR(IF($B176="N/A","N/A",IF(MOD(COLUMNS($H$151:V$151)-1,$E176)=0,$F176*$D176*$G176,)),)</f>
        <v>N/A</v>
      </c>
      <c r="W176" s="277" t="str">
        <f>IFERROR(IF($B176="N/A","N/A",IF(MOD(COLUMNS($H$151:W$151)-1,$E176)=0,$F176*$D176*$G176,)),)</f>
        <v>N/A</v>
      </c>
    </row>
    <row r="177" spans="2:23">
      <c r="B177" s="76" t="str">
        <f t="array" ref="B177">IF(COUNTIFS(INDEX(Equipment_Allocation_New,0,MATCH($C$107,Unit_codes,0)),"&gt;0")&lt;ROWS('2.2-Equipment input'!$X$8:$X33),"N/A",INDEX('2.2-Equipment input'!B:B,SMALL(IF(INDEX(Equipment_Allocation_New,0,MATCH($C$107,Unit_codes,0))&gt;0,ROW(equipment_ID)),ROW('2.2-Equipment input'!B26))))</f>
        <v>N/A</v>
      </c>
      <c r="C177" s="76" t="str">
        <f>IF($B177="N/A","N/A",INDEX(Equipment_name[],MATCH(B177,equipment_ID,0)))</f>
        <v>N/A</v>
      </c>
      <c r="D177" s="277" t="str">
        <f t="shared" si="19"/>
        <v>N/A</v>
      </c>
      <c r="E177" s="94" t="str">
        <f t="shared" si="20"/>
        <v>N/A</v>
      </c>
      <c r="F177" s="94" t="str">
        <f t="shared" si="21"/>
        <v>N/A</v>
      </c>
      <c r="G177" s="94" t="str">
        <f t="shared" si="22"/>
        <v>N/A</v>
      </c>
      <c r="H177" s="277" t="str">
        <f>IFERROR(IF($B177="N/A","N/A",IF(MOD(COLUMNS(H$151:$H$151)-1,$E177)=0,$F177*$D177*$G177,)),)</f>
        <v>N/A</v>
      </c>
      <c r="I177" s="277" t="str">
        <f>IFERROR(IF($B177="N/A","N/A",IF(MOD(COLUMNS($H$151:I$151)-1,$E177)=0,$F177*$D177*$G177,)),)</f>
        <v>N/A</v>
      </c>
      <c r="J177" s="277" t="str">
        <f>IFERROR(IF($B177="N/A","N/A",IF(MOD(COLUMNS($H$151:J$151)-1,$E177)=0,$F177*$D177*$G177,)),)</f>
        <v>N/A</v>
      </c>
      <c r="K177" s="277" t="str">
        <f>IFERROR(IF($B177="N/A","N/A",IF(MOD(COLUMNS($H$151:K$151)-1,$E177)=0,$F177*$D177*$G177,)),)</f>
        <v>N/A</v>
      </c>
      <c r="L177" s="277" t="str">
        <f>IFERROR(IF($B177="N/A","N/A",IF(MOD(COLUMNS($H$151:L$151)-1,$E177)=0,$F177*$D177*$G177,)),)</f>
        <v>N/A</v>
      </c>
      <c r="M177" s="277" t="str">
        <f>IFERROR(IF($B177="N/A","N/A",IF(MOD(COLUMNS($H$151:M$151)-1,$E177)=0,$F177*$D177*$G177,)),)</f>
        <v>N/A</v>
      </c>
      <c r="N177" s="277" t="str">
        <f>IFERROR(IF($B177="N/A","N/A",IF(MOD(COLUMNS($H$151:N$151)-1,$E177)=0,$F177*$D177*$G177,)),)</f>
        <v>N/A</v>
      </c>
      <c r="O177" s="277" t="str">
        <f>IFERROR(IF($B177="N/A","N/A",IF(MOD(COLUMNS($H$151:O$151)-1,$E177)=0,$F177*$D177*$G177,)),)</f>
        <v>N/A</v>
      </c>
      <c r="P177" s="277" t="str">
        <f>IFERROR(IF($B177="N/A","N/A",IF(MOD(COLUMNS($H$151:P$151)-1,$E177)=0,$F177*$D177*$G177,)),)</f>
        <v>N/A</v>
      </c>
      <c r="Q177" s="277" t="str">
        <f>IFERROR(IF($B177="N/A","N/A",IF(MOD(COLUMNS($H$151:Q$151)-1,$E177)=0,$F177*$D177*$G177,)),)</f>
        <v>N/A</v>
      </c>
      <c r="R177" s="277" t="str">
        <f>IFERROR(IF($B177="N/A","N/A",IF(MOD(COLUMNS($H$151:R$151)-1,$E177)=0,$F177*$D177*$G177,)),)</f>
        <v>N/A</v>
      </c>
      <c r="S177" s="277" t="str">
        <f>IFERROR(IF($B177="N/A","N/A",IF(MOD(COLUMNS($H$151:S$151)-1,$E177)=0,$F177*$D177*$G177,)),)</f>
        <v>N/A</v>
      </c>
      <c r="T177" s="277" t="str">
        <f>IFERROR(IF($B177="N/A","N/A",IF(MOD(COLUMNS($H$151:T$151)-1,$E177)=0,$F177*$D177*$G177,)),)</f>
        <v>N/A</v>
      </c>
      <c r="U177" s="277" t="str">
        <f>IFERROR(IF($B177="N/A","N/A",IF(MOD(COLUMNS($H$151:U$151)-1,$E177)=0,$F177*$D177*$G177,)),)</f>
        <v>N/A</v>
      </c>
      <c r="V177" s="277" t="str">
        <f>IFERROR(IF($B177="N/A","N/A",IF(MOD(COLUMNS($H$151:V$151)-1,$E177)=0,$F177*$D177*$G177,)),)</f>
        <v>N/A</v>
      </c>
      <c r="W177" s="277" t="str">
        <f>IFERROR(IF($B177="N/A","N/A",IF(MOD(COLUMNS($H$151:W$151)-1,$E177)=0,$F177*$D177*$G177,)),)</f>
        <v>N/A</v>
      </c>
    </row>
    <row r="178" spans="2:23">
      <c r="B178" s="76" t="str">
        <f t="array" ref="B178">IF(COUNTIFS(INDEX(Equipment_Allocation_New,0,MATCH($C$107,Unit_codes,0)),"&gt;0")&lt;ROWS('2.2-Equipment input'!$X$8:$X34),"N/A",INDEX('2.2-Equipment input'!B:B,SMALL(IF(INDEX(Equipment_Allocation_New,0,MATCH($C$107,Unit_codes,0))&gt;0,ROW(equipment_ID)),ROW('2.2-Equipment input'!B27))))</f>
        <v>N/A</v>
      </c>
      <c r="C178" s="76" t="str">
        <f>IF($B178="N/A","N/A",INDEX(Equipment_name[],MATCH(B178,equipment_ID,0)))</f>
        <v>N/A</v>
      </c>
      <c r="D178" s="277" t="str">
        <f t="shared" si="19"/>
        <v>N/A</v>
      </c>
      <c r="E178" s="94" t="str">
        <f t="shared" si="20"/>
        <v>N/A</v>
      </c>
      <c r="F178" s="94" t="str">
        <f t="shared" si="21"/>
        <v>N/A</v>
      </c>
      <c r="G178" s="94" t="str">
        <f t="shared" si="22"/>
        <v>N/A</v>
      </c>
      <c r="H178" s="277" t="str">
        <f>IFERROR(IF($B178="N/A","N/A",IF(MOD(COLUMNS(H$151:$H$151)-1,$E178)=0,$F178*$D178*$G178,)),)</f>
        <v>N/A</v>
      </c>
      <c r="I178" s="277" t="str">
        <f>IFERROR(IF($B178="N/A","N/A",IF(MOD(COLUMNS($H$151:I$151)-1,$E178)=0,$F178*$D178*$G178,)),)</f>
        <v>N/A</v>
      </c>
      <c r="J178" s="277" t="str">
        <f>IFERROR(IF($B178="N/A","N/A",IF(MOD(COLUMNS($H$151:J$151)-1,$E178)=0,$F178*$D178*$G178,)),)</f>
        <v>N/A</v>
      </c>
      <c r="K178" s="277" t="str">
        <f>IFERROR(IF($B178="N/A","N/A",IF(MOD(COLUMNS($H$151:K$151)-1,$E178)=0,$F178*$D178*$G178,)),)</f>
        <v>N/A</v>
      </c>
      <c r="L178" s="277" t="str">
        <f>IFERROR(IF($B178="N/A","N/A",IF(MOD(COLUMNS($H$151:L$151)-1,$E178)=0,$F178*$D178*$G178,)),)</f>
        <v>N/A</v>
      </c>
      <c r="M178" s="277" t="str">
        <f>IFERROR(IF($B178="N/A","N/A",IF(MOD(COLUMNS($H$151:M$151)-1,$E178)=0,$F178*$D178*$G178,)),)</f>
        <v>N/A</v>
      </c>
      <c r="N178" s="277" t="str">
        <f>IFERROR(IF($B178="N/A","N/A",IF(MOD(COLUMNS($H$151:N$151)-1,$E178)=0,$F178*$D178*$G178,)),)</f>
        <v>N/A</v>
      </c>
      <c r="O178" s="277" t="str">
        <f>IFERROR(IF($B178="N/A","N/A",IF(MOD(COLUMNS($H$151:O$151)-1,$E178)=0,$F178*$D178*$G178,)),)</f>
        <v>N/A</v>
      </c>
      <c r="P178" s="277" t="str">
        <f>IFERROR(IF($B178="N/A","N/A",IF(MOD(COLUMNS($H$151:P$151)-1,$E178)=0,$F178*$D178*$G178,)),)</f>
        <v>N/A</v>
      </c>
      <c r="Q178" s="277" t="str">
        <f>IFERROR(IF($B178="N/A","N/A",IF(MOD(COLUMNS($H$151:Q$151)-1,$E178)=0,$F178*$D178*$G178,)),)</f>
        <v>N/A</v>
      </c>
      <c r="R178" s="277" t="str">
        <f>IFERROR(IF($B178="N/A","N/A",IF(MOD(COLUMNS($H$151:R$151)-1,$E178)=0,$F178*$D178*$G178,)),)</f>
        <v>N/A</v>
      </c>
      <c r="S178" s="277" t="str">
        <f>IFERROR(IF($B178="N/A","N/A",IF(MOD(COLUMNS($H$151:S$151)-1,$E178)=0,$F178*$D178*$G178,)),)</f>
        <v>N/A</v>
      </c>
      <c r="T178" s="277" t="str">
        <f>IFERROR(IF($B178="N/A","N/A",IF(MOD(COLUMNS($H$151:T$151)-1,$E178)=0,$F178*$D178*$G178,)),)</f>
        <v>N/A</v>
      </c>
      <c r="U178" s="277" t="str">
        <f>IFERROR(IF($B178="N/A","N/A",IF(MOD(COLUMNS($H$151:U$151)-1,$E178)=0,$F178*$D178*$G178,)),)</f>
        <v>N/A</v>
      </c>
      <c r="V178" s="277" t="str">
        <f>IFERROR(IF($B178="N/A","N/A",IF(MOD(COLUMNS($H$151:V$151)-1,$E178)=0,$F178*$D178*$G178,)),)</f>
        <v>N/A</v>
      </c>
      <c r="W178" s="277" t="str">
        <f>IFERROR(IF($B178="N/A","N/A",IF(MOD(COLUMNS($H$151:W$151)-1,$E178)=0,$F178*$D178*$G178,)),)</f>
        <v>N/A</v>
      </c>
    </row>
    <row r="179" spans="2:23">
      <c r="B179" s="76" t="str">
        <f t="array" ref="B179">IF(COUNTIFS(INDEX(Equipment_Allocation_New,0,MATCH($C$107,Unit_codes,0)),"&gt;0")&lt;ROWS('2.2-Equipment input'!$X$8:$X35),"N/A",INDEX('2.2-Equipment input'!B:B,SMALL(IF(INDEX(Equipment_Allocation_New,0,MATCH($C$107,Unit_codes,0))&gt;0,ROW(equipment_ID)),ROW('2.2-Equipment input'!B28))))</f>
        <v>N/A</v>
      </c>
      <c r="C179" s="76" t="str">
        <f>IF($B179="N/A","N/A",INDEX(Equipment_name[],MATCH(B179,equipment_ID,0)))</f>
        <v>N/A</v>
      </c>
      <c r="D179" s="277" t="str">
        <f t="shared" si="19"/>
        <v>N/A</v>
      </c>
      <c r="E179" s="94" t="str">
        <f t="shared" si="20"/>
        <v>N/A</v>
      </c>
      <c r="F179" s="94" t="str">
        <f t="shared" si="21"/>
        <v>N/A</v>
      </c>
      <c r="G179" s="94" t="str">
        <f t="shared" si="22"/>
        <v>N/A</v>
      </c>
      <c r="H179" s="277" t="str">
        <f>IFERROR(IF($B179="N/A","N/A",IF(MOD(COLUMNS(H$151:$H$151)-1,$E179)=0,$F179*$D179*$G179,)),)</f>
        <v>N/A</v>
      </c>
      <c r="I179" s="277" t="str">
        <f>IFERROR(IF($B179="N/A","N/A",IF(MOD(COLUMNS($H$151:I$151)-1,$E179)=0,$F179*$D179*$G179,)),)</f>
        <v>N/A</v>
      </c>
      <c r="J179" s="277" t="str">
        <f>IFERROR(IF($B179="N/A","N/A",IF(MOD(COLUMNS($H$151:J$151)-1,$E179)=0,$F179*$D179*$G179,)),)</f>
        <v>N/A</v>
      </c>
      <c r="K179" s="277" t="str">
        <f>IFERROR(IF($B179="N/A","N/A",IF(MOD(COLUMNS($H$151:K$151)-1,$E179)=0,$F179*$D179*$G179,)),)</f>
        <v>N/A</v>
      </c>
      <c r="L179" s="277" t="str">
        <f>IFERROR(IF($B179="N/A","N/A",IF(MOD(COLUMNS($H$151:L$151)-1,$E179)=0,$F179*$D179*$G179,)),)</f>
        <v>N/A</v>
      </c>
      <c r="M179" s="277" t="str">
        <f>IFERROR(IF($B179="N/A","N/A",IF(MOD(COLUMNS($H$151:M$151)-1,$E179)=0,$F179*$D179*$G179,)),)</f>
        <v>N/A</v>
      </c>
      <c r="N179" s="277" t="str">
        <f>IFERROR(IF($B179="N/A","N/A",IF(MOD(COLUMNS($H$151:N$151)-1,$E179)=0,$F179*$D179*$G179,)),)</f>
        <v>N/A</v>
      </c>
      <c r="O179" s="277" t="str">
        <f>IFERROR(IF($B179="N/A","N/A",IF(MOD(COLUMNS($H$151:O$151)-1,$E179)=0,$F179*$D179*$G179,)),)</f>
        <v>N/A</v>
      </c>
      <c r="P179" s="277" t="str">
        <f>IFERROR(IF($B179="N/A","N/A",IF(MOD(COLUMNS($H$151:P$151)-1,$E179)=0,$F179*$D179*$G179,)),)</f>
        <v>N/A</v>
      </c>
      <c r="Q179" s="277" t="str">
        <f>IFERROR(IF($B179="N/A","N/A",IF(MOD(COLUMNS($H$151:Q$151)-1,$E179)=0,$F179*$D179*$G179,)),)</f>
        <v>N/A</v>
      </c>
      <c r="R179" s="277" t="str">
        <f>IFERROR(IF($B179="N/A","N/A",IF(MOD(COLUMNS($H$151:R$151)-1,$E179)=0,$F179*$D179*$G179,)),)</f>
        <v>N/A</v>
      </c>
      <c r="S179" s="277" t="str">
        <f>IFERROR(IF($B179="N/A","N/A",IF(MOD(COLUMNS($H$151:S$151)-1,$E179)=0,$F179*$D179*$G179,)),)</f>
        <v>N/A</v>
      </c>
      <c r="T179" s="277" t="str">
        <f>IFERROR(IF($B179="N/A","N/A",IF(MOD(COLUMNS($H$151:T$151)-1,$E179)=0,$F179*$D179*$G179,)),)</f>
        <v>N/A</v>
      </c>
      <c r="U179" s="277" t="str">
        <f>IFERROR(IF($B179="N/A","N/A",IF(MOD(COLUMNS($H$151:U$151)-1,$E179)=0,$F179*$D179*$G179,)),)</f>
        <v>N/A</v>
      </c>
      <c r="V179" s="277" t="str">
        <f>IFERROR(IF($B179="N/A","N/A",IF(MOD(COLUMNS($H$151:V$151)-1,$E179)=0,$F179*$D179*$G179,)),)</f>
        <v>N/A</v>
      </c>
      <c r="W179" s="277" t="str">
        <f>IFERROR(IF($B179="N/A","N/A",IF(MOD(COLUMNS($H$151:W$151)-1,$E179)=0,$F179*$D179*$G179,)),)</f>
        <v>N/A</v>
      </c>
    </row>
    <row r="180" spans="2:23">
      <c r="B180" s="76" t="str">
        <f t="array" ref="B180">IF(COUNTIFS(INDEX(Equipment_Allocation_New,0,MATCH($C$107,Unit_codes,0)),"&gt;0")&lt;ROWS('2.2-Equipment input'!$X$8:$X36),"N/A",INDEX('2.2-Equipment input'!B:B,SMALL(IF(INDEX(Equipment_Allocation_New,0,MATCH($C$107,Unit_codes,0))&gt;0,ROW(equipment_ID)),ROW('2.2-Equipment input'!B29))))</f>
        <v>N/A</v>
      </c>
      <c r="C180" s="76" t="str">
        <f>IF($B180="N/A","N/A",INDEX(Equipment_name[],MATCH(B180,equipment_ID,0)))</f>
        <v>N/A</v>
      </c>
      <c r="D180" s="277" t="str">
        <f t="shared" si="19"/>
        <v>N/A</v>
      </c>
      <c r="E180" s="94" t="str">
        <f t="shared" si="20"/>
        <v>N/A</v>
      </c>
      <c r="F180" s="94" t="str">
        <f t="shared" si="21"/>
        <v>N/A</v>
      </c>
      <c r="G180" s="94" t="str">
        <f t="shared" si="22"/>
        <v>N/A</v>
      </c>
      <c r="H180" s="277" t="str">
        <f>IFERROR(IF($B180="N/A","N/A",IF(MOD(COLUMNS(H$151:$H$151)-1,$E180)=0,$F180*$D180*$G180,)),)</f>
        <v>N/A</v>
      </c>
      <c r="I180" s="277" t="str">
        <f>IFERROR(IF($B180="N/A","N/A",IF(MOD(COLUMNS($H$151:I$151)-1,$E180)=0,$F180*$D180*$G180,)),)</f>
        <v>N/A</v>
      </c>
      <c r="J180" s="277" t="str">
        <f>IFERROR(IF($B180="N/A","N/A",IF(MOD(COLUMNS($H$151:J$151)-1,$E180)=0,$F180*$D180*$G180,)),)</f>
        <v>N/A</v>
      </c>
      <c r="K180" s="277" t="str">
        <f>IFERROR(IF($B180="N/A","N/A",IF(MOD(COLUMNS($H$151:K$151)-1,$E180)=0,$F180*$D180*$G180,)),)</f>
        <v>N/A</v>
      </c>
      <c r="L180" s="277" t="str">
        <f>IFERROR(IF($B180="N/A","N/A",IF(MOD(COLUMNS($H$151:L$151)-1,$E180)=0,$F180*$D180*$G180,)),)</f>
        <v>N/A</v>
      </c>
      <c r="M180" s="277" t="str">
        <f>IFERROR(IF($B180="N/A","N/A",IF(MOD(COLUMNS($H$151:M$151)-1,$E180)=0,$F180*$D180*$G180,)),)</f>
        <v>N/A</v>
      </c>
      <c r="N180" s="277" t="str">
        <f>IFERROR(IF($B180="N/A","N/A",IF(MOD(COLUMNS($H$151:N$151)-1,$E180)=0,$F180*$D180*$G180,)),)</f>
        <v>N/A</v>
      </c>
      <c r="O180" s="277" t="str">
        <f>IFERROR(IF($B180="N/A","N/A",IF(MOD(COLUMNS($H$151:O$151)-1,$E180)=0,$F180*$D180*$G180,)),)</f>
        <v>N/A</v>
      </c>
      <c r="P180" s="277" t="str">
        <f>IFERROR(IF($B180="N/A","N/A",IF(MOD(COLUMNS($H$151:P$151)-1,$E180)=0,$F180*$D180*$G180,)),)</f>
        <v>N/A</v>
      </c>
      <c r="Q180" s="277" t="str">
        <f>IFERROR(IF($B180="N/A","N/A",IF(MOD(COLUMNS($H$151:Q$151)-1,$E180)=0,$F180*$D180*$G180,)),)</f>
        <v>N/A</v>
      </c>
      <c r="R180" s="277" t="str">
        <f>IFERROR(IF($B180="N/A","N/A",IF(MOD(COLUMNS($H$151:R$151)-1,$E180)=0,$F180*$D180*$G180,)),)</f>
        <v>N/A</v>
      </c>
      <c r="S180" s="277" t="str">
        <f>IFERROR(IF($B180="N/A","N/A",IF(MOD(COLUMNS($H$151:S$151)-1,$E180)=0,$F180*$D180*$G180,)),)</f>
        <v>N/A</v>
      </c>
      <c r="T180" s="277" t="str">
        <f>IFERROR(IF($B180="N/A","N/A",IF(MOD(COLUMNS($H$151:T$151)-1,$E180)=0,$F180*$D180*$G180,)),)</f>
        <v>N/A</v>
      </c>
      <c r="U180" s="277" t="str">
        <f>IFERROR(IF($B180="N/A","N/A",IF(MOD(COLUMNS($H$151:U$151)-1,$E180)=0,$F180*$D180*$G180,)),)</f>
        <v>N/A</v>
      </c>
      <c r="V180" s="277" t="str">
        <f>IFERROR(IF($B180="N/A","N/A",IF(MOD(COLUMNS($H$151:V$151)-1,$E180)=0,$F180*$D180*$G180,)),)</f>
        <v>N/A</v>
      </c>
      <c r="W180" s="277" t="str">
        <f>IFERROR(IF($B180="N/A","N/A",IF(MOD(COLUMNS($H$151:W$151)-1,$E180)=0,$F180*$D180*$G180,)),)</f>
        <v>N/A</v>
      </c>
    </row>
    <row r="181" spans="2:23">
      <c r="B181" s="76" t="str">
        <f t="array" ref="B181">IF(COUNTIFS(INDEX(Equipment_Allocation_New,0,MATCH($C$107,Unit_codes,0)),"&gt;0")&lt;ROWS('2.2-Equipment input'!$X$8:$X37),"N/A",INDEX('2.2-Equipment input'!B:B,SMALL(IF(INDEX(Equipment_Allocation_New,0,MATCH($C$107,Unit_codes,0))&gt;0,ROW(equipment_ID)),ROW('2.2-Equipment input'!B30))))</f>
        <v>N/A</v>
      </c>
      <c r="C181" s="76" t="str">
        <f>IF($B181="N/A","N/A",INDEX(Equipment_name[],MATCH(B181,equipment_ID,0)))</f>
        <v>N/A</v>
      </c>
      <c r="D181" s="277" t="str">
        <f t="shared" si="19"/>
        <v>N/A</v>
      </c>
      <c r="E181" s="94" t="str">
        <f t="shared" si="20"/>
        <v>N/A</v>
      </c>
      <c r="F181" s="94" t="str">
        <f t="shared" si="21"/>
        <v>N/A</v>
      </c>
      <c r="G181" s="94" t="str">
        <f t="shared" si="22"/>
        <v>N/A</v>
      </c>
      <c r="H181" s="277" t="str">
        <f>IFERROR(IF($B181="N/A","N/A",IF(MOD(COLUMNS(H$151:$H$151)-1,$E181)=0,$F181*$D181*$G181,)),)</f>
        <v>N/A</v>
      </c>
      <c r="I181" s="277" t="str">
        <f>IFERROR(IF($B181="N/A","N/A",IF(MOD(COLUMNS($H$151:I$151)-1,$E181)=0,$F181*$D181*$G181,)),)</f>
        <v>N/A</v>
      </c>
      <c r="J181" s="277" t="str">
        <f>IFERROR(IF($B181="N/A","N/A",IF(MOD(COLUMNS($H$151:J$151)-1,$E181)=0,$F181*$D181*$G181,)),)</f>
        <v>N/A</v>
      </c>
      <c r="K181" s="277" t="str">
        <f>IFERROR(IF($B181="N/A","N/A",IF(MOD(COLUMNS($H$151:K$151)-1,$E181)=0,$F181*$D181*$G181,)),)</f>
        <v>N/A</v>
      </c>
      <c r="L181" s="277" t="str">
        <f>IFERROR(IF($B181="N/A","N/A",IF(MOD(COLUMNS($H$151:L$151)-1,$E181)=0,$F181*$D181*$G181,)),)</f>
        <v>N/A</v>
      </c>
      <c r="M181" s="277" t="str">
        <f>IFERROR(IF($B181="N/A","N/A",IF(MOD(COLUMNS($H$151:M$151)-1,$E181)=0,$F181*$D181*$G181,)),)</f>
        <v>N/A</v>
      </c>
      <c r="N181" s="277" t="str">
        <f>IFERROR(IF($B181="N/A","N/A",IF(MOD(COLUMNS($H$151:N$151)-1,$E181)=0,$F181*$D181*$G181,)),)</f>
        <v>N/A</v>
      </c>
      <c r="O181" s="277" t="str">
        <f>IFERROR(IF($B181="N/A","N/A",IF(MOD(COLUMNS($H$151:O$151)-1,$E181)=0,$F181*$D181*$G181,)),)</f>
        <v>N/A</v>
      </c>
      <c r="P181" s="277" t="str">
        <f>IFERROR(IF($B181="N/A","N/A",IF(MOD(COLUMNS($H$151:P$151)-1,$E181)=0,$F181*$D181*$G181,)),)</f>
        <v>N/A</v>
      </c>
      <c r="Q181" s="277" t="str">
        <f>IFERROR(IF($B181="N/A","N/A",IF(MOD(COLUMNS($H$151:Q$151)-1,$E181)=0,$F181*$D181*$G181,)),)</f>
        <v>N/A</v>
      </c>
      <c r="R181" s="277" t="str">
        <f>IFERROR(IF($B181="N/A","N/A",IF(MOD(COLUMNS($H$151:R$151)-1,$E181)=0,$F181*$D181*$G181,)),)</f>
        <v>N/A</v>
      </c>
      <c r="S181" s="277" t="str">
        <f>IFERROR(IF($B181="N/A","N/A",IF(MOD(COLUMNS($H$151:S$151)-1,$E181)=0,$F181*$D181*$G181,)),)</f>
        <v>N/A</v>
      </c>
      <c r="T181" s="277" t="str">
        <f>IFERROR(IF($B181="N/A","N/A",IF(MOD(COLUMNS($H$151:T$151)-1,$E181)=0,$F181*$D181*$G181,)),)</f>
        <v>N/A</v>
      </c>
      <c r="U181" s="277" t="str">
        <f>IFERROR(IF($B181="N/A","N/A",IF(MOD(COLUMNS($H$151:U$151)-1,$E181)=0,$F181*$D181*$G181,)),)</f>
        <v>N/A</v>
      </c>
      <c r="V181" s="277" t="str">
        <f>IFERROR(IF($B181="N/A","N/A",IF(MOD(COLUMNS($H$151:V$151)-1,$E181)=0,$F181*$D181*$G181,)),)</f>
        <v>N/A</v>
      </c>
      <c r="W181" s="277" t="str">
        <f>IFERROR(IF($B181="N/A","N/A",IF(MOD(COLUMNS($H$151:W$151)-1,$E181)=0,$F181*$D181*$G181,)),)</f>
        <v>N/A</v>
      </c>
    </row>
    <row r="182" spans="2:23">
      <c r="B182" s="76" t="str">
        <f t="array" ref="B182">IF(COUNTIFS(INDEX(Equipment_Allocation_New,0,MATCH($C$107,Unit_codes,0)),"&gt;0")&lt;ROWS('2.2-Equipment input'!$X$8:$X38),"N/A",INDEX('2.2-Equipment input'!B:B,SMALL(IF(INDEX(Equipment_Allocation_New,0,MATCH($C$107,Unit_codes,0))&gt;0,ROW(equipment_ID)),ROW('2.2-Equipment input'!B31))))</f>
        <v>N/A</v>
      </c>
      <c r="C182" s="76" t="str">
        <f>IF($B182="N/A","N/A",INDEX(Equipment_name[],MATCH(B182,equipment_ID,0)))</f>
        <v>N/A</v>
      </c>
      <c r="D182" s="277" t="str">
        <f t="shared" si="19"/>
        <v>N/A</v>
      </c>
      <c r="E182" s="94" t="str">
        <f t="shared" si="20"/>
        <v>N/A</v>
      </c>
      <c r="F182" s="94" t="str">
        <f t="shared" si="21"/>
        <v>N/A</v>
      </c>
      <c r="G182" s="94" t="str">
        <f t="shared" si="22"/>
        <v>N/A</v>
      </c>
      <c r="H182" s="277" t="str">
        <f>IFERROR(IF($B182="N/A","N/A",IF(MOD(COLUMNS(H$151:$H$151)-1,$E182)=0,$F182*$D182*$G182,)),)</f>
        <v>N/A</v>
      </c>
      <c r="I182" s="277" t="str">
        <f>IFERROR(IF($B182="N/A","N/A",IF(MOD(COLUMNS($H$151:I$151)-1,$E182)=0,$F182*$D182*$G182,)),)</f>
        <v>N/A</v>
      </c>
      <c r="J182" s="277" t="str">
        <f>IFERROR(IF($B182="N/A","N/A",IF(MOD(COLUMNS($H$151:J$151)-1,$E182)=0,$F182*$D182*$G182,)),)</f>
        <v>N/A</v>
      </c>
      <c r="K182" s="277" t="str">
        <f>IFERROR(IF($B182="N/A","N/A",IF(MOD(COLUMNS($H$151:K$151)-1,$E182)=0,$F182*$D182*$G182,)),)</f>
        <v>N/A</v>
      </c>
      <c r="L182" s="277" t="str">
        <f>IFERROR(IF($B182="N/A","N/A",IF(MOD(COLUMNS($H$151:L$151)-1,$E182)=0,$F182*$D182*$G182,)),)</f>
        <v>N/A</v>
      </c>
      <c r="M182" s="277" t="str">
        <f>IFERROR(IF($B182="N/A","N/A",IF(MOD(COLUMNS($H$151:M$151)-1,$E182)=0,$F182*$D182*$G182,)),)</f>
        <v>N/A</v>
      </c>
      <c r="N182" s="277" t="str">
        <f>IFERROR(IF($B182="N/A","N/A",IF(MOD(COLUMNS($H$151:N$151)-1,$E182)=0,$F182*$D182*$G182,)),)</f>
        <v>N/A</v>
      </c>
      <c r="O182" s="277" t="str">
        <f>IFERROR(IF($B182="N/A","N/A",IF(MOD(COLUMNS($H$151:O$151)-1,$E182)=0,$F182*$D182*$G182,)),)</f>
        <v>N/A</v>
      </c>
      <c r="P182" s="277" t="str">
        <f>IFERROR(IF($B182="N/A","N/A",IF(MOD(COLUMNS($H$151:P$151)-1,$E182)=0,$F182*$D182*$G182,)),)</f>
        <v>N/A</v>
      </c>
      <c r="Q182" s="277" t="str">
        <f>IFERROR(IF($B182="N/A","N/A",IF(MOD(COLUMNS($H$151:Q$151)-1,$E182)=0,$F182*$D182*$G182,)),)</f>
        <v>N/A</v>
      </c>
      <c r="R182" s="277" t="str">
        <f>IFERROR(IF($B182="N/A","N/A",IF(MOD(COLUMNS($H$151:R$151)-1,$E182)=0,$F182*$D182*$G182,)),)</f>
        <v>N/A</v>
      </c>
      <c r="S182" s="277" t="str">
        <f>IFERROR(IF($B182="N/A","N/A",IF(MOD(COLUMNS($H$151:S$151)-1,$E182)=0,$F182*$D182*$G182,)),)</f>
        <v>N/A</v>
      </c>
      <c r="T182" s="277" t="str">
        <f>IFERROR(IF($B182="N/A","N/A",IF(MOD(COLUMNS($H$151:T$151)-1,$E182)=0,$F182*$D182*$G182,)),)</f>
        <v>N/A</v>
      </c>
      <c r="U182" s="277" t="str">
        <f>IFERROR(IF($B182="N/A","N/A",IF(MOD(COLUMNS($H$151:U$151)-1,$E182)=0,$F182*$D182*$G182,)),)</f>
        <v>N/A</v>
      </c>
      <c r="V182" s="277" t="str">
        <f>IFERROR(IF($B182="N/A","N/A",IF(MOD(COLUMNS($H$151:V$151)-1,$E182)=0,$F182*$D182*$G182,)),)</f>
        <v>N/A</v>
      </c>
      <c r="W182" s="277" t="str">
        <f>IFERROR(IF($B182="N/A","N/A",IF(MOD(COLUMNS($H$151:W$151)-1,$E182)=0,$F182*$D182*$G182,)),)</f>
        <v>N/A</v>
      </c>
    </row>
    <row r="183" spans="2:23">
      <c r="B183" s="76" t="str">
        <f t="array" ref="B183">IF(COUNTIFS(INDEX(Equipment_Allocation_New,0,MATCH($C$107,Unit_codes,0)),"&gt;0")&lt;ROWS('2.2-Equipment input'!$X$8:$X39),"N/A",INDEX('2.2-Equipment input'!B:B,SMALL(IF(INDEX(Equipment_Allocation_New,0,MATCH($C$107,Unit_codes,0))&gt;0,ROW(equipment_ID)),ROW('2.2-Equipment input'!B32))))</f>
        <v>N/A</v>
      </c>
      <c r="C183" s="76" t="str">
        <f>IF($B183="N/A","N/A",INDEX(Equipment_name[],MATCH(B183,equipment_ID,0)))</f>
        <v>N/A</v>
      </c>
      <c r="D183" s="277" t="str">
        <f t="shared" si="19"/>
        <v>N/A</v>
      </c>
      <c r="E183" s="94" t="str">
        <f t="shared" si="20"/>
        <v>N/A</v>
      </c>
      <c r="F183" s="94" t="str">
        <f t="shared" si="21"/>
        <v>N/A</v>
      </c>
      <c r="G183" s="94" t="str">
        <f t="shared" si="22"/>
        <v>N/A</v>
      </c>
      <c r="H183" s="277" t="str">
        <f>IFERROR(IF($B183="N/A","N/A",IF(MOD(COLUMNS(H$151:$H$151)-1,$E183)=0,$F183*$D183*$G183,)),)</f>
        <v>N/A</v>
      </c>
      <c r="I183" s="277" t="str">
        <f>IFERROR(IF($B183="N/A","N/A",IF(MOD(COLUMNS($H$151:I$151)-1,$E183)=0,$F183*$D183*$G183,)),)</f>
        <v>N/A</v>
      </c>
      <c r="J183" s="277" t="str">
        <f>IFERROR(IF($B183="N/A","N/A",IF(MOD(COLUMNS($H$151:J$151)-1,$E183)=0,$F183*$D183*$G183,)),)</f>
        <v>N/A</v>
      </c>
      <c r="K183" s="277" t="str">
        <f>IFERROR(IF($B183="N/A","N/A",IF(MOD(COLUMNS($H$151:K$151)-1,$E183)=0,$F183*$D183*$G183,)),)</f>
        <v>N/A</v>
      </c>
      <c r="L183" s="277" t="str">
        <f>IFERROR(IF($B183="N/A","N/A",IF(MOD(COLUMNS($H$151:L$151)-1,$E183)=0,$F183*$D183*$G183,)),)</f>
        <v>N/A</v>
      </c>
      <c r="M183" s="277" t="str">
        <f>IFERROR(IF($B183="N/A","N/A",IF(MOD(COLUMNS($H$151:M$151)-1,$E183)=0,$F183*$D183*$G183,)),)</f>
        <v>N/A</v>
      </c>
      <c r="N183" s="277" t="str">
        <f>IFERROR(IF($B183="N/A","N/A",IF(MOD(COLUMNS($H$151:N$151)-1,$E183)=0,$F183*$D183*$G183,)),)</f>
        <v>N/A</v>
      </c>
      <c r="O183" s="277" t="str">
        <f>IFERROR(IF($B183="N/A","N/A",IF(MOD(COLUMNS($H$151:O$151)-1,$E183)=0,$F183*$D183*$G183,)),)</f>
        <v>N/A</v>
      </c>
      <c r="P183" s="277" t="str">
        <f>IFERROR(IF($B183="N/A","N/A",IF(MOD(COLUMNS($H$151:P$151)-1,$E183)=0,$F183*$D183*$G183,)),)</f>
        <v>N/A</v>
      </c>
      <c r="Q183" s="277" t="str">
        <f>IFERROR(IF($B183="N/A","N/A",IF(MOD(COLUMNS($H$151:Q$151)-1,$E183)=0,$F183*$D183*$G183,)),)</f>
        <v>N/A</v>
      </c>
      <c r="R183" s="277" t="str">
        <f>IFERROR(IF($B183="N/A","N/A",IF(MOD(COLUMNS($H$151:R$151)-1,$E183)=0,$F183*$D183*$G183,)),)</f>
        <v>N/A</v>
      </c>
      <c r="S183" s="277" t="str">
        <f>IFERROR(IF($B183="N/A","N/A",IF(MOD(COLUMNS($H$151:S$151)-1,$E183)=0,$F183*$D183*$G183,)),)</f>
        <v>N/A</v>
      </c>
      <c r="T183" s="277" t="str">
        <f>IFERROR(IF($B183="N/A","N/A",IF(MOD(COLUMNS($H$151:T$151)-1,$E183)=0,$F183*$D183*$G183,)),)</f>
        <v>N/A</v>
      </c>
      <c r="U183" s="277" t="str">
        <f>IFERROR(IF($B183="N/A","N/A",IF(MOD(COLUMNS($H$151:U$151)-1,$E183)=0,$F183*$D183*$G183,)),)</f>
        <v>N/A</v>
      </c>
      <c r="V183" s="277" t="str">
        <f>IFERROR(IF($B183="N/A","N/A",IF(MOD(COLUMNS($H$151:V$151)-1,$E183)=0,$F183*$D183*$G183,)),)</f>
        <v>N/A</v>
      </c>
      <c r="W183" s="277" t="str">
        <f>IFERROR(IF($B183="N/A","N/A",IF(MOD(COLUMNS($H$151:W$151)-1,$E183)=0,$F183*$D183*$G183,)),)</f>
        <v>N/A</v>
      </c>
    </row>
    <row r="184" spans="2:23">
      <c r="B184" s="76" t="str">
        <f t="array" ref="B184">IF(COUNTIFS(INDEX(Equipment_Allocation_New,0,MATCH($C$107,Unit_codes,0)),"&gt;0")&lt;ROWS('2.2-Equipment input'!$X$8:$X40),"N/A",INDEX('2.2-Equipment input'!B:B,SMALL(IF(INDEX(Equipment_Allocation_New,0,MATCH($C$107,Unit_codes,0))&gt;0,ROW(equipment_ID)),ROW('2.2-Equipment input'!B33))))</f>
        <v>N/A</v>
      </c>
      <c r="C184" s="76" t="str">
        <f>IF($B184="N/A","N/A",INDEX(Equipment_name[],MATCH(B184,equipment_ID,0)))</f>
        <v>N/A</v>
      </c>
      <c r="D184" s="277" t="str">
        <f t="shared" si="19"/>
        <v>N/A</v>
      </c>
      <c r="E184" s="94" t="str">
        <f t="shared" si="20"/>
        <v>N/A</v>
      </c>
      <c r="F184" s="94" t="str">
        <f t="shared" si="21"/>
        <v>N/A</v>
      </c>
      <c r="G184" s="94" t="str">
        <f t="shared" si="22"/>
        <v>N/A</v>
      </c>
      <c r="H184" s="277" t="str">
        <f>IFERROR(IF($B184="N/A","N/A",IF(MOD(COLUMNS(H$151:$H$151)-1,$E184)=0,$F184*$D184*$G184,)),)</f>
        <v>N/A</v>
      </c>
      <c r="I184" s="277" t="str">
        <f>IFERROR(IF($B184="N/A","N/A",IF(MOD(COLUMNS($H$151:I$151)-1,$E184)=0,$F184*$D184*$G184,)),)</f>
        <v>N/A</v>
      </c>
      <c r="J184" s="277" t="str">
        <f>IFERROR(IF($B184="N/A","N/A",IF(MOD(COLUMNS($H$151:J$151)-1,$E184)=0,$F184*$D184*$G184,)),)</f>
        <v>N/A</v>
      </c>
      <c r="K184" s="277" t="str">
        <f>IFERROR(IF($B184="N/A","N/A",IF(MOD(COLUMNS($H$151:K$151)-1,$E184)=0,$F184*$D184*$G184,)),)</f>
        <v>N/A</v>
      </c>
      <c r="L184" s="277" t="str">
        <f>IFERROR(IF($B184="N/A","N/A",IF(MOD(COLUMNS($H$151:L$151)-1,$E184)=0,$F184*$D184*$G184,)),)</f>
        <v>N/A</v>
      </c>
      <c r="M184" s="277" t="str">
        <f>IFERROR(IF($B184="N/A","N/A",IF(MOD(COLUMNS($H$151:M$151)-1,$E184)=0,$F184*$D184*$G184,)),)</f>
        <v>N/A</v>
      </c>
      <c r="N184" s="277" t="str">
        <f>IFERROR(IF($B184="N/A","N/A",IF(MOD(COLUMNS($H$151:N$151)-1,$E184)=0,$F184*$D184*$G184,)),)</f>
        <v>N/A</v>
      </c>
      <c r="O184" s="277" t="str">
        <f>IFERROR(IF($B184="N/A","N/A",IF(MOD(COLUMNS($H$151:O$151)-1,$E184)=0,$F184*$D184*$G184,)),)</f>
        <v>N/A</v>
      </c>
      <c r="P184" s="277" t="str">
        <f>IFERROR(IF($B184="N/A","N/A",IF(MOD(COLUMNS($H$151:P$151)-1,$E184)=0,$F184*$D184*$G184,)),)</f>
        <v>N/A</v>
      </c>
      <c r="Q184" s="277" t="str">
        <f>IFERROR(IF($B184="N/A","N/A",IF(MOD(COLUMNS($H$151:Q$151)-1,$E184)=0,$F184*$D184*$G184,)),)</f>
        <v>N/A</v>
      </c>
      <c r="R184" s="277" t="str">
        <f>IFERROR(IF($B184="N/A","N/A",IF(MOD(COLUMNS($H$151:R$151)-1,$E184)=0,$F184*$D184*$G184,)),)</f>
        <v>N/A</v>
      </c>
      <c r="S184" s="277" t="str">
        <f>IFERROR(IF($B184="N/A","N/A",IF(MOD(COLUMNS($H$151:S$151)-1,$E184)=0,$F184*$D184*$G184,)),)</f>
        <v>N/A</v>
      </c>
      <c r="T184" s="277" t="str">
        <f>IFERROR(IF($B184="N/A","N/A",IF(MOD(COLUMNS($H$151:T$151)-1,$E184)=0,$F184*$D184*$G184,)),)</f>
        <v>N/A</v>
      </c>
      <c r="U184" s="277" t="str">
        <f>IFERROR(IF($B184="N/A","N/A",IF(MOD(COLUMNS($H$151:U$151)-1,$E184)=0,$F184*$D184*$G184,)),)</f>
        <v>N/A</v>
      </c>
      <c r="V184" s="277" t="str">
        <f>IFERROR(IF($B184="N/A","N/A",IF(MOD(COLUMNS($H$151:V$151)-1,$E184)=0,$F184*$D184*$G184,)),)</f>
        <v>N/A</v>
      </c>
      <c r="W184" s="277" t="str">
        <f>IFERROR(IF($B184="N/A","N/A",IF(MOD(COLUMNS($H$151:W$151)-1,$E184)=0,$F184*$D184*$G184,)),)</f>
        <v>N/A</v>
      </c>
    </row>
    <row r="185" spans="2:23">
      <c r="B185" s="76" t="str">
        <f t="array" ref="B185">IF(COUNTIFS(INDEX(Equipment_Allocation_New,0,MATCH($C$107,Unit_codes,0)),"&gt;0")&lt;ROWS('2.2-Equipment input'!$X$8:$X41),"N/A",INDEX('2.2-Equipment input'!B:B,SMALL(IF(INDEX(Equipment_Allocation_New,0,MATCH($C$107,Unit_codes,0))&gt;0,ROW(equipment_ID)),ROW('2.2-Equipment input'!B34))))</f>
        <v>N/A</v>
      </c>
      <c r="C185" s="76" t="str">
        <f>IF($B185="N/A","N/A",INDEX(Equipment_name[],MATCH(B185,equipment_ID,0)))</f>
        <v>N/A</v>
      </c>
      <c r="D185" s="277" t="str">
        <f t="shared" si="19"/>
        <v>N/A</v>
      </c>
      <c r="E185" s="94" t="str">
        <f t="shared" si="20"/>
        <v>N/A</v>
      </c>
      <c r="F185" s="94" t="str">
        <f t="shared" si="21"/>
        <v>N/A</v>
      </c>
      <c r="G185" s="94" t="str">
        <f t="shared" si="22"/>
        <v>N/A</v>
      </c>
      <c r="H185" s="277" t="str">
        <f>IFERROR(IF($B185="N/A","N/A",IF(MOD(COLUMNS(H$151:$H$151)-1,$E185)=0,$F185*$D185*$G185,)),)</f>
        <v>N/A</v>
      </c>
      <c r="I185" s="277" t="str">
        <f>IFERROR(IF($B185="N/A","N/A",IF(MOD(COLUMNS($H$151:I$151)-1,$E185)=0,$F185*$D185*$G185,)),)</f>
        <v>N/A</v>
      </c>
      <c r="J185" s="277" t="str">
        <f>IFERROR(IF($B185="N/A","N/A",IF(MOD(COLUMNS($H$151:J$151)-1,$E185)=0,$F185*$D185*$G185,)),)</f>
        <v>N/A</v>
      </c>
      <c r="K185" s="277" t="str">
        <f>IFERROR(IF($B185="N/A","N/A",IF(MOD(COLUMNS($H$151:K$151)-1,$E185)=0,$F185*$D185*$G185,)),)</f>
        <v>N/A</v>
      </c>
      <c r="L185" s="277" t="str">
        <f>IFERROR(IF($B185="N/A","N/A",IF(MOD(COLUMNS($H$151:L$151)-1,$E185)=0,$F185*$D185*$G185,)),)</f>
        <v>N/A</v>
      </c>
      <c r="M185" s="277" t="str">
        <f>IFERROR(IF($B185="N/A","N/A",IF(MOD(COLUMNS($H$151:M$151)-1,$E185)=0,$F185*$D185*$G185,)),)</f>
        <v>N/A</v>
      </c>
      <c r="N185" s="277" t="str">
        <f>IFERROR(IF($B185="N/A","N/A",IF(MOD(COLUMNS($H$151:N$151)-1,$E185)=0,$F185*$D185*$G185,)),)</f>
        <v>N/A</v>
      </c>
      <c r="O185" s="277" t="str">
        <f>IFERROR(IF($B185="N/A","N/A",IF(MOD(COLUMNS($H$151:O$151)-1,$E185)=0,$F185*$D185*$G185,)),)</f>
        <v>N/A</v>
      </c>
      <c r="P185" s="277" t="str">
        <f>IFERROR(IF($B185="N/A","N/A",IF(MOD(COLUMNS($H$151:P$151)-1,$E185)=0,$F185*$D185*$G185,)),)</f>
        <v>N/A</v>
      </c>
      <c r="Q185" s="277" t="str">
        <f>IFERROR(IF($B185="N/A","N/A",IF(MOD(COLUMNS($H$151:Q$151)-1,$E185)=0,$F185*$D185*$G185,)),)</f>
        <v>N/A</v>
      </c>
      <c r="R185" s="277" t="str">
        <f>IFERROR(IF($B185="N/A","N/A",IF(MOD(COLUMNS($H$151:R$151)-1,$E185)=0,$F185*$D185*$G185,)),)</f>
        <v>N/A</v>
      </c>
      <c r="S185" s="277" t="str">
        <f>IFERROR(IF($B185="N/A","N/A",IF(MOD(COLUMNS($H$151:S$151)-1,$E185)=0,$F185*$D185*$G185,)),)</f>
        <v>N/A</v>
      </c>
      <c r="T185" s="277" t="str">
        <f>IFERROR(IF($B185="N/A","N/A",IF(MOD(COLUMNS($H$151:T$151)-1,$E185)=0,$F185*$D185*$G185,)),)</f>
        <v>N/A</v>
      </c>
      <c r="U185" s="277" t="str">
        <f>IFERROR(IF($B185="N/A","N/A",IF(MOD(COLUMNS($H$151:U$151)-1,$E185)=0,$F185*$D185*$G185,)),)</f>
        <v>N/A</v>
      </c>
      <c r="V185" s="277" t="str">
        <f>IFERROR(IF($B185="N/A","N/A",IF(MOD(COLUMNS($H$151:V$151)-1,$E185)=0,$F185*$D185*$G185,)),)</f>
        <v>N/A</v>
      </c>
      <c r="W185" s="277" t="str">
        <f>IFERROR(IF($B185="N/A","N/A",IF(MOD(COLUMNS($H$151:W$151)-1,$E185)=0,$F185*$D185*$G185,)),)</f>
        <v>N/A</v>
      </c>
    </row>
    <row r="186" spans="2:23">
      <c r="B186" s="76" t="str">
        <f t="array" ref="B186">IF(COUNTIFS(INDEX(Equipment_Allocation_New,0,MATCH($C$107,Unit_codes,0)),"&gt;0")&lt;ROWS('2.2-Equipment input'!$X$8:$X42),"N/A",INDEX('2.2-Equipment input'!B:B,SMALL(IF(INDEX(Equipment_Allocation_New,0,MATCH($C$107,Unit_codes,0))&gt;0,ROW(equipment_ID)),ROW('2.2-Equipment input'!B35))))</f>
        <v>N/A</v>
      </c>
      <c r="C186" s="76" t="str">
        <f>IF($B186="N/A","N/A",INDEX(Equipment_name[],MATCH(B186,equipment_ID,0)))</f>
        <v>N/A</v>
      </c>
      <c r="D186" s="277" t="str">
        <f t="shared" si="19"/>
        <v>N/A</v>
      </c>
      <c r="E186" s="94" t="str">
        <f t="shared" si="20"/>
        <v>N/A</v>
      </c>
      <c r="F186" s="94" t="str">
        <f t="shared" si="21"/>
        <v>N/A</v>
      </c>
      <c r="G186" s="94" t="str">
        <f t="shared" si="22"/>
        <v>N/A</v>
      </c>
      <c r="H186" s="277" t="str">
        <f>IFERROR(IF($B186="N/A","N/A",IF(MOD(COLUMNS(H$151:$H$151)-1,$E186)=0,$F186*$D186*$G186,)),)</f>
        <v>N/A</v>
      </c>
      <c r="I186" s="277" t="str">
        <f>IFERROR(IF($B186="N/A","N/A",IF(MOD(COLUMNS($H$151:I$151)-1,$E186)=0,$F186*$D186*$G186,)),)</f>
        <v>N/A</v>
      </c>
      <c r="J186" s="277" t="str">
        <f>IFERROR(IF($B186="N/A","N/A",IF(MOD(COLUMNS($H$151:J$151)-1,$E186)=0,$F186*$D186*$G186,)),)</f>
        <v>N/A</v>
      </c>
      <c r="K186" s="277" t="str">
        <f>IFERROR(IF($B186="N/A","N/A",IF(MOD(COLUMNS($H$151:K$151)-1,$E186)=0,$F186*$D186*$G186,)),)</f>
        <v>N/A</v>
      </c>
      <c r="L186" s="277" t="str">
        <f>IFERROR(IF($B186="N/A","N/A",IF(MOD(COLUMNS($H$151:L$151)-1,$E186)=0,$F186*$D186*$G186,)),)</f>
        <v>N/A</v>
      </c>
      <c r="M186" s="277" t="str">
        <f>IFERROR(IF($B186="N/A","N/A",IF(MOD(COLUMNS($H$151:M$151)-1,$E186)=0,$F186*$D186*$G186,)),)</f>
        <v>N/A</v>
      </c>
      <c r="N186" s="277" t="str">
        <f>IFERROR(IF($B186="N/A","N/A",IF(MOD(COLUMNS($H$151:N$151)-1,$E186)=0,$F186*$D186*$G186,)),)</f>
        <v>N/A</v>
      </c>
      <c r="O186" s="277" t="str">
        <f>IFERROR(IF($B186="N/A","N/A",IF(MOD(COLUMNS($H$151:O$151)-1,$E186)=0,$F186*$D186*$G186,)),)</f>
        <v>N/A</v>
      </c>
      <c r="P186" s="277" t="str">
        <f>IFERROR(IF($B186="N/A","N/A",IF(MOD(COLUMNS($H$151:P$151)-1,$E186)=0,$F186*$D186*$G186,)),)</f>
        <v>N/A</v>
      </c>
      <c r="Q186" s="277" t="str">
        <f>IFERROR(IF($B186="N/A","N/A",IF(MOD(COLUMNS($H$151:Q$151)-1,$E186)=0,$F186*$D186*$G186,)),)</f>
        <v>N/A</v>
      </c>
      <c r="R186" s="277" t="str">
        <f>IFERROR(IF($B186="N/A","N/A",IF(MOD(COLUMNS($H$151:R$151)-1,$E186)=0,$F186*$D186*$G186,)),)</f>
        <v>N/A</v>
      </c>
      <c r="S186" s="277" t="str">
        <f>IFERROR(IF($B186="N/A","N/A",IF(MOD(COLUMNS($H$151:S$151)-1,$E186)=0,$F186*$D186*$G186,)),)</f>
        <v>N/A</v>
      </c>
      <c r="T186" s="277" t="str">
        <f>IFERROR(IF($B186="N/A","N/A",IF(MOD(COLUMNS($H$151:T$151)-1,$E186)=0,$F186*$D186*$G186,)),)</f>
        <v>N/A</v>
      </c>
      <c r="U186" s="277" t="str">
        <f>IFERROR(IF($B186="N/A","N/A",IF(MOD(COLUMNS($H$151:U$151)-1,$E186)=0,$F186*$D186*$G186,)),)</f>
        <v>N/A</v>
      </c>
      <c r="V186" s="277" t="str">
        <f>IFERROR(IF($B186="N/A","N/A",IF(MOD(COLUMNS($H$151:V$151)-1,$E186)=0,$F186*$D186*$G186,)),)</f>
        <v>N/A</v>
      </c>
      <c r="W186" s="277" t="str">
        <f>IFERROR(IF($B186="N/A","N/A",IF(MOD(COLUMNS($H$151:W$151)-1,$E186)=0,$F186*$D186*$G186,)),)</f>
        <v>N/A</v>
      </c>
    </row>
    <row r="187" spans="2:23">
      <c r="B187" s="76" t="str">
        <f t="array" ref="B187">IF(COUNTIFS(INDEX(Equipment_Allocation_New,0,MATCH($C$107,Unit_codes,0)),"&gt;0")&lt;ROWS('2.2-Equipment input'!$X$8:$X43),"N/A",INDEX('2.2-Equipment input'!B:B,SMALL(IF(INDEX(Equipment_Allocation_New,0,MATCH($C$107,Unit_codes,0))&gt;0,ROW(equipment_ID)),ROW('2.2-Equipment input'!B36))))</f>
        <v>N/A</v>
      </c>
      <c r="C187" s="76" t="str">
        <f>IF($B187="N/A","N/A",INDEX(Equipment_name[],MATCH(B187,equipment_ID,0)))</f>
        <v>N/A</v>
      </c>
      <c r="D187" s="277" t="str">
        <f t="shared" si="19"/>
        <v>N/A</v>
      </c>
      <c r="E187" s="94" t="str">
        <f t="shared" si="20"/>
        <v>N/A</v>
      </c>
      <c r="F187" s="94" t="str">
        <f t="shared" si="21"/>
        <v>N/A</v>
      </c>
      <c r="G187" s="94" t="str">
        <f t="shared" si="22"/>
        <v>N/A</v>
      </c>
      <c r="H187" s="277" t="str">
        <f>IFERROR(IF($B187="N/A","N/A",IF(MOD(COLUMNS(H$151:$H$151)-1,$E187)=0,$F187*$D187*$G187,)),)</f>
        <v>N/A</v>
      </c>
      <c r="I187" s="277" t="str">
        <f>IFERROR(IF($B187="N/A","N/A",IF(MOD(COLUMNS($H$151:I$151)-1,$E187)=0,$F187*$D187*$G187,)),)</f>
        <v>N/A</v>
      </c>
      <c r="J187" s="277" t="str">
        <f>IFERROR(IF($B187="N/A","N/A",IF(MOD(COLUMNS($H$151:J$151)-1,$E187)=0,$F187*$D187*$G187,)),)</f>
        <v>N/A</v>
      </c>
      <c r="K187" s="277" t="str">
        <f>IFERROR(IF($B187="N/A","N/A",IF(MOD(COLUMNS($H$151:K$151)-1,$E187)=0,$F187*$D187*$G187,)),)</f>
        <v>N/A</v>
      </c>
      <c r="L187" s="277" t="str">
        <f>IFERROR(IF($B187="N/A","N/A",IF(MOD(COLUMNS($H$151:L$151)-1,$E187)=0,$F187*$D187*$G187,)),)</f>
        <v>N/A</v>
      </c>
      <c r="M187" s="277" t="str">
        <f>IFERROR(IF($B187="N/A","N/A",IF(MOD(COLUMNS($H$151:M$151)-1,$E187)=0,$F187*$D187*$G187,)),)</f>
        <v>N/A</v>
      </c>
      <c r="N187" s="277" t="str">
        <f>IFERROR(IF($B187="N/A","N/A",IF(MOD(COLUMNS($H$151:N$151)-1,$E187)=0,$F187*$D187*$G187,)),)</f>
        <v>N/A</v>
      </c>
      <c r="O187" s="277" t="str">
        <f>IFERROR(IF($B187="N/A","N/A",IF(MOD(COLUMNS($H$151:O$151)-1,$E187)=0,$F187*$D187*$G187,)),)</f>
        <v>N/A</v>
      </c>
      <c r="P187" s="277" t="str">
        <f>IFERROR(IF($B187="N/A","N/A",IF(MOD(COLUMNS($H$151:P$151)-1,$E187)=0,$F187*$D187*$G187,)),)</f>
        <v>N/A</v>
      </c>
      <c r="Q187" s="277" t="str">
        <f>IFERROR(IF($B187="N/A","N/A",IF(MOD(COLUMNS($H$151:Q$151)-1,$E187)=0,$F187*$D187*$G187,)),)</f>
        <v>N/A</v>
      </c>
      <c r="R187" s="277" t="str">
        <f>IFERROR(IF($B187="N/A","N/A",IF(MOD(COLUMNS($H$151:R$151)-1,$E187)=0,$F187*$D187*$G187,)),)</f>
        <v>N/A</v>
      </c>
      <c r="S187" s="277" t="str">
        <f>IFERROR(IF($B187="N/A","N/A",IF(MOD(COLUMNS($H$151:S$151)-1,$E187)=0,$F187*$D187*$G187,)),)</f>
        <v>N/A</v>
      </c>
      <c r="T187" s="277" t="str">
        <f>IFERROR(IF($B187="N/A","N/A",IF(MOD(COLUMNS($H$151:T$151)-1,$E187)=0,$F187*$D187*$G187,)),)</f>
        <v>N/A</v>
      </c>
      <c r="U187" s="277" t="str">
        <f>IFERROR(IF($B187="N/A","N/A",IF(MOD(COLUMNS($H$151:U$151)-1,$E187)=0,$F187*$D187*$G187,)),)</f>
        <v>N/A</v>
      </c>
      <c r="V187" s="277" t="str">
        <f>IFERROR(IF($B187="N/A","N/A",IF(MOD(COLUMNS($H$151:V$151)-1,$E187)=0,$F187*$D187*$G187,)),)</f>
        <v>N/A</v>
      </c>
      <c r="W187" s="277" t="str">
        <f>IFERROR(IF($B187="N/A","N/A",IF(MOD(COLUMNS($H$151:W$151)-1,$E187)=0,$F187*$D187*$G187,)),)</f>
        <v>N/A</v>
      </c>
    </row>
    <row r="188" spans="2:23">
      <c r="B188" s="76" t="str">
        <f t="array" ref="B188">IF(COUNTIFS(INDEX(Equipment_Allocation_New,0,MATCH($C$107,Unit_codes,0)),"&gt;0")&lt;ROWS('2.2-Equipment input'!$X$8:$X44),"N/A",INDEX('2.2-Equipment input'!B:B,SMALL(IF(INDEX(Equipment_Allocation_New,0,MATCH($C$107,Unit_codes,0))&gt;0,ROW(equipment_ID)),ROW('2.2-Equipment input'!B37))))</f>
        <v>N/A</v>
      </c>
      <c r="C188" s="76" t="str">
        <f>IF($B188="N/A","N/A",INDEX(Equipment_name[],MATCH(B188,equipment_ID,0)))</f>
        <v>N/A</v>
      </c>
      <c r="D188" s="277" t="str">
        <f t="shared" si="19"/>
        <v>N/A</v>
      </c>
      <c r="E188" s="94" t="str">
        <f t="shared" si="20"/>
        <v>N/A</v>
      </c>
      <c r="F188" s="94" t="str">
        <f t="shared" si="21"/>
        <v>N/A</v>
      </c>
      <c r="G188" s="94" t="str">
        <f t="shared" si="22"/>
        <v>N/A</v>
      </c>
      <c r="H188" s="277" t="str">
        <f>IFERROR(IF($B188="N/A","N/A",IF(MOD(COLUMNS(H$151:$H$151)-1,$E188)=0,$F188*$D188*$G188,)),)</f>
        <v>N/A</v>
      </c>
      <c r="I188" s="277" t="str">
        <f>IFERROR(IF($B188="N/A","N/A",IF(MOD(COLUMNS($H$151:I$151)-1,$E188)=0,$F188*$D188*$G188,)),)</f>
        <v>N/A</v>
      </c>
      <c r="J188" s="277" t="str">
        <f>IFERROR(IF($B188="N/A","N/A",IF(MOD(COLUMNS($H$151:J$151)-1,$E188)=0,$F188*$D188*$G188,)),)</f>
        <v>N/A</v>
      </c>
      <c r="K188" s="277" t="str">
        <f>IFERROR(IF($B188="N/A","N/A",IF(MOD(COLUMNS($H$151:K$151)-1,$E188)=0,$F188*$D188*$G188,)),)</f>
        <v>N/A</v>
      </c>
      <c r="L188" s="277" t="str">
        <f>IFERROR(IF($B188="N/A","N/A",IF(MOD(COLUMNS($H$151:L$151)-1,$E188)=0,$F188*$D188*$G188,)),)</f>
        <v>N/A</v>
      </c>
      <c r="M188" s="277" t="str">
        <f>IFERROR(IF($B188="N/A","N/A",IF(MOD(COLUMNS($H$151:M$151)-1,$E188)=0,$F188*$D188*$G188,)),)</f>
        <v>N/A</v>
      </c>
      <c r="N188" s="277" t="str">
        <f>IFERROR(IF($B188="N/A","N/A",IF(MOD(COLUMNS($H$151:N$151)-1,$E188)=0,$F188*$D188*$G188,)),)</f>
        <v>N/A</v>
      </c>
      <c r="O188" s="277" t="str">
        <f>IFERROR(IF($B188="N/A","N/A",IF(MOD(COLUMNS($H$151:O$151)-1,$E188)=0,$F188*$D188*$G188,)),)</f>
        <v>N/A</v>
      </c>
      <c r="P188" s="277" t="str">
        <f>IFERROR(IF($B188="N/A","N/A",IF(MOD(COLUMNS($H$151:P$151)-1,$E188)=0,$F188*$D188*$G188,)),)</f>
        <v>N/A</v>
      </c>
      <c r="Q188" s="277" t="str">
        <f>IFERROR(IF($B188="N/A","N/A",IF(MOD(COLUMNS($H$151:Q$151)-1,$E188)=0,$F188*$D188*$G188,)),)</f>
        <v>N/A</v>
      </c>
      <c r="R188" s="277" t="str">
        <f>IFERROR(IF($B188="N/A","N/A",IF(MOD(COLUMNS($H$151:R$151)-1,$E188)=0,$F188*$D188*$G188,)),)</f>
        <v>N/A</v>
      </c>
      <c r="S188" s="277" t="str">
        <f>IFERROR(IF($B188="N/A","N/A",IF(MOD(COLUMNS($H$151:S$151)-1,$E188)=0,$F188*$D188*$G188,)),)</f>
        <v>N/A</v>
      </c>
      <c r="T188" s="277" t="str">
        <f>IFERROR(IF($B188="N/A","N/A",IF(MOD(COLUMNS($H$151:T$151)-1,$E188)=0,$F188*$D188*$G188,)),)</f>
        <v>N/A</v>
      </c>
      <c r="U188" s="277" t="str">
        <f>IFERROR(IF($B188="N/A","N/A",IF(MOD(COLUMNS($H$151:U$151)-1,$E188)=0,$F188*$D188*$G188,)),)</f>
        <v>N/A</v>
      </c>
      <c r="V188" s="277" t="str">
        <f>IFERROR(IF($B188="N/A","N/A",IF(MOD(COLUMNS($H$151:V$151)-1,$E188)=0,$F188*$D188*$G188,)),)</f>
        <v>N/A</v>
      </c>
      <c r="W188" s="277" t="str">
        <f>IFERROR(IF($B188="N/A","N/A",IF(MOD(COLUMNS($H$151:W$151)-1,$E188)=0,$F188*$D188*$G188,)),)</f>
        <v>N/A</v>
      </c>
    </row>
    <row r="189" spans="2:23">
      <c r="B189" s="76" t="str">
        <f t="array" ref="B189">IF(COUNTIFS(INDEX(Equipment_Allocation_New,0,MATCH($C$107,Unit_codes,0)),"&gt;0")&lt;ROWS('2.2-Equipment input'!$X$8:$X45),"N/A",INDEX('2.2-Equipment input'!B:B,SMALL(IF(INDEX(Equipment_Allocation_New,0,MATCH($C$107,Unit_codes,0))&gt;0,ROW(equipment_ID)),ROW('2.2-Equipment input'!B38))))</f>
        <v>N/A</v>
      </c>
      <c r="C189" s="76" t="str">
        <f>IF($B189="N/A","N/A",INDEX(Equipment_name[],MATCH(B189,equipment_ID,0)))</f>
        <v>N/A</v>
      </c>
      <c r="D189" s="277" t="str">
        <f t="shared" si="19"/>
        <v>N/A</v>
      </c>
      <c r="E189" s="94" t="str">
        <f t="shared" si="20"/>
        <v>N/A</v>
      </c>
      <c r="F189" s="94" t="str">
        <f t="shared" si="21"/>
        <v>N/A</v>
      </c>
      <c r="G189" s="94" t="str">
        <f t="shared" si="22"/>
        <v>N/A</v>
      </c>
      <c r="H189" s="277" t="str">
        <f>IFERROR(IF($B189="N/A","N/A",IF(MOD(COLUMNS(H$151:$H$151)-1,$E189)=0,$F189*$D189*$G189,)),)</f>
        <v>N/A</v>
      </c>
      <c r="I189" s="277" t="str">
        <f>IFERROR(IF($B189="N/A","N/A",IF(MOD(COLUMNS($H$151:I$151)-1,$E189)=0,$F189*$D189*$G189,)),)</f>
        <v>N/A</v>
      </c>
      <c r="J189" s="277" t="str">
        <f>IFERROR(IF($B189="N/A","N/A",IF(MOD(COLUMNS($H$151:J$151)-1,$E189)=0,$F189*$D189*$G189,)),)</f>
        <v>N/A</v>
      </c>
      <c r="K189" s="277" t="str">
        <f>IFERROR(IF($B189="N/A","N/A",IF(MOD(COLUMNS($H$151:K$151)-1,$E189)=0,$F189*$D189*$G189,)),)</f>
        <v>N/A</v>
      </c>
      <c r="L189" s="277" t="str">
        <f>IFERROR(IF($B189="N/A","N/A",IF(MOD(COLUMNS($H$151:L$151)-1,$E189)=0,$F189*$D189*$G189,)),)</f>
        <v>N/A</v>
      </c>
      <c r="M189" s="277" t="str">
        <f>IFERROR(IF($B189="N/A","N/A",IF(MOD(COLUMNS($H$151:M$151)-1,$E189)=0,$F189*$D189*$G189,)),)</f>
        <v>N/A</v>
      </c>
      <c r="N189" s="277" t="str">
        <f>IFERROR(IF($B189="N/A","N/A",IF(MOD(COLUMNS($H$151:N$151)-1,$E189)=0,$F189*$D189*$G189,)),)</f>
        <v>N/A</v>
      </c>
      <c r="O189" s="277" t="str">
        <f>IFERROR(IF($B189="N/A","N/A",IF(MOD(COLUMNS($H$151:O$151)-1,$E189)=0,$F189*$D189*$G189,)),)</f>
        <v>N/A</v>
      </c>
      <c r="P189" s="277" t="str">
        <f>IFERROR(IF($B189="N/A","N/A",IF(MOD(COLUMNS($H$151:P$151)-1,$E189)=0,$F189*$D189*$G189,)),)</f>
        <v>N/A</v>
      </c>
      <c r="Q189" s="277" t="str">
        <f>IFERROR(IF($B189="N/A","N/A",IF(MOD(COLUMNS($H$151:Q$151)-1,$E189)=0,$F189*$D189*$G189,)),)</f>
        <v>N/A</v>
      </c>
      <c r="R189" s="277" t="str">
        <f>IFERROR(IF($B189="N/A","N/A",IF(MOD(COLUMNS($H$151:R$151)-1,$E189)=0,$F189*$D189*$G189,)),)</f>
        <v>N/A</v>
      </c>
      <c r="S189" s="277" t="str">
        <f>IFERROR(IF($B189="N/A","N/A",IF(MOD(COLUMNS($H$151:S$151)-1,$E189)=0,$F189*$D189*$G189,)),)</f>
        <v>N/A</v>
      </c>
      <c r="T189" s="277" t="str">
        <f>IFERROR(IF($B189="N/A","N/A",IF(MOD(COLUMNS($H$151:T$151)-1,$E189)=0,$F189*$D189*$G189,)),)</f>
        <v>N/A</v>
      </c>
      <c r="U189" s="277" t="str">
        <f>IFERROR(IF($B189="N/A","N/A",IF(MOD(COLUMNS($H$151:U$151)-1,$E189)=0,$F189*$D189*$G189,)),)</f>
        <v>N/A</v>
      </c>
      <c r="V189" s="277" t="str">
        <f>IFERROR(IF($B189="N/A","N/A",IF(MOD(COLUMNS($H$151:V$151)-1,$E189)=0,$F189*$D189*$G189,)),)</f>
        <v>N/A</v>
      </c>
      <c r="W189" s="277" t="str">
        <f>IFERROR(IF($B189="N/A","N/A",IF(MOD(COLUMNS($H$151:W$151)-1,$E189)=0,$F189*$D189*$G189,)),)</f>
        <v>N/A</v>
      </c>
    </row>
  </sheetData>
  <sheetProtection algorithmName="SHA-512" hashValue="8D4AQlVMFBzPKwIl21ya+pq1wZSUhFGwqt7NfWgUcwGfUZK+kQmiIHC60B7uQbi/8S70KqtuxkLgJ/fuGMjvDg==" saltValue="mprUtW7S/jJIDp4gcwotDA==" spinCount="100000" sheet="1" objects="1" scenarios="1"/>
  <mergeCells count="7">
    <mergeCell ref="C80:D80"/>
    <mergeCell ref="B43:D43"/>
    <mergeCell ref="I43:K43"/>
    <mergeCell ref="B33:D33"/>
    <mergeCell ref="C48:D48"/>
    <mergeCell ref="C49:D49"/>
    <mergeCell ref="C79:D79"/>
  </mergeCells>
  <conditionalFormatting sqref="B84:B103">
    <cfRule type="containsText" dxfId="116" priority="105" operator="containsText" text="N/A">
      <formula>NOT(ISERROR(SEARCH("N/A",B84)))</formula>
    </cfRule>
  </conditionalFormatting>
  <conditionalFormatting sqref="F152:F189">
    <cfRule type="containsText" dxfId="115" priority="83" operator="containsText" text="N/A">
      <formula>NOT(ISERROR(SEARCH("N/A",F152)))</formula>
    </cfRule>
  </conditionalFormatting>
  <conditionalFormatting sqref="B110:C147">
    <cfRule type="containsText" dxfId="114" priority="101" operator="containsText" text="N/A">
      <formula>NOT(ISERROR(SEARCH("N/A",B110)))</formula>
    </cfRule>
  </conditionalFormatting>
  <conditionalFormatting sqref="E110:E147">
    <cfRule type="containsText" dxfId="113" priority="100" operator="containsText" text="N/A">
      <formula>NOT(ISERROR(SEARCH("N/A",E110)))</formula>
    </cfRule>
  </conditionalFormatting>
  <conditionalFormatting sqref="B52:B74 E52:E74">
    <cfRule type="containsText" dxfId="112" priority="99" operator="containsText" text="N/A">
      <formula>NOT(ISERROR(SEARCH("N/A",B52)))</formula>
    </cfRule>
  </conditionalFormatting>
  <conditionalFormatting sqref="C52:C74">
    <cfRule type="containsText" dxfId="111" priority="98" operator="containsText" text="N/A">
      <formula>NOT(ISERROR(SEARCH("N/A",C52)))</formula>
    </cfRule>
  </conditionalFormatting>
  <conditionalFormatting sqref="F52:F74">
    <cfRule type="containsText" dxfId="110" priority="96" operator="containsText" text="N/A">
      <formula>NOT(ISERROR(SEARCH("N/A",F52)))</formula>
    </cfRule>
  </conditionalFormatting>
  <conditionalFormatting sqref="B83 E83:E103">
    <cfRule type="containsText" dxfId="109" priority="95" operator="containsText" text="N/A">
      <formula>NOT(ISERROR(SEARCH("N/A",B83)))</formula>
    </cfRule>
  </conditionalFormatting>
  <conditionalFormatting sqref="C83:C103">
    <cfRule type="containsText" dxfId="108" priority="94" operator="containsText" text="N/A">
      <formula>NOT(ISERROR(SEARCH("N/A",C83)))</formula>
    </cfRule>
  </conditionalFormatting>
  <conditionalFormatting sqref="F83:F103">
    <cfRule type="containsText" dxfId="107" priority="92" operator="containsText" text="N/A">
      <formula>NOT(ISERROR(SEARCH("N/A",F83)))</formula>
    </cfRule>
  </conditionalFormatting>
  <conditionalFormatting sqref="B20:D31">
    <cfRule type="containsText" dxfId="106" priority="91" operator="containsText" text="N/A">
      <formula>NOT(ISERROR(SEARCH("N/A",B20)))</formula>
    </cfRule>
  </conditionalFormatting>
  <conditionalFormatting sqref="G110:G147">
    <cfRule type="containsText" dxfId="105" priority="90" operator="containsText" text="N/A">
      <formula>NOT(ISERROR(SEARCH("N/A",G110)))</formula>
    </cfRule>
  </conditionalFormatting>
  <conditionalFormatting sqref="I110:I147">
    <cfRule type="containsText" dxfId="104" priority="89" operator="containsText" text="N/A">
      <formula>NOT(ISERROR(SEARCH("N/A",I110)))</formula>
    </cfRule>
  </conditionalFormatting>
  <conditionalFormatting sqref="K110:K147">
    <cfRule type="containsText" dxfId="103" priority="88" operator="containsText" text="N/A">
      <formula>NOT(ISERROR(SEARCH("N/A",K110)))</formula>
    </cfRule>
  </conditionalFormatting>
  <conditionalFormatting sqref="F110:F147">
    <cfRule type="containsText" dxfId="102" priority="87" operator="containsText" text="N/A">
      <formula>NOT(ISERROR(SEARCH("N/A",F110)))</formula>
    </cfRule>
  </conditionalFormatting>
  <conditionalFormatting sqref="B152:B189">
    <cfRule type="containsText" dxfId="101" priority="85" operator="containsText" text="N/A">
      <formula>NOT(ISERROR(SEARCH("N/A",B152)))</formula>
    </cfRule>
  </conditionalFormatting>
  <conditionalFormatting sqref="C152:C189">
    <cfRule type="containsText" dxfId="100" priority="84" operator="containsText" text="N/A">
      <formula>NOT(ISERROR(SEARCH("N/A",C152)))</formula>
    </cfRule>
  </conditionalFormatting>
  <conditionalFormatting sqref="E152:E189">
    <cfRule type="containsText" dxfId="99" priority="81" operator="containsText" text="N/A">
      <formula>NOT(ISERROR(SEARCH("N/A",E152)))</formula>
    </cfRule>
  </conditionalFormatting>
  <conditionalFormatting sqref="O110:O147">
    <cfRule type="containsText" dxfId="98" priority="72" operator="containsText" text="N/A">
      <formula>NOT(ISERROR(SEARCH("N/A",O110)))</formula>
    </cfRule>
  </conditionalFormatting>
  <conditionalFormatting sqref="H153:W189 I152:W152">
    <cfRule type="containsText" dxfId="97" priority="78" operator="containsText" text="N/A">
      <formula>NOT(ISERROR(SEARCH("N/A",H152)))</formula>
    </cfRule>
  </conditionalFormatting>
  <conditionalFormatting sqref="G152:G189">
    <cfRule type="containsText" dxfId="96" priority="75" operator="containsText" text="N/A">
      <formula>NOT(ISERROR(SEARCH("N/A",G152)))</formula>
    </cfRule>
  </conditionalFormatting>
  <conditionalFormatting sqref="E20:E31">
    <cfRule type="containsText" dxfId="95" priority="73" operator="containsText" text="N/A">
      <formula>NOT(ISERROR(SEARCH("N/A",E20)))</formula>
    </cfRule>
  </conditionalFormatting>
  <conditionalFormatting sqref="F39:F41">
    <cfRule type="expression" dxfId="94" priority="66">
      <formula>IF(INDIRECT("General_Currency_Selection")="CHF",TRUE)</formula>
    </cfRule>
    <cfRule type="expression" dxfId="93" priority="67">
      <formula>IF(INDIRECT("General_Currency_Selection")="EUR",TRUE)</formula>
    </cfRule>
    <cfRule type="expression" dxfId="92" priority="68">
      <formula>IF(INDIRECT("General_Currency_Selection")="USD",TRUE)</formula>
    </cfRule>
  </conditionalFormatting>
  <conditionalFormatting sqref="E39:E41">
    <cfRule type="expression" dxfId="91" priority="63">
      <formula>IF(INDIRECT("General_Currency_Selection")="CHF",TRUE)</formula>
    </cfRule>
    <cfRule type="expression" dxfId="90" priority="64">
      <formula>IF(INDIRECT("General_Currency_Selection")="EUR",TRUE)</formula>
    </cfRule>
    <cfRule type="expression" dxfId="89" priority="65">
      <formula>IF(INDIRECT("General_Currency_Selection")="USD",TRUE)</formula>
    </cfRule>
  </conditionalFormatting>
  <conditionalFormatting sqref="E43:F43">
    <cfRule type="expression" dxfId="88" priority="60">
      <formula>IF(INDIRECT("General_Currency_Selection")="CHF",TRUE)</formula>
    </cfRule>
    <cfRule type="expression" dxfId="87" priority="61">
      <formula>IF(INDIRECT("General_Currency_Selection")="EUR",TRUE)</formula>
    </cfRule>
    <cfRule type="expression" dxfId="86" priority="62">
      <formula>IF(INDIRECT("General_Currency_Selection")="USD",TRUE)</formula>
    </cfRule>
  </conditionalFormatting>
  <conditionalFormatting sqref="G35">
    <cfRule type="expression" dxfId="85" priority="57">
      <formula>IF(INDIRECT("General_Currency_Selection")="CHF",TRUE)</formula>
    </cfRule>
    <cfRule type="expression" dxfId="84" priority="58">
      <formula>IF(INDIRECT("General_Currency_Selection")="EUR",TRUE)</formula>
    </cfRule>
    <cfRule type="expression" dxfId="83" priority="59">
      <formula>IF(INDIRECT("General_Currency_Selection")="USD",TRUE)</formula>
    </cfRule>
  </conditionalFormatting>
  <conditionalFormatting sqref="G15">
    <cfRule type="expression" dxfId="82" priority="54">
      <formula>IF(INDIRECT("General_Currency_Selection")="CHF",TRUE)</formula>
    </cfRule>
    <cfRule type="expression" dxfId="81" priority="55">
      <formula>IF(INDIRECT("General_Currency_Selection")="EUR",TRUE)</formula>
    </cfRule>
    <cfRule type="expression" dxfId="80" priority="56">
      <formula>IF(INDIRECT("General_Currency_Selection")="USD",TRUE)</formula>
    </cfRule>
  </conditionalFormatting>
  <conditionalFormatting sqref="G45">
    <cfRule type="expression" dxfId="79" priority="51">
      <formula>IF(INDIRECT("General_Currency_Selection")="CHF",TRUE)</formula>
    </cfRule>
    <cfRule type="expression" dxfId="78" priority="52">
      <formula>IF(INDIRECT("General_Currency_Selection")="EUR",TRUE)</formula>
    </cfRule>
    <cfRule type="expression" dxfId="77" priority="53">
      <formula>IF(INDIRECT("General_Currency_Selection")="USD",TRUE)</formula>
    </cfRule>
  </conditionalFormatting>
  <conditionalFormatting sqref="F20:F31">
    <cfRule type="expression" dxfId="76" priority="48">
      <formula>IF(INDIRECT("General_Currency_Selection")="CHF",TRUE)</formula>
    </cfRule>
    <cfRule type="expression" dxfId="75" priority="49">
      <formula>IF(INDIRECT("General_Currency_Selection")="EUR",TRUE)</formula>
    </cfRule>
    <cfRule type="expression" dxfId="74" priority="50">
      <formula>IF(INDIRECT("General_Currency_Selection")="USD",TRUE)</formula>
    </cfRule>
  </conditionalFormatting>
  <conditionalFormatting sqref="E33">
    <cfRule type="expression" dxfId="73" priority="45">
      <formula>IF(INDIRECT("General_Currency_Selection")="CHF",TRUE)</formula>
    </cfRule>
    <cfRule type="expression" dxfId="72" priority="46">
      <formula>IF(INDIRECT("General_Currency_Selection")="EUR",TRUE)</formula>
    </cfRule>
    <cfRule type="expression" dxfId="71" priority="47">
      <formula>IF(INDIRECT("General_Currency_Selection")="USD",TRUE)</formula>
    </cfRule>
  </conditionalFormatting>
  <conditionalFormatting sqref="D52:D74">
    <cfRule type="expression" dxfId="70" priority="42">
      <formula>IF(INDIRECT("General_Currency_Selection")="CHF",TRUE)</formula>
    </cfRule>
    <cfRule type="expression" dxfId="69" priority="43">
      <formula>IF(INDIRECT("General_Currency_Selection")="EUR",TRUE)</formula>
    </cfRule>
    <cfRule type="expression" dxfId="68" priority="44">
      <formula>IF(INDIRECT("General_Currency_Selection")="USD",TRUE)</formula>
    </cfRule>
  </conditionalFormatting>
  <conditionalFormatting sqref="G52:G74">
    <cfRule type="expression" dxfId="67" priority="39">
      <formula>IF(INDIRECT("General_Currency_Selection")="CHF",TRUE)</formula>
    </cfRule>
    <cfRule type="expression" dxfId="66" priority="40">
      <formula>IF(INDIRECT("General_Currency_Selection")="EUR",TRUE)</formula>
    </cfRule>
    <cfRule type="expression" dxfId="65" priority="41">
      <formula>IF(INDIRECT("General_Currency_Selection")="USD",TRUE)</formula>
    </cfRule>
  </conditionalFormatting>
  <conditionalFormatting sqref="G76">
    <cfRule type="expression" dxfId="64" priority="36">
      <formula>IF(INDIRECT("General_Currency_Selection")="CHF",TRUE)</formula>
    </cfRule>
    <cfRule type="expression" dxfId="63" priority="37">
      <formula>IF(INDIRECT("General_Currency_Selection")="EUR",TRUE)</formula>
    </cfRule>
    <cfRule type="expression" dxfId="62" priority="38">
      <formula>IF(INDIRECT("General_Currency_Selection")="USD",TRUE)</formula>
    </cfRule>
  </conditionalFormatting>
  <conditionalFormatting sqref="D83:D103">
    <cfRule type="expression" dxfId="61" priority="33">
      <formula>IF(INDIRECT("General_Currency_Selection")="CHF",TRUE)</formula>
    </cfRule>
    <cfRule type="expression" dxfId="60" priority="34">
      <formula>IF(INDIRECT("General_Currency_Selection")="EUR",TRUE)</formula>
    </cfRule>
    <cfRule type="expression" dxfId="59" priority="35">
      <formula>IF(INDIRECT("General_Currency_Selection")="USD",TRUE)</formula>
    </cfRule>
  </conditionalFormatting>
  <conditionalFormatting sqref="G83:G103">
    <cfRule type="expression" dxfId="58" priority="30">
      <formula>IF(INDIRECT("General_Currency_Selection")="CHF",TRUE)</formula>
    </cfRule>
    <cfRule type="expression" dxfId="57" priority="31">
      <formula>IF(INDIRECT("General_Currency_Selection")="EUR",TRUE)</formula>
    </cfRule>
    <cfRule type="expression" dxfId="56" priority="32">
      <formula>IF(INDIRECT("General_Currency_Selection")="USD",TRUE)</formula>
    </cfRule>
  </conditionalFormatting>
  <conditionalFormatting sqref="G105">
    <cfRule type="expression" dxfId="55" priority="27">
      <formula>IF(INDIRECT("General_Currency_Selection")="CHF",TRUE)</formula>
    </cfRule>
    <cfRule type="expression" dxfId="54" priority="28">
      <formula>IF(INDIRECT("General_Currency_Selection")="EUR",TRUE)</formula>
    </cfRule>
    <cfRule type="expression" dxfId="53" priority="29">
      <formula>IF(INDIRECT("General_Currency_Selection")="USD",TRUE)</formula>
    </cfRule>
  </conditionalFormatting>
  <conditionalFormatting sqref="D110:D147">
    <cfRule type="expression" dxfId="52" priority="24">
      <formula>IF(INDIRECT("General_Currency_Selection")="CHF",TRUE)</formula>
    </cfRule>
    <cfRule type="expression" dxfId="51" priority="25">
      <formula>IF(INDIRECT("General_Currency_Selection")="EUR",TRUE)</formula>
    </cfRule>
    <cfRule type="expression" dxfId="50" priority="26">
      <formula>IF(INDIRECT("General_Currency_Selection")="USD",TRUE)</formula>
    </cfRule>
  </conditionalFormatting>
  <conditionalFormatting sqref="N110:N147">
    <cfRule type="expression" dxfId="49" priority="21">
      <formula>IF(INDIRECT("General_Currency_Selection")="CHF",TRUE)</formula>
    </cfRule>
    <cfRule type="expression" dxfId="48" priority="22">
      <formula>IF(INDIRECT("General_Currency_Selection")="EUR",TRUE)</formula>
    </cfRule>
    <cfRule type="expression" dxfId="47" priority="23">
      <formula>IF(INDIRECT("General_Currency_Selection")="USD",TRUE)</formula>
    </cfRule>
  </conditionalFormatting>
  <conditionalFormatting sqref="D152:D189">
    <cfRule type="expression" dxfId="46" priority="18">
      <formula>IF(INDIRECT("General_Currency_Selection")="CHF",TRUE)</formula>
    </cfRule>
    <cfRule type="expression" dxfId="45" priority="19">
      <formula>IF(INDIRECT("General_Currency_Selection")="EUR",TRUE)</formula>
    </cfRule>
    <cfRule type="expression" dxfId="44" priority="20">
      <formula>IF(INDIRECT("General_Currency_Selection")="USD",TRUE)</formula>
    </cfRule>
  </conditionalFormatting>
  <conditionalFormatting sqref="H149:W149">
    <cfRule type="expression" dxfId="43" priority="15">
      <formula>IF(INDIRECT("General_Currency_Selection")="CHF",TRUE)</formula>
    </cfRule>
    <cfRule type="expression" dxfId="42" priority="16">
      <formula>IF(INDIRECT("General_Currency_Selection")="EUR",TRUE)</formula>
    </cfRule>
    <cfRule type="expression" dxfId="41" priority="17">
      <formula>IF(INDIRECT("General_Currency_Selection")="USD",TRUE)</formula>
    </cfRule>
  </conditionalFormatting>
  <conditionalFormatting sqref="H152:W189">
    <cfRule type="expression" dxfId="40" priority="12">
      <formula>IF(INDIRECT("General_Currency_Selection")="CHF",TRUE)</formula>
    </cfRule>
    <cfRule type="expression" dxfId="39" priority="13">
      <formula>IF(INDIRECT("General_Currency_Selection")="EUR",TRUE)</formula>
    </cfRule>
    <cfRule type="expression" dxfId="38" priority="14">
      <formula>IF(INDIRECT("General_Currency_Selection")="USD",TRUE)</formula>
    </cfRule>
  </conditionalFormatting>
  <conditionalFormatting sqref="H110:H147">
    <cfRule type="expression" dxfId="37" priority="7">
      <formula>IF(INDIRECT("General_Currency_Selection")="CHF",TRUE)</formula>
    </cfRule>
    <cfRule type="expression" dxfId="36" priority="8">
      <formula>IF(INDIRECT("General_Currency_Selection")="EUR",TRUE)</formula>
    </cfRule>
    <cfRule type="expression" dxfId="35" priority="9">
      <formula>IF(INDIRECT("General_Currency_Selection")="USD",TRUE)</formula>
    </cfRule>
  </conditionalFormatting>
  <conditionalFormatting sqref="J110:J147">
    <cfRule type="expression" dxfId="34" priority="4">
      <formula>IF(INDIRECT("General_Currency_Selection")="CHF",TRUE)</formula>
    </cfRule>
    <cfRule type="expression" dxfId="33" priority="5">
      <formula>IF(INDIRECT("General_Currency_Selection")="EUR",TRUE)</formula>
    </cfRule>
    <cfRule type="expression" dxfId="32" priority="6">
      <formula>IF(INDIRECT("General_Currency_Selection")="USD",TRUE)</formula>
    </cfRule>
  </conditionalFormatting>
  <conditionalFormatting sqref="L110:L147">
    <cfRule type="expression" dxfId="31" priority="1">
      <formula>IF(INDIRECT("General_Currency_Selection")="CHF",TRUE)</formula>
    </cfRule>
    <cfRule type="expression" dxfId="30" priority="2">
      <formula>IF(INDIRECT("General_Currency_Selection")="EUR",TRUE)</formula>
    </cfRule>
    <cfRule type="expression" dxfId="29"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79998168889431442"/>
  </sheetPr>
  <dimension ref="B1:P98"/>
  <sheetViews>
    <sheetView zoomScale="90" zoomScaleNormal="90" workbookViewId="0">
      <selection activeCell="E39" sqref="E39"/>
    </sheetView>
  </sheetViews>
  <sheetFormatPr defaultColWidth="11.140625" defaultRowHeight="15"/>
  <cols>
    <col min="1" max="1" width="0.85546875" style="12" customWidth="1"/>
    <col min="2" max="2" width="21.7109375" style="12" customWidth="1"/>
    <col min="3" max="3" width="18.42578125" style="12" customWidth="1"/>
    <col min="4" max="4" width="21.5703125" style="12" bestFit="1" customWidth="1"/>
    <col min="5" max="5" width="18.85546875" style="12" customWidth="1"/>
    <col min="6" max="6" width="21.5703125" style="12" customWidth="1"/>
    <col min="7" max="7" width="19.42578125" style="12" bestFit="1" customWidth="1"/>
    <col min="8" max="16384" width="11.140625" style="12"/>
  </cols>
  <sheetData>
    <row r="1" spans="2:16" ht="21">
      <c r="B1" s="1" t="s">
        <v>199</v>
      </c>
      <c r="C1" s="6"/>
      <c r="D1" s="6"/>
      <c r="E1" s="6"/>
    </row>
    <row r="2" spans="2:16" ht="15.75" thickBot="1">
      <c r="F2" s="62"/>
      <c r="G2" s="62"/>
    </row>
    <row r="3" spans="2:16" ht="18.75">
      <c r="B3" s="111" t="s">
        <v>194</v>
      </c>
      <c r="C3" s="112"/>
      <c r="D3" s="85"/>
      <c r="E3" s="85"/>
      <c r="F3" s="148" t="s">
        <v>197</v>
      </c>
      <c r="G3" s="422">
        <f>SUMIF(G9:G31,("&lt;&gt;N/A"),G9:G31)</f>
        <v>4703.9999999999991</v>
      </c>
      <c r="H3" s="85"/>
      <c r="I3" s="85"/>
      <c r="J3" s="85"/>
      <c r="K3" s="85"/>
      <c r="L3" s="85"/>
      <c r="M3" s="85"/>
      <c r="N3" s="85"/>
      <c r="O3" s="85"/>
      <c r="P3" s="85"/>
    </row>
    <row r="4" spans="2:16" ht="15.75">
      <c r="B4" s="67" t="s">
        <v>80</v>
      </c>
    </row>
    <row r="5" spans="2:16" ht="15.75">
      <c r="B5" s="67" t="s">
        <v>81</v>
      </c>
    </row>
    <row r="6" spans="2:16">
      <c r="B6" s="105" t="s">
        <v>78</v>
      </c>
      <c r="C6" s="907" t="s">
        <v>135</v>
      </c>
      <c r="D6" s="907"/>
    </row>
    <row r="8" spans="2:16" ht="31.5">
      <c r="B8" s="99" t="s">
        <v>211</v>
      </c>
      <c r="C8" s="99" t="s">
        <v>5</v>
      </c>
      <c r="D8" s="99" t="s">
        <v>79</v>
      </c>
      <c r="E8" s="129" t="s">
        <v>233</v>
      </c>
      <c r="F8" s="99" t="s">
        <v>121</v>
      </c>
      <c r="G8" s="99" t="s">
        <v>122</v>
      </c>
    </row>
    <row r="9" spans="2:16">
      <c r="B9" s="77" t="str">
        <f t="array" ref="B9">IF(COUNTIFS(INDEX(Staff_Position_Allocation,0,MATCH($C$6,Unit_codes,0)),"&gt;0")&lt;ROWS('2.3-Staff input'!$I$5:$I5),"N/A",INDEX('2.3-Staff input'!B:B,SMALL(IF(INDEX(Staff_Position_Allocation,0,MATCH($C$6,Unit_codes,0))&gt;0,ROW(Staff_Position_ID)),ROW('2.3-Staff input'!B1))))</f>
        <v>pos003</v>
      </c>
      <c r="C9" s="77" t="str">
        <f>IF($B9="N/A","N/A",INDEX(Staff_position[],MATCH(B9,Staff_Position_ID,0)))</f>
        <v>Waste units manager</v>
      </c>
      <c r="D9" s="90">
        <f>IF($B9="N/A","N/A",INDEX(Staff_net_salary[],MATCH(B9,Staff_Position_ID,0)))</f>
        <v>3360</v>
      </c>
      <c r="E9" s="91">
        <f t="shared" ref="E9:E31" si="0">IF($B9="N/A","N/A",INDEX(Staff_number_of_employees,MATCH(B9,Staff_Position_ID,0)))</f>
        <v>1</v>
      </c>
      <c r="F9" s="92">
        <f t="shared" ref="F9:F31" si="1">IFERROR(INDEX(Staff_Position_Allocation,MATCH(B9,Staff_Position_ID),MATCH($C$6,Unit_codes,0)),"")</f>
        <v>0.1</v>
      </c>
      <c r="G9" s="209">
        <f>IFERROR(D9*E9*F9,"")</f>
        <v>336</v>
      </c>
    </row>
    <row r="10" spans="2:16">
      <c r="B10" s="77" t="str">
        <f t="array" ref="B10">IF(COUNTIFS(INDEX(Staff_Position_Allocation,0,MATCH($C$6,Unit_codes,0)),"&gt;0")&lt;ROWS('2.3-Staff input'!$I$5:$I6),"N/A",INDEX('2.3-Staff input'!B:B,SMALL(IF(INDEX(Staff_Position_Allocation,0,MATCH($C$6,Unit_codes,0))&gt;0,ROW(Staff_Position_ID)),ROW('2.3-Staff input'!B2))))</f>
        <v>pos004</v>
      </c>
      <c r="C10" s="77" t="str">
        <f>IF($B10="N/A","N/A",INDEX(Staff_position[],MATCH(B10,Staff_Position_ID,0)))</f>
        <v>Nursery manager</v>
      </c>
      <c r="D10" s="90">
        <f>IF($B10="N/A","N/A",INDEX(Staff_net_salary[],MATCH(B10,Staff_Position_ID,0)))</f>
        <v>3360</v>
      </c>
      <c r="E10" s="91">
        <f t="shared" si="0"/>
        <v>1</v>
      </c>
      <c r="F10" s="92">
        <f t="shared" si="1"/>
        <v>0.25</v>
      </c>
      <c r="G10" s="209">
        <f t="shared" ref="G10:G31" si="2">IFERROR(D10*E10*F10,"")</f>
        <v>840</v>
      </c>
    </row>
    <row r="11" spans="2:16">
      <c r="B11" s="77" t="e">
        <f t="array" ref="B11">IF(COUNTIFS(INDEX(Staff_Position_Allocation,0,MATCH($C$6,Unit_codes,0)),"&gt;0")&lt;ROWS('2.3-Staff input'!$I$5:$I7),"N/A",INDEX('2.3-Staff input'!B:B,SMALL(IF(INDEX(Staff_Position_Allocation,0,MATCH($C$6,Unit_codes,0))&gt;0,ROW(Staff_Position_ID)),ROW('2.3-Staff input'!#REF!))))</f>
        <v>#REF!</v>
      </c>
      <c r="C11" s="77" t="e">
        <f>IF($B11="N/A","N/A",INDEX(Staff_position[],MATCH(B11,Staff_Position_ID,0)))</f>
        <v>#REF!</v>
      </c>
      <c r="D11" s="90" t="e">
        <f>IF($B11="N/A","N/A",INDEX(Staff_net_salary[],MATCH(B11,Staff_Position_ID,0)))</f>
        <v>#REF!</v>
      </c>
      <c r="E11" s="91" t="e">
        <f t="shared" si="0"/>
        <v>#REF!</v>
      </c>
      <c r="F11" s="92" t="str">
        <f t="shared" si="1"/>
        <v/>
      </c>
      <c r="G11" s="209" t="str">
        <f t="shared" si="2"/>
        <v/>
      </c>
    </row>
    <row r="12" spans="2:16">
      <c r="B12" s="77" t="e">
        <f t="array" ref="B12">IF(COUNTIFS(INDEX(Staff_Position_Allocation,0,MATCH($C$6,Unit_codes,0)),"&gt;0")&lt;ROWS('2.3-Staff input'!$I$5:$I8),"N/A",INDEX('2.3-Staff input'!B:B,SMALL(IF(INDEX(Staff_Position_Allocation,0,MATCH($C$6,Unit_codes,0))&gt;0,ROW(Staff_Position_ID)),ROW('2.3-Staff input'!#REF!))))</f>
        <v>#REF!</v>
      </c>
      <c r="C12" s="77" t="e">
        <f>IF($B12="N/A","N/A",INDEX(Staff_position[],MATCH(B12,Staff_Position_ID,0)))</f>
        <v>#REF!</v>
      </c>
      <c r="D12" s="90" t="e">
        <f>IF($B12="N/A","N/A",INDEX(Staff_net_salary[],MATCH(B12,Staff_Position_ID,0)))</f>
        <v>#REF!</v>
      </c>
      <c r="E12" s="91" t="e">
        <f t="shared" si="0"/>
        <v>#REF!</v>
      </c>
      <c r="F12" s="92" t="str">
        <f t="shared" si="1"/>
        <v/>
      </c>
      <c r="G12" s="209" t="str">
        <f t="shared" si="2"/>
        <v/>
      </c>
    </row>
    <row r="13" spans="2:16">
      <c r="B13" s="77" t="str">
        <f t="array" ref="B13">IF(COUNTIFS(INDEX(Staff_Position_Allocation,0,MATCH($C$6,Unit_codes,0)),"&gt;0")&lt;ROWS('2.3-Staff input'!$I$5:$I9),"N/A",INDEX('2.3-Staff input'!B:B,SMALL(IF(INDEX(Staff_Position_Allocation,0,MATCH($C$6,Unit_codes,0))&gt;0,ROW(Staff_Position_ID)),ROW('2.3-Staff input'!B3))))</f>
        <v>pos005</v>
      </c>
      <c r="C13" s="77" t="str">
        <f>IF($B13="N/A","N/A",INDEX(Staff_position[],MATCH(B13,Staff_Position_ID,0)))</f>
        <v>Site manager</v>
      </c>
      <c r="D13" s="90">
        <f>IF($B13="N/A","N/A",INDEX(Staff_net_salary[],MATCH(B13,Staff_Position_ID,0)))</f>
        <v>5039.9999999999991</v>
      </c>
      <c r="E13" s="91">
        <f t="shared" si="0"/>
        <v>2</v>
      </c>
      <c r="F13" s="92">
        <f t="shared" si="1"/>
        <v>0.35</v>
      </c>
      <c r="G13" s="209">
        <f t="shared" si="2"/>
        <v>3527.9999999999991</v>
      </c>
    </row>
    <row r="14" spans="2:16">
      <c r="B14" s="77" t="str">
        <f t="array" ref="B14">IF(COUNTIFS(INDEX(Staff_Position_Allocation,0,MATCH($C$6,Unit_codes,0)),"&gt;0")&lt;ROWS('2.3-Staff input'!$I$5:$I10),"N/A",INDEX('2.3-Staff input'!B:B,SMALL(IF(INDEX(Staff_Position_Allocation,0,MATCH($C$6,Unit_codes,0))&gt;0,ROW(Staff_Position_ID)),ROW('2.3-Staff input'!B4))))</f>
        <v>N/A</v>
      </c>
      <c r="C14" s="77" t="str">
        <f>IF($B14="N/A","N/A",INDEX(Staff_position[],MATCH(B14,Staff_Position_ID,0)))</f>
        <v>N/A</v>
      </c>
      <c r="D14" s="90" t="str">
        <f>IF($B14="N/A","N/A",INDEX(Staff_net_salary[],MATCH(B14,Staff_Position_ID,0)))</f>
        <v>N/A</v>
      </c>
      <c r="E14" s="91" t="str">
        <f t="shared" si="0"/>
        <v>N/A</v>
      </c>
      <c r="F14" s="92" t="str">
        <f t="shared" si="1"/>
        <v/>
      </c>
      <c r="G14" s="209" t="str">
        <f t="shared" si="2"/>
        <v/>
      </c>
    </row>
    <row r="15" spans="2:16">
      <c r="B15" s="77" t="str">
        <f t="array" ref="B15">IF(COUNTIFS(INDEX(Staff_Position_Allocation,0,MATCH($C$6,Unit_codes,0)),"&gt;0")&lt;ROWS('2.3-Staff input'!$I$5:$I11),"N/A",INDEX('2.3-Staff input'!B:B,SMALL(IF(INDEX(Staff_Position_Allocation,0,MATCH($C$6,Unit_codes,0))&gt;0,ROW(Staff_Position_ID)),ROW('2.3-Staff input'!B5))))</f>
        <v>N/A</v>
      </c>
      <c r="C15" s="77" t="str">
        <f>IF($B15="N/A","N/A",INDEX(Staff_position[],MATCH(B15,Staff_Position_ID,0)))</f>
        <v>N/A</v>
      </c>
      <c r="D15" s="90" t="str">
        <f>IF($B15="N/A","N/A",INDEX(Staff_net_salary[],MATCH(B15,Staff_Position_ID,0)))</f>
        <v>N/A</v>
      </c>
      <c r="E15" s="91" t="str">
        <f t="shared" si="0"/>
        <v>N/A</v>
      </c>
      <c r="F15" s="92" t="str">
        <f t="shared" si="1"/>
        <v/>
      </c>
      <c r="G15" s="209" t="str">
        <f t="shared" si="2"/>
        <v/>
      </c>
    </row>
    <row r="16" spans="2:16">
      <c r="B16" s="77" t="str">
        <f t="array" ref="B16">IF(COUNTIFS(INDEX(Staff_Position_Allocation,0,MATCH($C$6,Unit_codes,0)),"&gt;0")&lt;ROWS('2.3-Staff input'!$I$5:$I12),"N/A",INDEX('2.3-Staff input'!B:B,SMALL(IF(INDEX(Staff_Position_Allocation,0,MATCH($C$6,Unit_codes,0))&gt;0,ROW(Staff_Position_ID)),ROW('2.3-Staff input'!B6))))</f>
        <v>N/A</v>
      </c>
      <c r="C16" s="77" t="str">
        <f>IF($B16="N/A","N/A",INDEX(Staff_position[],MATCH(B16,Staff_Position_ID,0)))</f>
        <v>N/A</v>
      </c>
      <c r="D16" s="90" t="str">
        <f>IF($B16="N/A","N/A",INDEX(Staff_net_salary[],MATCH(B16,Staff_Position_ID,0)))</f>
        <v>N/A</v>
      </c>
      <c r="E16" s="91" t="str">
        <f t="shared" si="0"/>
        <v>N/A</v>
      </c>
      <c r="F16" s="92" t="str">
        <f t="shared" si="1"/>
        <v/>
      </c>
      <c r="G16" s="209" t="str">
        <f t="shared" si="2"/>
        <v/>
      </c>
    </row>
    <row r="17" spans="2:7">
      <c r="B17" s="77" t="str">
        <f t="array" ref="B17">IF(COUNTIFS(INDEX(Staff_Position_Allocation,0,MATCH($C$6,Unit_codes,0)),"&gt;0")&lt;ROWS('2.3-Staff input'!$I$5:$I13),"N/A",INDEX('2.3-Staff input'!B:B,SMALL(IF(INDEX(Staff_Position_Allocation,0,MATCH($C$6,Unit_codes,0))&gt;0,ROW(Staff_Position_ID)),ROW('2.3-Staff input'!B7))))</f>
        <v>N/A</v>
      </c>
      <c r="C17" s="77" t="str">
        <f>IF($B17="N/A","N/A",INDEX(Staff_position[],MATCH(B17,Staff_Position_ID,0)))</f>
        <v>N/A</v>
      </c>
      <c r="D17" s="90" t="str">
        <f>IF($B17="N/A","N/A",INDEX(Staff_net_salary[],MATCH(B17,Staff_Position_ID,0)))</f>
        <v>N/A</v>
      </c>
      <c r="E17" s="91" t="str">
        <f t="shared" si="0"/>
        <v>N/A</v>
      </c>
      <c r="F17" s="92" t="str">
        <f t="shared" si="1"/>
        <v/>
      </c>
      <c r="G17" s="209" t="str">
        <f t="shared" si="2"/>
        <v/>
      </c>
    </row>
    <row r="18" spans="2:7">
      <c r="B18" s="77" t="str">
        <f t="array" ref="B18">IF(COUNTIFS(INDEX(Staff_Position_Allocation,0,MATCH($C$6,Unit_codes,0)),"&gt;0")&lt;ROWS('2.3-Staff input'!$I$5:$I14),"N/A",INDEX('2.3-Staff input'!B:B,SMALL(IF(INDEX(Staff_Position_Allocation,0,MATCH($C$6,Unit_codes,0))&gt;0,ROW(Staff_Position_ID)),ROW('2.3-Staff input'!B8))))</f>
        <v>N/A</v>
      </c>
      <c r="C18" s="77" t="str">
        <f>IF($B18="N/A","N/A",INDEX(Staff_position[],MATCH(B18,Staff_Position_ID,0)))</f>
        <v>N/A</v>
      </c>
      <c r="D18" s="90" t="str">
        <f>IF($B18="N/A","N/A",INDEX(Staff_net_salary[],MATCH(B18,Staff_Position_ID,0)))</f>
        <v>N/A</v>
      </c>
      <c r="E18" s="91" t="str">
        <f t="shared" si="0"/>
        <v>N/A</v>
      </c>
      <c r="F18" s="92" t="str">
        <f t="shared" si="1"/>
        <v/>
      </c>
      <c r="G18" s="209" t="str">
        <f t="shared" si="2"/>
        <v/>
      </c>
    </row>
    <row r="19" spans="2:7">
      <c r="B19" s="77" t="str">
        <f t="array" ref="B19">IF(COUNTIFS(INDEX(Staff_Position_Allocation,0,MATCH($C$6,Unit_codes,0)),"&gt;0")&lt;ROWS('2.3-Staff input'!$I$5:$I15),"N/A",INDEX('2.3-Staff input'!B:B,SMALL(IF(INDEX(Staff_Position_Allocation,0,MATCH($C$6,Unit_codes,0))&gt;0,ROW(Staff_Position_ID)),ROW('2.3-Staff input'!B9))))</f>
        <v>N/A</v>
      </c>
      <c r="C19" s="77" t="str">
        <f>IF($B19="N/A","N/A",INDEX(Staff_position[],MATCH(B19,Staff_Position_ID,0)))</f>
        <v>N/A</v>
      </c>
      <c r="D19" s="90" t="str">
        <f>IF($B19="N/A","N/A",INDEX(Staff_net_salary[],MATCH(B19,Staff_Position_ID,0)))</f>
        <v>N/A</v>
      </c>
      <c r="E19" s="91" t="str">
        <f t="shared" si="0"/>
        <v>N/A</v>
      </c>
      <c r="F19" s="92" t="str">
        <f t="shared" si="1"/>
        <v/>
      </c>
      <c r="G19" s="209" t="str">
        <f t="shared" si="2"/>
        <v/>
      </c>
    </row>
    <row r="20" spans="2:7">
      <c r="B20" s="77" t="str">
        <f t="array" ref="B20">IF(COUNTIFS(INDEX(Staff_Position_Allocation,0,MATCH($C$6,Unit_codes,0)),"&gt;0")&lt;ROWS('2.3-Staff input'!$I$5:$I16),"N/A",INDEX('2.3-Staff input'!B:B,SMALL(IF(INDEX(Staff_Position_Allocation,0,MATCH($C$6,Unit_codes,0))&gt;0,ROW(Staff_Position_ID)),ROW('2.3-Staff input'!B10))))</f>
        <v>N/A</v>
      </c>
      <c r="C20" s="77" t="str">
        <f>IF($B20="N/A","N/A",INDEX(Staff_position[],MATCH(B20,Staff_Position_ID,0)))</f>
        <v>N/A</v>
      </c>
      <c r="D20" s="90" t="str">
        <f>IF($B20="N/A","N/A",INDEX(Staff_net_salary[],MATCH(B20,Staff_Position_ID,0)))</f>
        <v>N/A</v>
      </c>
      <c r="E20" s="91" t="str">
        <f t="shared" si="0"/>
        <v>N/A</v>
      </c>
      <c r="F20" s="92" t="str">
        <f t="shared" si="1"/>
        <v/>
      </c>
      <c r="G20" s="209" t="str">
        <f t="shared" si="2"/>
        <v/>
      </c>
    </row>
    <row r="21" spans="2:7">
      <c r="B21" s="77" t="str">
        <f t="array" ref="B21">IF(COUNTIFS(INDEX(Staff_Position_Allocation,0,MATCH($C$6,Unit_codes,0)),"&gt;0")&lt;ROWS('2.3-Staff input'!$I$5:$I17),"N/A",INDEX('2.3-Staff input'!B:B,SMALL(IF(INDEX(Staff_Position_Allocation,0,MATCH($C$6,Unit_codes,0))&gt;0,ROW(Staff_Position_ID)),ROW('2.3-Staff input'!B11))))</f>
        <v>N/A</v>
      </c>
      <c r="C21" s="77" t="str">
        <f>IF($B21="N/A","N/A",INDEX(Staff_position[],MATCH(B21,Staff_Position_ID,0)))</f>
        <v>N/A</v>
      </c>
      <c r="D21" s="90" t="str">
        <f>IF($B21="N/A","N/A",INDEX(Staff_net_salary[],MATCH(B21,Staff_Position_ID,0)))</f>
        <v>N/A</v>
      </c>
      <c r="E21" s="91" t="str">
        <f t="shared" si="0"/>
        <v>N/A</v>
      </c>
      <c r="F21" s="92" t="str">
        <f t="shared" si="1"/>
        <v/>
      </c>
      <c r="G21" s="209" t="str">
        <f t="shared" si="2"/>
        <v/>
      </c>
    </row>
    <row r="22" spans="2:7">
      <c r="B22" s="77" t="str">
        <f t="array" ref="B22">IF(COUNTIFS(INDEX(Staff_Position_Allocation,0,MATCH($C$6,Unit_codes,0)),"&gt;0")&lt;ROWS('2.3-Staff input'!$I$5:$I18),"N/A",INDEX('2.3-Staff input'!B:B,SMALL(IF(INDEX(Staff_Position_Allocation,0,MATCH($C$6,Unit_codes,0))&gt;0,ROW(Staff_Position_ID)),ROW('2.3-Staff input'!B12))))</f>
        <v>N/A</v>
      </c>
      <c r="C22" s="77" t="str">
        <f>IF($B22="N/A","N/A",INDEX(Staff_position[],MATCH(B22,Staff_Position_ID,0)))</f>
        <v>N/A</v>
      </c>
      <c r="D22" s="90" t="str">
        <f>IF($B22="N/A","N/A",INDEX(Staff_net_salary[],MATCH(B22,Staff_Position_ID,0)))</f>
        <v>N/A</v>
      </c>
      <c r="E22" s="91" t="str">
        <f t="shared" si="0"/>
        <v>N/A</v>
      </c>
      <c r="F22" s="92" t="str">
        <f t="shared" si="1"/>
        <v/>
      </c>
      <c r="G22" s="209" t="str">
        <f t="shared" si="2"/>
        <v/>
      </c>
    </row>
    <row r="23" spans="2:7">
      <c r="B23" s="77" t="str">
        <f t="array" ref="B23">IF(COUNTIFS(INDEX(Staff_Position_Allocation,0,MATCH($C$6,Unit_codes,0)),"&gt;0")&lt;ROWS('2.3-Staff input'!$I$5:$I19),"N/A",INDEX('2.3-Staff input'!B:B,SMALL(IF(INDEX(Staff_Position_Allocation,0,MATCH($C$6,Unit_codes,0))&gt;0,ROW(Staff_Position_ID)),ROW('2.3-Staff input'!B13))))</f>
        <v>N/A</v>
      </c>
      <c r="C23" s="77" t="str">
        <f>IF($B23="N/A","N/A",INDEX(Staff_position[],MATCH(B23,Staff_Position_ID,0)))</f>
        <v>N/A</v>
      </c>
      <c r="D23" s="90" t="str">
        <f>IF($B23="N/A","N/A",INDEX(Staff_net_salary[],MATCH(B23,Staff_Position_ID,0)))</f>
        <v>N/A</v>
      </c>
      <c r="E23" s="91" t="str">
        <f t="shared" si="0"/>
        <v>N/A</v>
      </c>
      <c r="F23" s="92" t="str">
        <f t="shared" si="1"/>
        <v/>
      </c>
      <c r="G23" s="209" t="str">
        <f t="shared" si="2"/>
        <v/>
      </c>
    </row>
    <row r="24" spans="2:7">
      <c r="B24" s="77" t="str">
        <f t="array" ref="B24">IF(COUNTIFS(INDEX(Staff_Position_Allocation,0,MATCH($C$6,Unit_codes,0)),"&gt;0")&lt;ROWS('2.3-Staff input'!$I$5:$I20),"N/A",INDEX('2.3-Staff input'!B:B,SMALL(IF(INDEX(Staff_Position_Allocation,0,MATCH($C$6,Unit_codes,0))&gt;0,ROW(Staff_Position_ID)),ROW('2.3-Staff input'!B14))))</f>
        <v>N/A</v>
      </c>
      <c r="C24" s="77" t="str">
        <f>IF($B24="N/A","N/A",INDEX(Staff_position[],MATCH(B24,Staff_Position_ID,0)))</f>
        <v>N/A</v>
      </c>
      <c r="D24" s="90" t="str">
        <f>IF($B24="N/A","N/A",INDEX(Staff_net_salary[],MATCH(B24,Staff_Position_ID,0)))</f>
        <v>N/A</v>
      </c>
      <c r="E24" s="91" t="str">
        <f t="shared" si="0"/>
        <v>N/A</v>
      </c>
      <c r="F24" s="92" t="str">
        <f t="shared" si="1"/>
        <v/>
      </c>
      <c r="G24" s="209" t="str">
        <f t="shared" si="2"/>
        <v/>
      </c>
    </row>
    <row r="25" spans="2:7">
      <c r="B25" s="77" t="str">
        <f t="array" ref="B25">IF(COUNTIFS(INDEX(Staff_Position_Allocation,0,MATCH($C$6,Unit_codes,0)),"&gt;0")&lt;ROWS('2.3-Staff input'!$I$5:$I21),"N/A",INDEX('2.3-Staff input'!B:B,SMALL(IF(INDEX(Staff_Position_Allocation,0,MATCH($C$6,Unit_codes,0))&gt;0,ROW(Staff_Position_ID)),ROW('2.3-Staff input'!B15))))</f>
        <v>N/A</v>
      </c>
      <c r="C25" s="77" t="str">
        <f>IF($B25="N/A","N/A",INDEX(Staff_position[],MATCH(B25,Staff_Position_ID,0)))</f>
        <v>N/A</v>
      </c>
      <c r="D25" s="90" t="str">
        <f>IF($B25="N/A","N/A",INDEX(Staff_net_salary[],MATCH(B25,Staff_Position_ID,0)))</f>
        <v>N/A</v>
      </c>
      <c r="E25" s="91" t="str">
        <f t="shared" si="0"/>
        <v>N/A</v>
      </c>
      <c r="F25" s="92" t="str">
        <f t="shared" si="1"/>
        <v/>
      </c>
      <c r="G25" s="209" t="str">
        <f t="shared" si="2"/>
        <v/>
      </c>
    </row>
    <row r="26" spans="2:7">
      <c r="B26" s="77" t="str">
        <f t="array" ref="B26">IF(COUNTIFS(INDEX(Staff_Position_Allocation,0,MATCH($C$6,Unit_codes,0)),"&gt;0")&lt;ROWS('2.3-Staff input'!$I$5:$I22),"N/A",INDEX('2.3-Staff input'!B:B,SMALL(IF(INDEX(Staff_Position_Allocation,0,MATCH($C$6,Unit_codes,0))&gt;0,ROW(Staff_Position_ID)),ROW('2.3-Staff input'!B16))))</f>
        <v>N/A</v>
      </c>
      <c r="C26" s="77" t="str">
        <f>IF($B26="N/A","N/A",INDEX(Staff_position[],MATCH(B26,Staff_Position_ID,0)))</f>
        <v>N/A</v>
      </c>
      <c r="D26" s="90" t="str">
        <f>IF($B26="N/A","N/A",INDEX(Staff_net_salary[],MATCH(B26,Staff_Position_ID,0)))</f>
        <v>N/A</v>
      </c>
      <c r="E26" s="91" t="str">
        <f t="shared" si="0"/>
        <v>N/A</v>
      </c>
      <c r="F26" s="92" t="str">
        <f t="shared" si="1"/>
        <v/>
      </c>
      <c r="G26" s="209" t="str">
        <f t="shared" si="2"/>
        <v/>
      </c>
    </row>
    <row r="27" spans="2:7">
      <c r="B27" s="77" t="str">
        <f t="array" ref="B27">IF(COUNTIFS(INDEX(Staff_Position_Allocation,0,MATCH($C$6,Unit_codes,0)),"&gt;0")&lt;ROWS('2.3-Staff input'!$I$5:$I23),"N/A",INDEX('2.3-Staff input'!B:B,SMALL(IF(INDEX(Staff_Position_Allocation,0,MATCH($C$6,Unit_codes,0))&gt;0,ROW(Staff_Position_ID)),ROW('2.3-Staff input'!B17))))</f>
        <v>N/A</v>
      </c>
      <c r="C27" s="77" t="str">
        <f>IF($B27="N/A","N/A",INDEX(Staff_position[],MATCH(B27,Staff_Position_ID,0)))</f>
        <v>N/A</v>
      </c>
      <c r="D27" s="90" t="str">
        <f>IF($B27="N/A","N/A",INDEX(Staff_net_salary[],MATCH(B27,Staff_Position_ID,0)))</f>
        <v>N/A</v>
      </c>
      <c r="E27" s="91" t="str">
        <f t="shared" si="0"/>
        <v>N/A</v>
      </c>
      <c r="F27" s="92" t="str">
        <f t="shared" si="1"/>
        <v/>
      </c>
      <c r="G27" s="209" t="str">
        <f t="shared" si="2"/>
        <v/>
      </c>
    </row>
    <row r="28" spans="2:7">
      <c r="B28" s="77" t="str">
        <f t="array" ref="B28">IF(COUNTIFS(INDEX(Staff_Position_Allocation,0,MATCH($C$6,Unit_codes,0)),"&gt;0")&lt;ROWS('2.3-Staff input'!$I$5:$I24),"N/A",INDEX('2.3-Staff input'!B:B,SMALL(IF(INDEX(Staff_Position_Allocation,0,MATCH($C$6,Unit_codes,0))&gt;0,ROW(Staff_Position_ID)),ROW('2.3-Staff input'!B18))))</f>
        <v>N/A</v>
      </c>
      <c r="C28" s="77" t="str">
        <f>IF($B28="N/A","N/A",INDEX(Staff_position[],MATCH(B28,Staff_Position_ID,0)))</f>
        <v>N/A</v>
      </c>
      <c r="D28" s="90" t="str">
        <f>IF($B28="N/A","N/A",INDEX(Staff_net_salary[],MATCH(B28,Staff_Position_ID,0)))</f>
        <v>N/A</v>
      </c>
      <c r="E28" s="91" t="str">
        <f t="shared" si="0"/>
        <v>N/A</v>
      </c>
      <c r="F28" s="92" t="str">
        <f t="shared" si="1"/>
        <v/>
      </c>
      <c r="G28" s="209" t="str">
        <f t="shared" si="2"/>
        <v/>
      </c>
    </row>
    <row r="29" spans="2:7">
      <c r="B29" s="77" t="str">
        <f t="array" ref="B29">IF(COUNTIFS(INDEX(Staff_Position_Allocation,0,MATCH($C$6,Unit_codes,0)),"&gt;0")&lt;ROWS('2.3-Staff input'!$I$5:$I25),"N/A",INDEX('2.3-Staff input'!B:B,SMALL(IF(INDEX(Staff_Position_Allocation,0,MATCH($C$6,Unit_codes,0))&gt;0,ROW(Staff_Position_ID)),ROW('2.3-Staff input'!B19))))</f>
        <v>N/A</v>
      </c>
      <c r="C29" s="77" t="str">
        <f>IF($B29="N/A","N/A",INDEX(Staff_position[],MATCH(B29,Staff_Position_ID,0)))</f>
        <v>N/A</v>
      </c>
      <c r="D29" s="90" t="str">
        <f>IF($B29="N/A","N/A",INDEX(Staff_net_salary[],MATCH(B29,Staff_Position_ID,0)))</f>
        <v>N/A</v>
      </c>
      <c r="E29" s="91" t="str">
        <f t="shared" si="0"/>
        <v>N/A</v>
      </c>
      <c r="F29" s="92" t="str">
        <f t="shared" si="1"/>
        <v/>
      </c>
      <c r="G29" s="209" t="str">
        <f t="shared" si="2"/>
        <v/>
      </c>
    </row>
    <row r="30" spans="2:7">
      <c r="B30" s="77" t="str">
        <f t="array" ref="B30">IF(COUNTIFS(INDEX(Staff_Position_Allocation,0,MATCH($C$6,Unit_codes,0)),"&gt;0")&lt;ROWS('2.3-Staff input'!$I$5:$I26),"N/A",INDEX('2.3-Staff input'!B:B,SMALL(IF(INDEX(Staff_Position_Allocation,0,MATCH($C$6,Unit_codes,0))&gt;0,ROW(Staff_Position_ID)),ROW('2.3-Staff input'!B20))))</f>
        <v>N/A</v>
      </c>
      <c r="C30" s="77" t="str">
        <f>IF($B30="N/A","N/A",INDEX(Staff_position[],MATCH(B30,Staff_Position_ID,0)))</f>
        <v>N/A</v>
      </c>
      <c r="D30" s="90" t="str">
        <f>IF($B30="N/A","N/A",INDEX(Staff_net_salary[],MATCH(B30,Staff_Position_ID,0)))</f>
        <v>N/A</v>
      </c>
      <c r="E30" s="91" t="str">
        <f t="shared" si="0"/>
        <v>N/A</v>
      </c>
      <c r="F30" s="92" t="str">
        <f t="shared" si="1"/>
        <v/>
      </c>
      <c r="G30" s="209" t="str">
        <f t="shared" si="2"/>
        <v/>
      </c>
    </row>
    <row r="31" spans="2:7">
      <c r="B31" s="77" t="str">
        <f t="array" ref="B31">IF(COUNTIFS(INDEX(Staff_Position_Allocation,0,MATCH($C$6,Unit_codes,0)),"&gt;0")&lt;ROWS('2.3-Staff input'!$I$5:$I27),"N/A",INDEX('2.3-Staff input'!B:B,SMALL(IF(INDEX(Staff_Position_Allocation,0,MATCH($C$6,Unit_codes,0))&gt;0,ROW(Staff_Position_ID)),ROW('2.3-Staff input'!B21))))</f>
        <v>N/A</v>
      </c>
      <c r="C31" s="77" t="str">
        <f>IF($B31="N/A","N/A",INDEX(Staff_position[],MATCH(B31,Staff_Position_ID,0)))</f>
        <v>N/A</v>
      </c>
      <c r="D31" s="90" t="str">
        <f>IF($B31="N/A","N/A",INDEX(Staff_net_salary[],MATCH(B31,Staff_Position_ID,0)))</f>
        <v>N/A</v>
      </c>
      <c r="E31" s="91" t="str">
        <f t="shared" si="0"/>
        <v>N/A</v>
      </c>
      <c r="F31" s="92" t="str">
        <f t="shared" si="1"/>
        <v/>
      </c>
      <c r="G31" s="209" t="str">
        <f t="shared" si="2"/>
        <v/>
      </c>
    </row>
    <row r="32" spans="2:7" ht="15.75" thickBot="1">
      <c r="F32" s="150"/>
      <c r="G32" s="150"/>
    </row>
    <row r="33" spans="2:16" ht="18.75">
      <c r="B33" s="111" t="s">
        <v>195</v>
      </c>
      <c r="C33" s="112"/>
      <c r="D33" s="85"/>
      <c r="E33" s="85"/>
      <c r="F33" s="154" t="s">
        <v>198</v>
      </c>
      <c r="G33" s="278">
        <f>SUM(C46:C49)</f>
        <v>9081.1145833333321</v>
      </c>
      <c r="H33" s="85"/>
      <c r="I33" s="85"/>
      <c r="J33" s="85"/>
      <c r="K33" s="85"/>
      <c r="L33" s="85"/>
      <c r="M33" s="85"/>
      <c r="N33" s="85"/>
      <c r="O33" s="85"/>
      <c r="P33" s="85"/>
    </row>
    <row r="34" spans="2:16" ht="15.75">
      <c r="F34" s="134"/>
      <c r="G34" s="134"/>
      <c r="H34" s="134"/>
      <c r="I34" s="134"/>
      <c r="J34" s="134"/>
      <c r="K34" s="134"/>
      <c r="L34" s="134"/>
      <c r="M34" s="134"/>
      <c r="N34" s="134"/>
      <c r="O34" s="134"/>
      <c r="P34" s="134"/>
    </row>
    <row r="35" spans="2:16" ht="15.75">
      <c r="B35" s="99" t="s">
        <v>717</v>
      </c>
      <c r="C35" s="99" t="s">
        <v>670</v>
      </c>
      <c r="D35" s="99" t="s">
        <v>900</v>
      </c>
      <c r="G35" s="134"/>
      <c r="H35" s="134"/>
      <c r="I35" s="134"/>
      <c r="J35" s="134"/>
      <c r="K35" s="134"/>
      <c r="L35" s="134"/>
      <c r="M35" s="134"/>
      <c r="N35" s="134"/>
      <c r="O35" s="134"/>
      <c r="P35" s="134"/>
    </row>
    <row r="36" spans="2:16" ht="15.75">
      <c r="B36" s="267" t="s">
        <v>705</v>
      </c>
      <c r="C36" s="271">
        <f>SUM('5.3-Unit W'!O110:O147)</f>
        <v>23.010600000000004</v>
      </c>
      <c r="D36" s="271">
        <f>C36/'1.0-General input'!$E$102</f>
        <v>76.702000000000012</v>
      </c>
      <c r="E36" s="158" t="s">
        <v>899</v>
      </c>
      <c r="G36" s="134"/>
      <c r="H36" s="134"/>
      <c r="I36" s="134"/>
      <c r="J36" s="134"/>
      <c r="K36" s="134"/>
      <c r="L36" s="134"/>
      <c r="M36" s="134"/>
      <c r="N36" s="134"/>
      <c r="O36" s="134"/>
      <c r="P36" s="134"/>
    </row>
    <row r="37" spans="2:16" ht="15.75">
      <c r="B37" s="267" t="s">
        <v>706</v>
      </c>
      <c r="C37" s="271">
        <f>SUM('5.3-Unit T'!O110:O147)</f>
        <v>75.667400000000015</v>
      </c>
      <c r="D37" s="271">
        <f>C37/'1.0-General input'!$E$102</f>
        <v>252.22466666666674</v>
      </c>
      <c r="E37" s="12" t="s">
        <v>899</v>
      </c>
      <c r="F37" s="134"/>
      <c r="G37" s="134"/>
      <c r="H37" s="134"/>
      <c r="I37" s="134"/>
      <c r="J37" s="134"/>
      <c r="K37" s="134"/>
      <c r="L37" s="134"/>
      <c r="M37" s="134"/>
      <c r="N37" s="134"/>
      <c r="O37" s="134"/>
      <c r="P37" s="134"/>
    </row>
    <row r="38" spans="2:16" ht="15.75">
      <c r="B38" s="267" t="s">
        <v>707</v>
      </c>
      <c r="C38" s="271">
        <f>SUM('5.3-Unit H'!O110:O147)</f>
        <v>79.667400000000015</v>
      </c>
      <c r="D38" s="271">
        <f>C38/'1.0-General input'!$E$102</f>
        <v>265.55800000000005</v>
      </c>
      <c r="E38" s="12" t="s">
        <v>899</v>
      </c>
      <c r="F38" s="134"/>
      <c r="G38" s="134"/>
      <c r="H38" s="134"/>
      <c r="I38" s="134"/>
      <c r="J38" s="134"/>
      <c r="K38" s="134"/>
      <c r="L38" s="134"/>
      <c r="M38" s="134"/>
      <c r="N38" s="134"/>
      <c r="O38" s="134"/>
      <c r="P38" s="134"/>
    </row>
    <row r="39" spans="2:16" ht="15.75">
      <c r="B39" s="267" t="s">
        <v>708</v>
      </c>
      <c r="C39" s="271">
        <f>SUM('5.3-Unit N (17DOL-Egg)'!O110:O147)+SUM('5.3-Unit N (Egg-5DOL)'!O110:O147)+SUM('5.3-Unit N (5DOL-17DOL)'!O110:O147)</f>
        <v>35.817499999999995</v>
      </c>
      <c r="D39" s="271">
        <f>C39/'1.0-General input'!$E$102</f>
        <v>119.39166666666665</v>
      </c>
      <c r="E39" s="12" t="s">
        <v>899</v>
      </c>
      <c r="F39" s="134"/>
      <c r="G39" s="134"/>
      <c r="H39" s="134"/>
      <c r="I39" s="134"/>
      <c r="J39" s="134"/>
      <c r="K39" s="134"/>
      <c r="L39" s="134"/>
      <c r="M39" s="134"/>
      <c r="N39" s="134"/>
      <c r="O39" s="134"/>
      <c r="P39" s="134"/>
    </row>
    <row r="40" spans="2:16" ht="15.75">
      <c r="B40" s="267" t="s">
        <v>709</v>
      </c>
      <c r="C40" s="271">
        <f>SUM('5.3-Unit P'!O110:O147)</f>
        <v>18.945600000000002</v>
      </c>
      <c r="D40" s="271">
        <f>C40/'1.0-General input'!$E$102</f>
        <v>63.152000000000008</v>
      </c>
      <c r="E40" s="12" t="s">
        <v>899</v>
      </c>
      <c r="F40" s="134"/>
      <c r="G40" s="134"/>
      <c r="H40" s="134"/>
      <c r="I40" s="134"/>
      <c r="J40" s="134"/>
      <c r="K40" s="134"/>
      <c r="L40" s="134"/>
      <c r="M40" s="134"/>
      <c r="N40" s="134"/>
      <c r="O40" s="134"/>
      <c r="P40" s="134"/>
    </row>
    <row r="41" spans="2:16" ht="15.75">
      <c r="B41" s="267" t="s">
        <v>710</v>
      </c>
      <c r="C41" s="271">
        <f>General_Residue_TotalProd/Staff_Days_Operation*'1.0-General input'!E113*'1.0-General input'!E114</f>
        <v>55.859999999999992</v>
      </c>
      <c r="D41" s="271">
        <f>C41</f>
        <v>55.859999999999992</v>
      </c>
      <c r="F41" s="134"/>
      <c r="G41" s="134"/>
      <c r="H41" s="134"/>
      <c r="I41" s="134"/>
      <c r="J41" s="134"/>
      <c r="K41" s="134"/>
      <c r="L41" s="134"/>
      <c r="M41" s="134"/>
      <c r="N41" s="134"/>
      <c r="O41" s="134"/>
      <c r="P41" s="134"/>
    </row>
    <row r="42" spans="2:16" ht="15.75">
      <c r="B42" s="267" t="s">
        <v>849</v>
      </c>
      <c r="C42" s="271">
        <f>'1.0-General input'!E104*SUM('2.3-Staff input'!J7:J11)</f>
        <v>100</v>
      </c>
      <c r="D42" s="271">
        <f>C42</f>
        <v>100</v>
      </c>
      <c r="F42" s="134"/>
      <c r="G42" s="134"/>
      <c r="H42" s="134"/>
      <c r="I42" s="134"/>
      <c r="J42" s="134"/>
      <c r="K42" s="134"/>
      <c r="L42" s="134"/>
      <c r="M42" s="134"/>
      <c r="N42" s="134"/>
      <c r="O42" s="134"/>
      <c r="P42" s="134"/>
    </row>
    <row r="43" spans="2:16" ht="15.75">
      <c r="B43" s="267" t="s">
        <v>669</v>
      </c>
      <c r="C43" s="271">
        <f>SUM(C36:C42)</f>
        <v>388.96850000000006</v>
      </c>
      <c r="D43" s="271">
        <f>SUM(D36:D42)</f>
        <v>932.88833333333343</v>
      </c>
      <c r="E43" s="270"/>
      <c r="F43" s="134"/>
      <c r="G43" s="134"/>
      <c r="H43" s="134"/>
      <c r="I43" s="134"/>
      <c r="J43" s="134"/>
      <c r="K43" s="134"/>
      <c r="L43" s="134"/>
      <c r="M43" s="134"/>
      <c r="N43" s="134"/>
      <c r="O43" s="134"/>
      <c r="P43" s="134"/>
    </row>
    <row r="44" spans="2:16" ht="15.75">
      <c r="D44" s="134"/>
      <c r="E44" s="134"/>
      <c r="F44" s="134"/>
      <c r="G44" s="134"/>
      <c r="H44" s="134"/>
      <c r="I44" s="134"/>
      <c r="J44" s="134"/>
      <c r="K44" s="134"/>
      <c r="L44" s="134"/>
      <c r="M44" s="134"/>
      <c r="N44" s="134"/>
      <c r="O44" s="134"/>
      <c r="P44" s="134"/>
    </row>
    <row r="45" spans="2:16" ht="15.75">
      <c r="B45" s="99" t="s">
        <v>145</v>
      </c>
      <c r="C45" s="99" t="s">
        <v>196</v>
      </c>
      <c r="D45" s="134"/>
      <c r="G45" s="134"/>
      <c r="H45" s="134"/>
      <c r="I45" s="134"/>
      <c r="J45" s="134"/>
      <c r="K45" s="134"/>
      <c r="L45" s="134"/>
      <c r="M45" s="134"/>
      <c r="N45" s="134"/>
      <c r="O45" s="134"/>
      <c r="P45" s="134"/>
    </row>
    <row r="46" spans="2:16" ht="15.75">
      <c r="B46" s="135" t="s">
        <v>650</v>
      </c>
      <c r="C46" s="277">
        <f>IF(General_Factory_Decision=INDEX(Factory_Renting_Buying[],1),D43*General_Factory_Rent,0)</f>
        <v>6530.2183333333332</v>
      </c>
      <c r="D46" s="134"/>
      <c r="G46" s="134"/>
      <c r="H46" s="134"/>
      <c r="I46" s="134"/>
      <c r="J46" s="134"/>
      <c r="K46" s="134"/>
      <c r="L46" s="134"/>
      <c r="M46" s="134"/>
      <c r="N46" s="134"/>
      <c r="O46" s="134"/>
      <c r="P46" s="134"/>
    </row>
    <row r="47" spans="2:16" ht="15.75">
      <c r="B47" s="135" t="s">
        <v>793</v>
      </c>
      <c r="C47" s="277">
        <f>'1.0-General input'!E105/1000*SUM(Staff_number_of_employees)*General_Water_Price*Staff_Days_Operation</f>
        <v>93.896250000000009</v>
      </c>
      <c r="D47" s="134"/>
      <c r="G47" s="134"/>
      <c r="H47" s="134"/>
      <c r="I47" s="134"/>
      <c r="J47" s="134"/>
      <c r="K47" s="134"/>
      <c r="L47" s="134"/>
      <c r="M47" s="134"/>
      <c r="N47" s="134"/>
      <c r="O47" s="134"/>
      <c r="P47" s="134"/>
    </row>
    <row r="48" spans="2:16">
      <c r="B48" s="135" t="s">
        <v>794</v>
      </c>
      <c r="C48" s="277">
        <f>'1.0-General input'!E106*'5.3-Unit SG&amp;A'!D42*General_Electricity_Price</f>
        <v>2457</v>
      </c>
    </row>
    <row r="49" spans="2:16">
      <c r="B49" s="135" t="s">
        <v>795</v>
      </c>
      <c r="C49" s="277">
        <f>'1.0-General input'!E103</f>
        <v>0</v>
      </c>
    </row>
    <row r="51" spans="2:16" ht="15.75">
      <c r="B51" s="99" t="s">
        <v>145</v>
      </c>
      <c r="C51" s="99" t="s">
        <v>196</v>
      </c>
    </row>
    <row r="52" spans="2:16">
      <c r="B52" s="135" t="s">
        <v>718</v>
      </c>
      <c r="C52" s="277">
        <f>IF(General_Factory_Decision=INDEX(Factory_Renting_Buying[],2),D43*General_Factory_Land,0)</f>
        <v>0</v>
      </c>
    </row>
    <row r="53" spans="2:16" ht="15.75">
      <c r="B53" s="135" t="s">
        <v>716</v>
      </c>
      <c r="C53" s="277">
        <f>IF(General_Factory_Decision=INDEX(Factory_Renting_Buying[],2),D43*General_Factory_Construction,0)</f>
        <v>0</v>
      </c>
      <c r="E53" s="134" t="s">
        <v>1022</v>
      </c>
    </row>
    <row r="54" spans="2:16" ht="15.75" thickBot="1">
      <c r="E54" s="62"/>
      <c r="F54" s="62"/>
      <c r="G54" s="62"/>
    </row>
    <row r="55" spans="2:16" ht="30">
      <c r="B55" s="2" t="s">
        <v>2</v>
      </c>
      <c r="C55" s="110"/>
      <c r="D55" s="61"/>
      <c r="F55" s="152" t="s">
        <v>88</v>
      </c>
      <c r="G55" s="278">
        <f>SUMIF(B60:B97,("&lt;&gt;N/A"),G60:G97)</f>
        <v>0</v>
      </c>
      <c r="H55" s="61"/>
      <c r="I55" s="61"/>
      <c r="J55" s="61"/>
      <c r="K55" s="61"/>
      <c r="L55" s="61"/>
      <c r="M55" s="61"/>
      <c r="N55" s="61"/>
      <c r="O55" s="61"/>
      <c r="P55" s="61"/>
    </row>
    <row r="56" spans="2:16" ht="15.75">
      <c r="B56" s="67" t="s">
        <v>82</v>
      </c>
    </row>
    <row r="57" spans="2:16">
      <c r="B57" s="105" t="s">
        <v>78</v>
      </c>
      <c r="C57" s="86" t="s">
        <v>135</v>
      </c>
    </row>
    <row r="59" spans="2:16" ht="47.25">
      <c r="B59" s="99" t="s">
        <v>84</v>
      </c>
      <c r="C59" s="99" t="s">
        <v>53</v>
      </c>
      <c r="D59" s="99" t="s">
        <v>152</v>
      </c>
      <c r="E59" s="99" t="s">
        <v>50</v>
      </c>
      <c r="F59" s="136" t="s">
        <v>87</v>
      </c>
      <c r="G59" s="99" t="s">
        <v>154</v>
      </c>
    </row>
    <row r="60" spans="2:16">
      <c r="B60" s="76" t="str">
        <f t="array" ref="B60">IF(COUNTIFS(INDEX(Equipment_Allocation_New,0,MATCH($C$57,Unit_codes,0)),"&gt;0")&lt;ROWS('2.2-Equipment input'!$X$8:$X8),"N/A",INDEX('2.2-Equipment input'!B:B,SMALL(IF(INDEX(Equipment_Allocation_New,0,MATCH($C$57,Unit_codes,0))&gt;0,ROW(equipment_ID)),ROW('2.2-Equipment input'!B1))))</f>
        <v>eq0001</v>
      </c>
      <c r="C60" s="76" t="str">
        <f>IF($B60="N/A","N/A",INDEX(Equipment_name[],MATCH(B60,equipment_ID,0)))</f>
        <v>Factory buidling</v>
      </c>
      <c r="D60" s="87">
        <f t="shared" ref="D60:D97" si="3">IF($B60="N/A","N/A",INDEX(Equipment_Depreciation,MATCH(B60,equipment_ID,0)))</f>
        <v>0</v>
      </c>
      <c r="E60" s="94">
        <f t="shared" ref="E60:E97" si="4">IF($B60="N/A","N/A",INDEX(Equipment_Quantity_New,MATCH(B60,equipment_ID,0)))</f>
        <v>932.88833333333343</v>
      </c>
      <c r="F60" s="132">
        <f t="shared" ref="F60:F97" si="5">IFERROR(INDEX(Equipment_Allocation_New,MATCH(B60,equipment_ID,0),MATCH($C$57,Unit_codes,0)),"")</f>
        <v>1</v>
      </c>
      <c r="G60" s="209">
        <f>IFERROR($D60*E60*F60,"")</f>
        <v>0</v>
      </c>
    </row>
    <row r="61" spans="2:16">
      <c r="B61" s="76" t="str">
        <f t="array" ref="B61">IF(COUNTIFS(INDEX(Equipment_Allocation_New,0,MATCH($C$57,Unit_codes,0)),"&gt;0")&lt;ROWS('2.2-Equipment input'!$X$8:$X9),"N/A",INDEX('2.2-Equipment input'!B:B,SMALL(IF(INDEX(Equipment_Allocation_New,0,MATCH($C$57,Unit_codes,0))&gt;0,ROW(equipment_ID)),ROW('2.2-Equipment input'!B2))))</f>
        <v>N/A</v>
      </c>
      <c r="C61" s="76" t="str">
        <f>IF($B61="N/A","N/A",INDEX(Equipment_name[],MATCH(B61,equipment_ID,0)))</f>
        <v>N/A</v>
      </c>
      <c r="D61" s="87" t="str">
        <f t="shared" si="3"/>
        <v>N/A</v>
      </c>
      <c r="E61" s="94" t="str">
        <f t="shared" si="4"/>
        <v>N/A</v>
      </c>
      <c r="F61" s="132" t="str">
        <f t="shared" si="5"/>
        <v/>
      </c>
      <c r="G61" s="209" t="str">
        <f t="shared" ref="G61:G97" si="6">IFERROR($D61*E61*F61,"")</f>
        <v/>
      </c>
    </row>
    <row r="62" spans="2:16">
      <c r="B62" s="76" t="str">
        <f t="array" ref="B62">IF(COUNTIFS(INDEX(Equipment_Allocation_New,0,MATCH($C$57,Unit_codes,0)),"&gt;0")&lt;ROWS('2.2-Equipment input'!$X$8:$X10),"N/A",INDEX('2.2-Equipment input'!B:B,SMALL(IF(INDEX(Equipment_Allocation_New,0,MATCH($C$57,Unit_codes,0))&gt;0,ROW(equipment_ID)),ROW('2.2-Equipment input'!B4))))</f>
        <v>N/A</v>
      </c>
      <c r="C62" s="76" t="str">
        <f>IF($B62="N/A","N/A",INDEX(Equipment_name[],MATCH(B62,equipment_ID,0)))</f>
        <v>N/A</v>
      </c>
      <c r="D62" s="87" t="str">
        <f t="shared" si="3"/>
        <v>N/A</v>
      </c>
      <c r="E62" s="94" t="str">
        <f t="shared" si="4"/>
        <v>N/A</v>
      </c>
      <c r="F62" s="132" t="str">
        <f t="shared" si="5"/>
        <v/>
      </c>
      <c r="G62" s="209" t="str">
        <f t="shared" si="6"/>
        <v/>
      </c>
    </row>
    <row r="63" spans="2:16">
      <c r="B63" s="76" t="str">
        <f t="array" ref="B63">IF(COUNTIFS(INDEX(Equipment_Allocation_New,0,MATCH($C$57,Unit_codes,0)),"&gt;0")&lt;ROWS('2.2-Equipment input'!$X$8:$X11),"N/A",INDEX('2.2-Equipment input'!B:B,SMALL(IF(INDEX(Equipment_Allocation_New,0,MATCH($C$57,Unit_codes,0))&gt;0,ROW(equipment_ID)),ROW('2.2-Equipment input'!B5))))</f>
        <v>N/A</v>
      </c>
      <c r="C63" s="76" t="str">
        <f>IF($B63="N/A","N/A",INDEX(Equipment_name[],MATCH(B63,equipment_ID,0)))</f>
        <v>N/A</v>
      </c>
      <c r="D63" s="87" t="str">
        <f t="shared" si="3"/>
        <v>N/A</v>
      </c>
      <c r="E63" s="94" t="str">
        <f t="shared" si="4"/>
        <v>N/A</v>
      </c>
      <c r="F63" s="132" t="str">
        <f t="shared" si="5"/>
        <v/>
      </c>
      <c r="G63" s="209" t="str">
        <f t="shared" si="6"/>
        <v/>
      </c>
    </row>
    <row r="64" spans="2:16">
      <c r="B64" s="76" t="str">
        <f t="array" ref="B64">IF(COUNTIFS(INDEX(Equipment_Allocation_New,0,MATCH($C$57,Unit_codes,0)),"&gt;0")&lt;ROWS('2.2-Equipment input'!$X$8:$X12),"N/A",INDEX('2.2-Equipment input'!B:B,SMALL(IF(INDEX(Equipment_Allocation_New,0,MATCH($C$57,Unit_codes,0))&gt;0,ROW(equipment_ID)),ROW('2.2-Equipment input'!B6))))</f>
        <v>N/A</v>
      </c>
      <c r="C64" s="76" t="str">
        <f>IF($B64="N/A","N/A",INDEX(Equipment_name[],MATCH(B64,equipment_ID,0)))</f>
        <v>N/A</v>
      </c>
      <c r="D64" s="87" t="str">
        <f t="shared" si="3"/>
        <v>N/A</v>
      </c>
      <c r="E64" s="94" t="str">
        <f t="shared" si="4"/>
        <v>N/A</v>
      </c>
      <c r="F64" s="132" t="str">
        <f t="shared" si="5"/>
        <v/>
      </c>
      <c r="G64" s="209" t="str">
        <f t="shared" si="6"/>
        <v/>
      </c>
    </row>
    <row r="65" spans="2:7">
      <c r="B65" s="76" t="str">
        <f t="array" ref="B65">IF(COUNTIFS(INDEX(Equipment_Allocation_New,0,MATCH($C$57,Unit_codes,0)),"&gt;0")&lt;ROWS('2.2-Equipment input'!$X$8:$X13),"N/A",INDEX('2.2-Equipment input'!B:B,SMALL(IF(INDEX(Equipment_Allocation_New,0,MATCH($C$57,Unit_codes,0))&gt;0,ROW(equipment_ID)),ROW('2.2-Equipment input'!B7))))</f>
        <v>N/A</v>
      </c>
      <c r="C65" s="76" t="str">
        <f>IF($B65="N/A","N/A",INDEX(Equipment_name[],MATCH(B65,equipment_ID,0)))</f>
        <v>N/A</v>
      </c>
      <c r="D65" s="87" t="str">
        <f t="shared" si="3"/>
        <v>N/A</v>
      </c>
      <c r="E65" s="94" t="str">
        <f t="shared" si="4"/>
        <v>N/A</v>
      </c>
      <c r="F65" s="132" t="str">
        <f t="shared" si="5"/>
        <v/>
      </c>
      <c r="G65" s="209" t="str">
        <f t="shared" si="6"/>
        <v/>
      </c>
    </row>
    <row r="66" spans="2:7">
      <c r="B66" s="76" t="str">
        <f t="array" ref="B66">IF(COUNTIFS(INDEX(Equipment_Allocation_New,0,MATCH($C$57,Unit_codes,0)),"&gt;0")&lt;ROWS('2.2-Equipment input'!$X$8:$X14),"N/A",INDEX('2.2-Equipment input'!B:B,SMALL(IF(INDEX(Equipment_Allocation_New,0,MATCH($C$57,Unit_codes,0))&gt;0,ROW(equipment_ID)),ROW('2.2-Equipment input'!B8))))</f>
        <v>N/A</v>
      </c>
      <c r="C66" s="76" t="str">
        <f>IF($B66="N/A","N/A",INDEX(Equipment_name[],MATCH(B66,equipment_ID,0)))</f>
        <v>N/A</v>
      </c>
      <c r="D66" s="87" t="str">
        <f t="shared" si="3"/>
        <v>N/A</v>
      </c>
      <c r="E66" s="94" t="str">
        <f t="shared" si="4"/>
        <v>N/A</v>
      </c>
      <c r="F66" s="132" t="str">
        <f t="shared" si="5"/>
        <v/>
      </c>
      <c r="G66" s="209" t="str">
        <f t="shared" si="6"/>
        <v/>
      </c>
    </row>
    <row r="67" spans="2:7">
      <c r="B67" s="76" t="str">
        <f t="array" ref="B67">IF(COUNTIFS(INDEX(Equipment_Allocation_New,0,MATCH($C$57,Unit_codes,0)),"&gt;0")&lt;ROWS('2.2-Equipment input'!$X$8:$X15),"N/A",INDEX('2.2-Equipment input'!B:B,SMALL(IF(INDEX(Equipment_Allocation_New,0,MATCH($C$57,Unit_codes,0))&gt;0,ROW(equipment_ID)),ROW('2.2-Equipment input'!B9))))</f>
        <v>N/A</v>
      </c>
      <c r="C67" s="76" t="str">
        <f>IF($B67="N/A","N/A",INDEX(Equipment_name[],MATCH(B67,equipment_ID,0)))</f>
        <v>N/A</v>
      </c>
      <c r="D67" s="87" t="str">
        <f t="shared" si="3"/>
        <v>N/A</v>
      </c>
      <c r="E67" s="94" t="str">
        <f t="shared" si="4"/>
        <v>N/A</v>
      </c>
      <c r="F67" s="132" t="str">
        <f t="shared" si="5"/>
        <v/>
      </c>
      <c r="G67" s="209" t="str">
        <f t="shared" si="6"/>
        <v/>
      </c>
    </row>
    <row r="68" spans="2:7">
      <c r="B68" s="76" t="str">
        <f t="array" ref="B68">IF(COUNTIFS(INDEX(Equipment_Allocation_New,0,MATCH($C$57,Unit_codes,0)),"&gt;0")&lt;ROWS('2.2-Equipment input'!$X$8:$X16),"N/A",INDEX('2.2-Equipment input'!B:B,SMALL(IF(INDEX(Equipment_Allocation_New,0,MATCH($C$57,Unit_codes,0))&gt;0,ROW(equipment_ID)),ROW('2.2-Equipment input'!B10))))</f>
        <v>N/A</v>
      </c>
      <c r="C68" s="76" t="str">
        <f>IF($B68="N/A","N/A",INDEX(Equipment_name[],MATCH(B68,equipment_ID,0)))</f>
        <v>N/A</v>
      </c>
      <c r="D68" s="87" t="str">
        <f t="shared" si="3"/>
        <v>N/A</v>
      </c>
      <c r="E68" s="94" t="str">
        <f t="shared" si="4"/>
        <v>N/A</v>
      </c>
      <c r="F68" s="132" t="str">
        <f t="shared" si="5"/>
        <v/>
      </c>
      <c r="G68" s="209" t="str">
        <f t="shared" si="6"/>
        <v/>
      </c>
    </row>
    <row r="69" spans="2:7">
      <c r="B69" s="76" t="str">
        <f t="array" ref="B69">IF(COUNTIFS(INDEX(Equipment_Allocation_New,0,MATCH($C$57,Unit_codes,0)),"&gt;0")&lt;ROWS('2.2-Equipment input'!$X$8:$X17),"N/A",INDEX('2.2-Equipment input'!B:B,SMALL(IF(INDEX(Equipment_Allocation_New,0,MATCH($C$57,Unit_codes,0))&gt;0,ROW(equipment_ID)),ROW('2.2-Equipment input'!B11))))</f>
        <v>N/A</v>
      </c>
      <c r="C69" s="76" t="str">
        <f>IF($B69="N/A","N/A",INDEX(Equipment_name[],MATCH(B69,equipment_ID,0)))</f>
        <v>N/A</v>
      </c>
      <c r="D69" s="87" t="str">
        <f t="shared" si="3"/>
        <v>N/A</v>
      </c>
      <c r="E69" s="94" t="str">
        <f t="shared" si="4"/>
        <v>N/A</v>
      </c>
      <c r="F69" s="132" t="str">
        <f t="shared" si="5"/>
        <v/>
      </c>
      <c r="G69" s="209" t="str">
        <f t="shared" si="6"/>
        <v/>
      </c>
    </row>
    <row r="70" spans="2:7">
      <c r="B70" s="76" t="str">
        <f t="array" ref="B70">IF(COUNTIFS(INDEX(Equipment_Allocation_New,0,MATCH($C$57,Unit_codes,0)),"&gt;0")&lt;ROWS('2.2-Equipment input'!$X$8:$X18),"N/A",INDEX('2.2-Equipment input'!B:B,SMALL(IF(INDEX(Equipment_Allocation_New,0,MATCH($C$57,Unit_codes,0))&gt;0,ROW(equipment_ID)),ROW('2.2-Equipment input'!B12))))</f>
        <v>N/A</v>
      </c>
      <c r="C70" s="76" t="str">
        <f>IF($B70="N/A","N/A",INDEX(Equipment_name[],MATCH(B70,equipment_ID,0)))</f>
        <v>N/A</v>
      </c>
      <c r="D70" s="87" t="str">
        <f t="shared" si="3"/>
        <v>N/A</v>
      </c>
      <c r="E70" s="94" t="str">
        <f t="shared" si="4"/>
        <v>N/A</v>
      </c>
      <c r="F70" s="132" t="str">
        <f t="shared" si="5"/>
        <v/>
      </c>
      <c r="G70" s="209" t="str">
        <f t="shared" si="6"/>
        <v/>
      </c>
    </row>
    <row r="71" spans="2:7">
      <c r="B71" s="76" t="str">
        <f t="array" ref="B71">IF(COUNTIFS(INDEX(Equipment_Allocation_New,0,MATCH($C$57,Unit_codes,0)),"&gt;0")&lt;ROWS('2.2-Equipment input'!$X$8:$X19),"N/A",INDEX('2.2-Equipment input'!B:B,SMALL(IF(INDEX(Equipment_Allocation_New,0,MATCH($C$57,Unit_codes,0))&gt;0,ROW(equipment_ID)),ROW('2.2-Equipment input'!B13))))</f>
        <v>N/A</v>
      </c>
      <c r="C71" s="76" t="str">
        <f>IF($B71="N/A","N/A",INDEX(Equipment_name[],MATCH(B71,equipment_ID,0)))</f>
        <v>N/A</v>
      </c>
      <c r="D71" s="87" t="str">
        <f t="shared" si="3"/>
        <v>N/A</v>
      </c>
      <c r="E71" s="94" t="str">
        <f t="shared" si="4"/>
        <v>N/A</v>
      </c>
      <c r="F71" s="132" t="str">
        <f t="shared" si="5"/>
        <v/>
      </c>
      <c r="G71" s="209" t="str">
        <f t="shared" si="6"/>
        <v/>
      </c>
    </row>
    <row r="72" spans="2:7">
      <c r="B72" s="76" t="str">
        <f t="array" ref="B72">IF(COUNTIFS(INDEX(Equipment_Allocation_New,0,MATCH($C$57,Unit_codes,0)),"&gt;0")&lt;ROWS('2.2-Equipment input'!$X$8:$X20),"N/A",INDEX('2.2-Equipment input'!B:B,SMALL(IF(INDEX(Equipment_Allocation_New,0,MATCH($C$57,Unit_codes,0))&gt;0,ROW(equipment_ID)),ROW('2.2-Equipment input'!B14))))</f>
        <v>N/A</v>
      </c>
      <c r="C72" s="76" t="str">
        <f>IF($B72="N/A","N/A",INDEX(Equipment_name[],MATCH(B72,equipment_ID,0)))</f>
        <v>N/A</v>
      </c>
      <c r="D72" s="87" t="str">
        <f t="shared" si="3"/>
        <v>N/A</v>
      </c>
      <c r="E72" s="94" t="str">
        <f t="shared" si="4"/>
        <v>N/A</v>
      </c>
      <c r="F72" s="132" t="str">
        <f t="shared" si="5"/>
        <v/>
      </c>
      <c r="G72" s="209" t="str">
        <f t="shared" si="6"/>
        <v/>
      </c>
    </row>
    <row r="73" spans="2:7">
      <c r="B73" s="76" t="str">
        <f t="array" ref="B73">IF(COUNTIFS(INDEX(Equipment_Allocation_New,0,MATCH($C$57,Unit_codes,0)),"&gt;0")&lt;ROWS('2.2-Equipment input'!$X$8:$X21),"N/A",INDEX('2.2-Equipment input'!B:B,SMALL(IF(INDEX(Equipment_Allocation_New,0,MATCH($C$57,Unit_codes,0))&gt;0,ROW(equipment_ID)),ROW('2.2-Equipment input'!B15))))</f>
        <v>N/A</v>
      </c>
      <c r="C73" s="76" t="str">
        <f>IF($B73="N/A","N/A",INDEX(Equipment_name[],MATCH(B73,equipment_ID,0)))</f>
        <v>N/A</v>
      </c>
      <c r="D73" s="87" t="str">
        <f t="shared" si="3"/>
        <v>N/A</v>
      </c>
      <c r="E73" s="94" t="str">
        <f t="shared" si="4"/>
        <v>N/A</v>
      </c>
      <c r="F73" s="132" t="str">
        <f t="shared" si="5"/>
        <v/>
      </c>
      <c r="G73" s="209" t="str">
        <f t="shared" si="6"/>
        <v/>
      </c>
    </row>
    <row r="74" spans="2:7">
      <c r="B74" s="76" t="str">
        <f t="array" ref="B74">IF(COUNTIFS(INDEX(Equipment_Allocation_New,0,MATCH($C$57,Unit_codes,0)),"&gt;0")&lt;ROWS('2.2-Equipment input'!$X$8:$X22),"N/A",INDEX('2.2-Equipment input'!B:B,SMALL(IF(INDEX(Equipment_Allocation_New,0,MATCH($C$57,Unit_codes,0))&gt;0,ROW(equipment_ID)),ROW('2.2-Equipment input'!B16))))</f>
        <v>N/A</v>
      </c>
      <c r="C74" s="76" t="str">
        <f>IF($B74="N/A","N/A",INDEX(Equipment_name[],MATCH(B74,equipment_ID,0)))</f>
        <v>N/A</v>
      </c>
      <c r="D74" s="87" t="str">
        <f t="shared" si="3"/>
        <v>N/A</v>
      </c>
      <c r="E74" s="94" t="str">
        <f t="shared" si="4"/>
        <v>N/A</v>
      </c>
      <c r="F74" s="132" t="str">
        <f t="shared" si="5"/>
        <v/>
      </c>
      <c r="G74" s="209" t="str">
        <f t="shared" si="6"/>
        <v/>
      </c>
    </row>
    <row r="75" spans="2:7">
      <c r="B75" s="76" t="str">
        <f t="array" ref="B75">IF(COUNTIFS(INDEX(Equipment_Allocation_New,0,MATCH($C$57,Unit_codes,0)),"&gt;0")&lt;ROWS('2.2-Equipment input'!$X$8:$X23),"N/A",INDEX('2.2-Equipment input'!B:B,SMALL(IF(INDEX(Equipment_Allocation_New,0,MATCH($C$57,Unit_codes,0))&gt;0,ROW(equipment_ID)),ROW('2.2-Equipment input'!B17))))</f>
        <v>N/A</v>
      </c>
      <c r="C75" s="76" t="str">
        <f>IF($B75="N/A","N/A",INDEX(Equipment_name[],MATCH(B75,equipment_ID,0)))</f>
        <v>N/A</v>
      </c>
      <c r="D75" s="87" t="str">
        <f t="shared" si="3"/>
        <v>N/A</v>
      </c>
      <c r="E75" s="94" t="str">
        <f t="shared" si="4"/>
        <v>N/A</v>
      </c>
      <c r="F75" s="132" t="str">
        <f t="shared" si="5"/>
        <v/>
      </c>
      <c r="G75" s="209" t="str">
        <f t="shared" si="6"/>
        <v/>
      </c>
    </row>
    <row r="76" spans="2:7">
      <c r="B76" s="76" t="str">
        <f t="array" ref="B76">IF(COUNTIFS(INDEX(Equipment_Allocation_New,0,MATCH($C$57,Unit_codes,0)),"&gt;0")&lt;ROWS('2.2-Equipment input'!$X$8:$X24),"N/A",INDEX('2.2-Equipment input'!B:B,SMALL(IF(INDEX(Equipment_Allocation_New,0,MATCH($C$57,Unit_codes,0))&gt;0,ROW(equipment_ID)),ROW('2.2-Equipment input'!B18))))</f>
        <v>N/A</v>
      </c>
      <c r="C76" s="76" t="str">
        <f>IF($B76="N/A","N/A",INDEX(Equipment_name[],MATCH(B76,equipment_ID,0)))</f>
        <v>N/A</v>
      </c>
      <c r="D76" s="87" t="str">
        <f t="shared" si="3"/>
        <v>N/A</v>
      </c>
      <c r="E76" s="94" t="str">
        <f t="shared" si="4"/>
        <v>N/A</v>
      </c>
      <c r="F76" s="132" t="str">
        <f t="shared" si="5"/>
        <v/>
      </c>
      <c r="G76" s="209" t="str">
        <f t="shared" si="6"/>
        <v/>
      </c>
    </row>
    <row r="77" spans="2:7">
      <c r="B77" s="76" t="str">
        <f t="array" ref="B77">IF(COUNTIFS(INDEX(Equipment_Allocation_New,0,MATCH($C$57,Unit_codes,0)),"&gt;0")&lt;ROWS('2.2-Equipment input'!$X$8:$X25),"N/A",INDEX('2.2-Equipment input'!B:B,SMALL(IF(INDEX(Equipment_Allocation_New,0,MATCH($C$57,Unit_codes,0))&gt;0,ROW(equipment_ID)),ROW('2.2-Equipment input'!B19))))</f>
        <v>N/A</v>
      </c>
      <c r="C77" s="76" t="str">
        <f>IF($B77="N/A","N/A",INDEX(Equipment_name[],MATCH(B77,equipment_ID,0)))</f>
        <v>N/A</v>
      </c>
      <c r="D77" s="87" t="str">
        <f t="shared" si="3"/>
        <v>N/A</v>
      </c>
      <c r="E77" s="94" t="str">
        <f t="shared" si="4"/>
        <v>N/A</v>
      </c>
      <c r="F77" s="132" t="str">
        <f t="shared" si="5"/>
        <v/>
      </c>
      <c r="G77" s="209" t="str">
        <f t="shared" si="6"/>
        <v/>
      </c>
    </row>
    <row r="78" spans="2:7">
      <c r="B78" s="76" t="str">
        <f t="array" ref="B78">IF(COUNTIFS(INDEX(Equipment_Allocation_New,0,MATCH($C$57,Unit_codes,0)),"&gt;0")&lt;ROWS('2.2-Equipment input'!$X$8:$X26),"N/A",INDEX('2.2-Equipment input'!B:B,SMALL(IF(INDEX(Equipment_Allocation_New,0,MATCH($C$57,Unit_codes,0))&gt;0,ROW(equipment_ID)),ROW('2.2-Equipment input'!B20))))</f>
        <v>N/A</v>
      </c>
      <c r="C78" s="76" t="str">
        <f>IF($B78="N/A","N/A",INDEX(Equipment_name[],MATCH(B78,equipment_ID,0)))</f>
        <v>N/A</v>
      </c>
      <c r="D78" s="87" t="str">
        <f t="shared" si="3"/>
        <v>N/A</v>
      </c>
      <c r="E78" s="94" t="str">
        <f t="shared" si="4"/>
        <v>N/A</v>
      </c>
      <c r="F78" s="132" t="str">
        <f t="shared" si="5"/>
        <v/>
      </c>
      <c r="G78" s="209" t="str">
        <f t="shared" si="6"/>
        <v/>
      </c>
    </row>
    <row r="79" spans="2:7">
      <c r="B79" s="76" t="str">
        <f t="array" ref="B79">IF(COUNTIFS(INDEX(Equipment_Allocation_New,0,MATCH($C$57,Unit_codes,0)),"&gt;0")&lt;ROWS('2.2-Equipment input'!$X$8:$X27),"N/A",INDEX('2.2-Equipment input'!B:B,SMALL(IF(INDEX(Equipment_Allocation_New,0,MATCH($C$57,Unit_codes,0))&gt;0,ROW(equipment_ID)),ROW('2.2-Equipment input'!B21))))</f>
        <v>N/A</v>
      </c>
      <c r="C79" s="76" t="str">
        <f>IF($B79="N/A","N/A",INDEX(Equipment_name[],MATCH(B79,equipment_ID,0)))</f>
        <v>N/A</v>
      </c>
      <c r="D79" s="87" t="str">
        <f t="shared" si="3"/>
        <v>N/A</v>
      </c>
      <c r="E79" s="94" t="str">
        <f t="shared" si="4"/>
        <v>N/A</v>
      </c>
      <c r="F79" s="132" t="str">
        <f t="shared" si="5"/>
        <v/>
      </c>
      <c r="G79" s="209" t="str">
        <f t="shared" si="6"/>
        <v/>
      </c>
    </row>
    <row r="80" spans="2:7">
      <c r="B80" s="76" t="str">
        <f t="array" ref="B80">IF(COUNTIFS(INDEX(Equipment_Allocation_New,0,MATCH($C$57,Unit_codes,0)),"&gt;0")&lt;ROWS('2.2-Equipment input'!$X$8:$X28),"N/A",INDEX('2.2-Equipment input'!B:B,SMALL(IF(INDEX(Equipment_Allocation_New,0,MATCH($C$57,Unit_codes,0))&gt;0,ROW(equipment_ID)),ROW('2.2-Equipment input'!B22))))</f>
        <v>N/A</v>
      </c>
      <c r="C80" s="76" t="str">
        <f>IF($B80="N/A","N/A",INDEX(Equipment_name[],MATCH(B80,equipment_ID,0)))</f>
        <v>N/A</v>
      </c>
      <c r="D80" s="87" t="str">
        <f t="shared" si="3"/>
        <v>N/A</v>
      </c>
      <c r="E80" s="94" t="str">
        <f t="shared" si="4"/>
        <v>N/A</v>
      </c>
      <c r="F80" s="132" t="str">
        <f t="shared" si="5"/>
        <v/>
      </c>
      <c r="G80" s="209" t="str">
        <f t="shared" si="6"/>
        <v/>
      </c>
    </row>
    <row r="81" spans="2:7">
      <c r="B81" s="76" t="str">
        <f t="array" ref="B81">IF(COUNTIFS(INDEX(Equipment_Allocation_New,0,MATCH($C$57,Unit_codes,0)),"&gt;0")&lt;ROWS('2.2-Equipment input'!$X$8:$X29),"N/A",INDEX('2.2-Equipment input'!B:B,SMALL(IF(INDEX(Equipment_Allocation_New,0,MATCH($C$57,Unit_codes,0))&gt;0,ROW(equipment_ID)),ROW('2.2-Equipment input'!B23))))</f>
        <v>N/A</v>
      </c>
      <c r="C81" s="76" t="str">
        <f>IF($B81="N/A","N/A",INDEX(Equipment_name[],MATCH(B81,equipment_ID,0)))</f>
        <v>N/A</v>
      </c>
      <c r="D81" s="87" t="str">
        <f t="shared" si="3"/>
        <v>N/A</v>
      </c>
      <c r="E81" s="94" t="str">
        <f t="shared" si="4"/>
        <v>N/A</v>
      </c>
      <c r="F81" s="132" t="str">
        <f t="shared" si="5"/>
        <v/>
      </c>
      <c r="G81" s="209" t="str">
        <f t="shared" si="6"/>
        <v/>
      </c>
    </row>
    <row r="82" spans="2:7">
      <c r="B82" s="76" t="str">
        <f t="array" ref="B82">IF(COUNTIFS(INDEX(Equipment_Allocation_New,0,MATCH($C$57,Unit_codes,0)),"&gt;0")&lt;ROWS('2.2-Equipment input'!$X$8:$X30),"N/A",INDEX('2.2-Equipment input'!B:B,SMALL(IF(INDEX(Equipment_Allocation_New,0,MATCH($C$57,Unit_codes,0))&gt;0,ROW(equipment_ID)),ROW('2.2-Equipment input'!B24))))</f>
        <v>N/A</v>
      </c>
      <c r="C82" s="76" t="str">
        <f>IF($B82="N/A","N/A",INDEX(Equipment_name[],MATCH(B82,equipment_ID,0)))</f>
        <v>N/A</v>
      </c>
      <c r="D82" s="87" t="str">
        <f t="shared" si="3"/>
        <v>N/A</v>
      </c>
      <c r="E82" s="94" t="str">
        <f t="shared" si="4"/>
        <v>N/A</v>
      </c>
      <c r="F82" s="132" t="str">
        <f t="shared" si="5"/>
        <v/>
      </c>
      <c r="G82" s="209" t="str">
        <f t="shared" si="6"/>
        <v/>
      </c>
    </row>
    <row r="83" spans="2:7">
      <c r="B83" s="76" t="str">
        <f t="array" ref="B83">IF(COUNTIFS(INDEX(Equipment_Allocation_New,0,MATCH($C$57,Unit_codes,0)),"&gt;0")&lt;ROWS('2.2-Equipment input'!$X$8:$X31),"N/A",INDEX('2.2-Equipment input'!B:B,SMALL(IF(INDEX(Equipment_Allocation_New,0,MATCH($C$57,Unit_codes,0))&gt;0,ROW(equipment_ID)),ROW('2.2-Equipment input'!B25))))</f>
        <v>N/A</v>
      </c>
      <c r="C83" s="76" t="str">
        <f>IF($B83="N/A","N/A",INDEX(Equipment_name[],MATCH(B83,equipment_ID,0)))</f>
        <v>N/A</v>
      </c>
      <c r="D83" s="87" t="str">
        <f t="shared" si="3"/>
        <v>N/A</v>
      </c>
      <c r="E83" s="94" t="str">
        <f t="shared" si="4"/>
        <v>N/A</v>
      </c>
      <c r="F83" s="132" t="str">
        <f t="shared" si="5"/>
        <v/>
      </c>
      <c r="G83" s="209" t="str">
        <f t="shared" si="6"/>
        <v/>
      </c>
    </row>
    <row r="84" spans="2:7">
      <c r="B84" s="76" t="str">
        <f t="array" ref="B84">IF(COUNTIFS(INDEX(Equipment_Allocation_New,0,MATCH($C$57,Unit_codes,0)),"&gt;0")&lt;ROWS('2.2-Equipment input'!$X$8:$X32),"N/A",INDEX('2.2-Equipment input'!B:B,SMALL(IF(INDEX(Equipment_Allocation_New,0,MATCH($C$57,Unit_codes,0))&gt;0,ROW(equipment_ID)),ROW('2.2-Equipment input'!B26))))</f>
        <v>N/A</v>
      </c>
      <c r="C84" s="76" t="str">
        <f>IF($B84="N/A","N/A",INDEX(Equipment_name[],MATCH(B84,equipment_ID,0)))</f>
        <v>N/A</v>
      </c>
      <c r="D84" s="87" t="str">
        <f t="shared" si="3"/>
        <v>N/A</v>
      </c>
      <c r="E84" s="94" t="str">
        <f t="shared" si="4"/>
        <v>N/A</v>
      </c>
      <c r="F84" s="132" t="str">
        <f t="shared" si="5"/>
        <v/>
      </c>
      <c r="G84" s="209" t="str">
        <f t="shared" si="6"/>
        <v/>
      </c>
    </row>
    <row r="85" spans="2:7">
      <c r="B85" s="76" t="str">
        <f t="array" ref="B85">IF(COUNTIFS(INDEX(Equipment_Allocation_New,0,MATCH($C$57,Unit_codes,0)),"&gt;0")&lt;ROWS('2.2-Equipment input'!$X$8:$X33),"N/A",INDEX('2.2-Equipment input'!B:B,SMALL(IF(INDEX(Equipment_Allocation_New,0,MATCH($C$57,Unit_codes,0))&gt;0,ROW(equipment_ID)),ROW('2.2-Equipment input'!B27))))</f>
        <v>N/A</v>
      </c>
      <c r="C85" s="76" t="str">
        <f>IF($B85="N/A","N/A",INDEX(Equipment_name[],MATCH(B85,equipment_ID,0)))</f>
        <v>N/A</v>
      </c>
      <c r="D85" s="87" t="str">
        <f t="shared" si="3"/>
        <v>N/A</v>
      </c>
      <c r="E85" s="94" t="str">
        <f t="shared" si="4"/>
        <v>N/A</v>
      </c>
      <c r="F85" s="132" t="str">
        <f t="shared" si="5"/>
        <v/>
      </c>
      <c r="G85" s="209" t="str">
        <f t="shared" si="6"/>
        <v/>
      </c>
    </row>
    <row r="86" spans="2:7">
      <c r="B86" s="76" t="str">
        <f t="array" ref="B86">IF(COUNTIFS(INDEX(Equipment_Allocation_New,0,MATCH($C$57,Unit_codes,0)),"&gt;0")&lt;ROWS('2.2-Equipment input'!$X$8:$X34),"N/A",INDEX('2.2-Equipment input'!B:B,SMALL(IF(INDEX(Equipment_Allocation_New,0,MATCH($C$57,Unit_codes,0))&gt;0,ROW(equipment_ID)),ROW('2.2-Equipment input'!B28))))</f>
        <v>N/A</v>
      </c>
      <c r="C86" s="76" t="str">
        <f>IF($B86="N/A","N/A",INDEX(Equipment_name[],MATCH(B86,equipment_ID,0)))</f>
        <v>N/A</v>
      </c>
      <c r="D86" s="87" t="str">
        <f t="shared" si="3"/>
        <v>N/A</v>
      </c>
      <c r="E86" s="94" t="str">
        <f t="shared" si="4"/>
        <v>N/A</v>
      </c>
      <c r="F86" s="132" t="str">
        <f t="shared" si="5"/>
        <v/>
      </c>
      <c r="G86" s="209" t="str">
        <f t="shared" si="6"/>
        <v/>
      </c>
    </row>
    <row r="87" spans="2:7">
      <c r="B87" s="76" t="str">
        <f t="array" ref="B87">IF(COUNTIFS(INDEX(Equipment_Allocation_New,0,MATCH($C$57,Unit_codes,0)),"&gt;0")&lt;ROWS('2.2-Equipment input'!$X$8:$X35),"N/A",INDEX('2.2-Equipment input'!B:B,SMALL(IF(INDEX(Equipment_Allocation_New,0,MATCH($C$57,Unit_codes,0))&gt;0,ROW(equipment_ID)),ROW('2.2-Equipment input'!B29))))</f>
        <v>N/A</v>
      </c>
      <c r="C87" s="76" t="str">
        <f>IF($B87="N/A","N/A",INDEX(Equipment_name[],MATCH(B87,equipment_ID,0)))</f>
        <v>N/A</v>
      </c>
      <c r="D87" s="87" t="str">
        <f t="shared" si="3"/>
        <v>N/A</v>
      </c>
      <c r="E87" s="94" t="str">
        <f t="shared" si="4"/>
        <v>N/A</v>
      </c>
      <c r="F87" s="132" t="str">
        <f t="shared" si="5"/>
        <v/>
      </c>
      <c r="G87" s="209" t="str">
        <f t="shared" si="6"/>
        <v/>
      </c>
    </row>
    <row r="88" spans="2:7">
      <c r="B88" s="76" t="str">
        <f t="array" ref="B88">IF(COUNTIFS(INDEX(Equipment_Allocation_New,0,MATCH($C$57,Unit_codes,0)),"&gt;0")&lt;ROWS('2.2-Equipment input'!$X$8:$X36),"N/A",INDEX('2.2-Equipment input'!B:B,SMALL(IF(INDEX(Equipment_Allocation_New,0,MATCH($C$57,Unit_codes,0))&gt;0,ROW(equipment_ID)),ROW('2.2-Equipment input'!B30))))</f>
        <v>N/A</v>
      </c>
      <c r="C88" s="76" t="str">
        <f>IF($B88="N/A","N/A",INDEX(Equipment_name[],MATCH(B88,equipment_ID,0)))</f>
        <v>N/A</v>
      </c>
      <c r="D88" s="87" t="str">
        <f t="shared" si="3"/>
        <v>N/A</v>
      </c>
      <c r="E88" s="94" t="str">
        <f t="shared" si="4"/>
        <v>N/A</v>
      </c>
      <c r="F88" s="132" t="str">
        <f t="shared" si="5"/>
        <v/>
      </c>
      <c r="G88" s="209" t="str">
        <f t="shared" si="6"/>
        <v/>
      </c>
    </row>
    <row r="89" spans="2:7">
      <c r="B89" s="76" t="str">
        <f t="array" ref="B89">IF(COUNTIFS(INDEX(Equipment_Allocation_New,0,MATCH($C$57,Unit_codes,0)),"&gt;0")&lt;ROWS('2.2-Equipment input'!$X$8:$X37),"N/A",INDEX('2.2-Equipment input'!B:B,SMALL(IF(INDEX(Equipment_Allocation_New,0,MATCH($C$57,Unit_codes,0))&gt;0,ROW(equipment_ID)),ROW('2.2-Equipment input'!B31))))</f>
        <v>N/A</v>
      </c>
      <c r="C89" s="76" t="str">
        <f>IF($B89="N/A","N/A",INDEX(Equipment_name[],MATCH(B89,equipment_ID,0)))</f>
        <v>N/A</v>
      </c>
      <c r="D89" s="87" t="str">
        <f t="shared" si="3"/>
        <v>N/A</v>
      </c>
      <c r="E89" s="94" t="str">
        <f t="shared" si="4"/>
        <v>N/A</v>
      </c>
      <c r="F89" s="132" t="str">
        <f t="shared" si="5"/>
        <v/>
      </c>
      <c r="G89" s="209" t="str">
        <f t="shared" si="6"/>
        <v/>
      </c>
    </row>
    <row r="90" spans="2:7">
      <c r="B90" s="76" t="str">
        <f t="array" ref="B90">IF(COUNTIFS(INDEX(Equipment_Allocation_New,0,MATCH($C$57,Unit_codes,0)),"&gt;0")&lt;ROWS('2.2-Equipment input'!$X$8:$X38),"N/A",INDEX('2.2-Equipment input'!B:B,SMALL(IF(INDEX(Equipment_Allocation_New,0,MATCH($C$57,Unit_codes,0))&gt;0,ROW(equipment_ID)),ROW('2.2-Equipment input'!B32))))</f>
        <v>N/A</v>
      </c>
      <c r="C90" s="76" t="str">
        <f>IF($B90="N/A","N/A",INDEX(Equipment_name[],MATCH(B90,equipment_ID,0)))</f>
        <v>N/A</v>
      </c>
      <c r="D90" s="87" t="str">
        <f t="shared" si="3"/>
        <v>N/A</v>
      </c>
      <c r="E90" s="94" t="str">
        <f t="shared" si="4"/>
        <v>N/A</v>
      </c>
      <c r="F90" s="132" t="str">
        <f t="shared" si="5"/>
        <v/>
      </c>
      <c r="G90" s="209" t="str">
        <f t="shared" si="6"/>
        <v/>
      </c>
    </row>
    <row r="91" spans="2:7">
      <c r="B91" s="76" t="str">
        <f t="array" ref="B91">IF(COUNTIFS(INDEX(Equipment_Allocation_New,0,MATCH($C$57,Unit_codes,0)),"&gt;0")&lt;ROWS('2.2-Equipment input'!$X$8:$X39),"N/A",INDEX('2.2-Equipment input'!B:B,SMALL(IF(INDEX(Equipment_Allocation_New,0,MATCH($C$57,Unit_codes,0))&gt;0,ROW(equipment_ID)),ROW('2.2-Equipment input'!B33))))</f>
        <v>N/A</v>
      </c>
      <c r="C91" s="76" t="str">
        <f>IF($B91="N/A","N/A",INDEX(Equipment_name[],MATCH(B91,equipment_ID,0)))</f>
        <v>N/A</v>
      </c>
      <c r="D91" s="87" t="str">
        <f t="shared" si="3"/>
        <v>N/A</v>
      </c>
      <c r="E91" s="94" t="str">
        <f t="shared" si="4"/>
        <v>N/A</v>
      </c>
      <c r="F91" s="132" t="str">
        <f t="shared" si="5"/>
        <v/>
      </c>
      <c r="G91" s="209" t="str">
        <f t="shared" si="6"/>
        <v/>
      </c>
    </row>
    <row r="92" spans="2:7">
      <c r="B92" s="76" t="str">
        <f t="array" ref="B92">IF(COUNTIFS(INDEX(Equipment_Allocation_New,0,MATCH($C$57,Unit_codes,0)),"&gt;0")&lt;ROWS('2.2-Equipment input'!$X$8:$X40),"N/A",INDEX('2.2-Equipment input'!B:B,SMALL(IF(INDEX(Equipment_Allocation_New,0,MATCH($C$57,Unit_codes,0))&gt;0,ROW(equipment_ID)),ROW('2.2-Equipment input'!B34))))</f>
        <v>N/A</v>
      </c>
      <c r="C92" s="76" t="str">
        <f>IF($B92="N/A","N/A",INDEX(Equipment_name[],MATCH(B92,equipment_ID,0)))</f>
        <v>N/A</v>
      </c>
      <c r="D92" s="87" t="str">
        <f t="shared" si="3"/>
        <v>N/A</v>
      </c>
      <c r="E92" s="94" t="str">
        <f t="shared" si="4"/>
        <v>N/A</v>
      </c>
      <c r="F92" s="132" t="str">
        <f t="shared" si="5"/>
        <v/>
      </c>
      <c r="G92" s="209" t="str">
        <f t="shared" si="6"/>
        <v/>
      </c>
    </row>
    <row r="93" spans="2:7">
      <c r="B93" s="76" t="str">
        <f t="array" ref="B93">IF(COUNTIFS(INDEX(Equipment_Allocation_New,0,MATCH($C$57,Unit_codes,0)),"&gt;0")&lt;ROWS('2.2-Equipment input'!$X$8:$X41),"N/A",INDEX('2.2-Equipment input'!B:B,SMALL(IF(INDEX(Equipment_Allocation_New,0,MATCH($C$57,Unit_codes,0))&gt;0,ROW(equipment_ID)),ROW('2.2-Equipment input'!B35))))</f>
        <v>N/A</v>
      </c>
      <c r="C93" s="76" t="str">
        <f>IF($B93="N/A","N/A",INDEX(Equipment_name[],MATCH(B93,equipment_ID,0)))</f>
        <v>N/A</v>
      </c>
      <c r="D93" s="87" t="str">
        <f t="shared" si="3"/>
        <v>N/A</v>
      </c>
      <c r="E93" s="94" t="str">
        <f t="shared" si="4"/>
        <v>N/A</v>
      </c>
      <c r="F93" s="132" t="str">
        <f t="shared" si="5"/>
        <v/>
      </c>
      <c r="G93" s="209" t="str">
        <f t="shared" si="6"/>
        <v/>
      </c>
    </row>
    <row r="94" spans="2:7">
      <c r="B94" s="76" t="str">
        <f t="array" ref="B94">IF(COUNTIFS(INDEX(Equipment_Allocation_New,0,MATCH($C$57,Unit_codes,0)),"&gt;0")&lt;ROWS('2.2-Equipment input'!$X$8:$X42),"N/A",INDEX('2.2-Equipment input'!B:B,SMALL(IF(INDEX(Equipment_Allocation_New,0,MATCH($C$57,Unit_codes,0))&gt;0,ROW(equipment_ID)),ROW('2.2-Equipment input'!B36))))</f>
        <v>N/A</v>
      </c>
      <c r="C94" s="76" t="str">
        <f>IF($B94="N/A","N/A",INDEX(Equipment_name[],MATCH(B94,equipment_ID,0)))</f>
        <v>N/A</v>
      </c>
      <c r="D94" s="87" t="str">
        <f t="shared" si="3"/>
        <v>N/A</v>
      </c>
      <c r="E94" s="94" t="str">
        <f t="shared" si="4"/>
        <v>N/A</v>
      </c>
      <c r="F94" s="132" t="str">
        <f t="shared" si="5"/>
        <v/>
      </c>
      <c r="G94" s="209" t="str">
        <f t="shared" si="6"/>
        <v/>
      </c>
    </row>
    <row r="95" spans="2:7">
      <c r="B95" s="76" t="str">
        <f t="array" ref="B95">IF(COUNTIFS(INDEX(Equipment_Allocation_New,0,MATCH($C$57,Unit_codes,0)),"&gt;0")&lt;ROWS('2.2-Equipment input'!$X$8:$X43),"N/A",INDEX('2.2-Equipment input'!B:B,SMALL(IF(INDEX(Equipment_Allocation_New,0,MATCH($C$57,Unit_codes,0))&gt;0,ROW(equipment_ID)),ROW('2.2-Equipment input'!B37))))</f>
        <v>N/A</v>
      </c>
      <c r="C95" s="76" t="str">
        <f>IF($B95="N/A","N/A",INDEX(Equipment_name[],MATCH(B95,equipment_ID,0)))</f>
        <v>N/A</v>
      </c>
      <c r="D95" s="87" t="str">
        <f t="shared" si="3"/>
        <v>N/A</v>
      </c>
      <c r="E95" s="94" t="str">
        <f t="shared" si="4"/>
        <v>N/A</v>
      </c>
      <c r="F95" s="132" t="str">
        <f t="shared" si="5"/>
        <v/>
      </c>
      <c r="G95" s="209" t="str">
        <f t="shared" si="6"/>
        <v/>
      </c>
    </row>
    <row r="96" spans="2:7">
      <c r="B96" s="76" t="str">
        <f t="array" ref="B96">IF(COUNTIFS(INDEX(Equipment_Allocation_New,0,MATCH($C$57,Unit_codes,0)),"&gt;0")&lt;ROWS('2.2-Equipment input'!$X$8:$X44),"N/A",INDEX('2.2-Equipment input'!B:B,SMALL(IF(INDEX(Equipment_Allocation_New,0,MATCH($C$57,Unit_codes,0))&gt;0,ROW(equipment_ID)),ROW('2.2-Equipment input'!B38))))</f>
        <v>N/A</v>
      </c>
      <c r="C96" s="76" t="str">
        <f>IF($B96="N/A","N/A",INDEX(Equipment_name[],MATCH(B96,equipment_ID,0)))</f>
        <v>N/A</v>
      </c>
      <c r="D96" s="87" t="str">
        <f t="shared" si="3"/>
        <v>N/A</v>
      </c>
      <c r="E96" s="94" t="str">
        <f t="shared" si="4"/>
        <v>N/A</v>
      </c>
      <c r="F96" s="132" t="str">
        <f t="shared" si="5"/>
        <v/>
      </c>
      <c r="G96" s="209" t="str">
        <f t="shared" si="6"/>
        <v/>
      </c>
    </row>
    <row r="97" spans="2:7">
      <c r="B97" s="76" t="str">
        <f t="array" ref="B97">IF(COUNTIFS(INDEX(Equipment_Allocation_New,0,MATCH($C$57,Unit_codes,0)),"&gt;0")&lt;ROWS('2.2-Equipment input'!$X$8:$X45),"N/A",INDEX('2.2-Equipment input'!B:B,SMALL(IF(INDEX(Equipment_Allocation_New,0,MATCH($C$57,Unit_codes,0))&gt;0,ROW(equipment_ID)),ROW('2.2-Equipment input'!B39))))</f>
        <v>N/A</v>
      </c>
      <c r="C97" s="76" t="str">
        <f>IF($B97="N/A","N/A",INDEX(Equipment_name[],MATCH(B97,equipment_ID,0)))</f>
        <v>N/A</v>
      </c>
      <c r="D97" s="87" t="str">
        <f t="shared" si="3"/>
        <v>N/A</v>
      </c>
      <c r="E97" s="94" t="str">
        <f t="shared" si="4"/>
        <v>N/A</v>
      </c>
      <c r="F97" s="132" t="str">
        <f t="shared" si="5"/>
        <v/>
      </c>
      <c r="G97" s="209" t="str">
        <f t="shared" si="6"/>
        <v/>
      </c>
    </row>
    <row r="98" spans="2:7" ht="33" customHeight="1"/>
  </sheetData>
  <sheetProtection algorithmName="SHA-512" hashValue="aXBIHJ/LQslkaxBDCrdlmJr/8Ubghweg7soMFE/XhVogxxkofnzIbf0rTcAJWsoiJYZ42lcwAJCdMsc0YvYfCA==" saltValue="i0ca5dK0I3011Mb/LYCR3A==" spinCount="100000" sheet="1" objects="1" scenarios="1"/>
  <mergeCells count="1">
    <mergeCell ref="C6:D6"/>
  </mergeCells>
  <conditionalFormatting sqref="B60:D97">
    <cfRule type="containsText" dxfId="28" priority="29" operator="containsText" text="N/A">
      <formula>NOT(ISERROR(SEARCH("N/A",B60)))</formula>
    </cfRule>
  </conditionalFormatting>
  <conditionalFormatting sqref="E60:E97">
    <cfRule type="containsText" dxfId="27" priority="28" operator="containsText" text="N/A">
      <formula>NOT(ISERROR(SEARCH("N/A",E60)))</formula>
    </cfRule>
  </conditionalFormatting>
  <conditionalFormatting sqref="E9:E31 B9:B31">
    <cfRule type="containsText" dxfId="26" priority="27" operator="containsText" text="N/A">
      <formula>NOT(ISERROR(SEARCH("N/A",B9)))</formula>
    </cfRule>
  </conditionalFormatting>
  <conditionalFormatting sqref="C9:C31">
    <cfRule type="containsText" dxfId="25" priority="26" operator="containsText" text="N/A">
      <formula>NOT(ISERROR(SEARCH("N/A",C9)))</formula>
    </cfRule>
  </conditionalFormatting>
  <conditionalFormatting sqref="D9:D31">
    <cfRule type="containsText" dxfId="24" priority="25" operator="containsText" text="N/A">
      <formula>NOT(ISERROR(SEARCH("N/A",D9)))</formula>
    </cfRule>
  </conditionalFormatting>
  <conditionalFormatting sqref="F9:F31">
    <cfRule type="containsText" dxfId="23" priority="24" operator="containsText" text="N/A">
      <formula>NOT(ISERROR(SEARCH("N/A",F9)))</formula>
    </cfRule>
  </conditionalFormatting>
  <conditionalFormatting sqref="B36:C43">
    <cfRule type="containsText" dxfId="22" priority="23" operator="containsText" text="N/A">
      <formula>NOT(ISERROR(SEARCH("N/A",B36)))</formula>
    </cfRule>
  </conditionalFormatting>
  <conditionalFormatting sqref="D36:D43">
    <cfRule type="containsText" dxfId="21" priority="22" operator="containsText" text="N/A">
      <formula>NOT(ISERROR(SEARCH("N/A",D36)))</formula>
    </cfRule>
  </conditionalFormatting>
  <conditionalFormatting sqref="C46:C49">
    <cfRule type="expression" dxfId="20" priority="19">
      <formula>IF(INDIRECT("General_Currency_Selection")="CHF",TRUE)</formula>
    </cfRule>
    <cfRule type="expression" dxfId="19" priority="20">
      <formula>IF(INDIRECT("General_Currency_Selection")="EUR",TRUE)</formula>
    </cfRule>
    <cfRule type="expression" dxfId="18" priority="21">
      <formula>IF(INDIRECT("General_Currency_Selection")="USD",TRUE)</formula>
    </cfRule>
  </conditionalFormatting>
  <conditionalFormatting sqref="C52:C53">
    <cfRule type="expression" dxfId="17" priority="16">
      <formula>IF(INDIRECT("General_Currency_Selection")="CHF",TRUE)</formula>
    </cfRule>
    <cfRule type="expression" dxfId="16" priority="17">
      <formula>IF(INDIRECT("General_Currency_Selection")="EUR",TRUE)</formula>
    </cfRule>
    <cfRule type="expression" dxfId="15" priority="18">
      <formula>IF(INDIRECT("General_Currency_Selection")="USD",TRUE)</formula>
    </cfRule>
  </conditionalFormatting>
  <conditionalFormatting sqref="G33">
    <cfRule type="expression" dxfId="14" priority="13">
      <formula>IF(INDIRECT("General_Currency_Selection")="CHF",TRUE)</formula>
    </cfRule>
    <cfRule type="expression" dxfId="13" priority="14">
      <formula>IF(INDIRECT("General_Currency_Selection")="EUR",TRUE)</formula>
    </cfRule>
    <cfRule type="expression" dxfId="12" priority="15">
      <formula>IF(INDIRECT("General_Currency_Selection")="USD",TRUE)</formula>
    </cfRule>
  </conditionalFormatting>
  <conditionalFormatting sqref="G3">
    <cfRule type="expression" dxfId="11" priority="10">
      <formula>IF(INDIRECT("General_Currency_Selection")="CHF",TRUE)</formula>
    </cfRule>
    <cfRule type="expression" dxfId="10" priority="11">
      <formula>IF(INDIRECT("General_Currency_Selection")="EUR",TRUE)</formula>
    </cfRule>
    <cfRule type="expression" dxfId="9" priority="12">
      <formula>IF(INDIRECT("General_Currency_Selection")="USD",TRUE)</formula>
    </cfRule>
  </conditionalFormatting>
  <conditionalFormatting sqref="G9:G31">
    <cfRule type="expression" dxfId="8" priority="7">
      <formula>IF(INDIRECT("General_Currency_Selection")="CHF",TRUE)</formula>
    </cfRule>
    <cfRule type="expression" dxfId="7" priority="8">
      <formula>IF(INDIRECT("General_Currency_Selection")="EUR",TRUE)</formula>
    </cfRule>
    <cfRule type="expression" dxfId="6" priority="9">
      <formula>IF(INDIRECT("General_Currency_Selection")="USD",TRUE)</formula>
    </cfRule>
  </conditionalFormatting>
  <conditionalFormatting sqref="G55">
    <cfRule type="expression" dxfId="5" priority="4">
      <formula>IF(INDIRECT("General_Currency_Selection")="CHF",TRUE)</formula>
    </cfRule>
    <cfRule type="expression" dxfId="4" priority="5">
      <formula>IF(INDIRECT("General_Currency_Selection")="EUR",TRUE)</formula>
    </cfRule>
    <cfRule type="expression" dxfId="3" priority="6">
      <formula>IF(INDIRECT("General_Currency_Selection")="USD",TRUE)</formula>
    </cfRule>
  </conditionalFormatting>
  <conditionalFormatting sqref="G60:G97">
    <cfRule type="expression" dxfId="2" priority="1">
      <formula>IF(INDIRECT("General_Currency_Selection")="CHF",TRUE)</formula>
    </cfRule>
    <cfRule type="expression" dxfId="1" priority="2">
      <formula>IF(INDIRECT("General_Currency_Selection")="EUR",TRUE)</formula>
    </cfRule>
    <cfRule type="expression" dxfId="0" priority="3">
      <formula>IF(INDIRECT("General_Currency_Selection")="USD",TRUE)</formula>
    </cfRule>
  </conditionalFormatting>
  <dataValidations count="1">
    <dataValidation type="list" allowBlank="1" showInputMessage="1" showErrorMessage="1" sqref="C6 C57">
      <formula1>Unit_codes</formula1>
    </dataValidation>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sheetPr>
  <dimension ref="B1:W124"/>
  <sheetViews>
    <sheetView zoomScale="85" zoomScaleNormal="85" workbookViewId="0">
      <pane xSplit="3" ySplit="3" topLeftCell="D4" activePane="bottomRight" state="frozen"/>
      <selection pane="topRight" activeCell="D1" sqref="D1"/>
      <selection pane="bottomLeft" activeCell="A5" sqref="A5"/>
      <selection pane="bottomRight" activeCell="E18" sqref="E18"/>
    </sheetView>
  </sheetViews>
  <sheetFormatPr defaultColWidth="11.140625" defaultRowHeight="15"/>
  <cols>
    <col min="1" max="1" width="0.85546875" style="226" customWidth="1"/>
    <col min="2" max="2" width="11.85546875" style="226" customWidth="1"/>
    <col min="3" max="3" width="24.5703125" style="226" customWidth="1"/>
    <col min="4" max="4" width="20.42578125" style="226" customWidth="1"/>
    <col min="5" max="5" width="19.7109375" style="226" customWidth="1"/>
    <col min="6" max="6" width="16.28515625" style="226" bestFit="1" customWidth="1"/>
    <col min="7" max="7" width="16.28515625" style="226" customWidth="1"/>
    <col min="8" max="8" width="15" style="226" customWidth="1"/>
    <col min="9" max="9" width="18.5703125" style="226" customWidth="1"/>
    <col min="10" max="14" width="11.140625" style="226"/>
    <col min="15" max="15" width="15.42578125" style="226" customWidth="1"/>
    <col min="16" max="16384" width="11.140625" style="226"/>
  </cols>
  <sheetData>
    <row r="1" spans="2:23" ht="18.75">
      <c r="B1" s="414" t="s">
        <v>902</v>
      </c>
      <c r="C1" s="415"/>
      <c r="D1" s="415"/>
      <c r="E1" s="415"/>
      <c r="F1" s="415"/>
      <c r="G1" s="415"/>
      <c r="H1" s="415"/>
      <c r="I1" s="416"/>
      <c r="J1" s="244" t="s">
        <v>415</v>
      </c>
      <c r="K1" s="245"/>
      <c r="L1" s="245"/>
      <c r="M1" s="245"/>
      <c r="N1" s="245"/>
      <c r="O1" s="245"/>
      <c r="P1" s="245"/>
      <c r="Q1" s="245"/>
      <c r="R1" s="245"/>
      <c r="S1" s="246"/>
    </row>
    <row r="2" spans="2:23" ht="33" customHeight="1" thickBot="1">
      <c r="B2" s="228"/>
      <c r="C2" s="229"/>
      <c r="D2" s="229"/>
      <c r="E2" s="229"/>
      <c r="F2" s="229"/>
      <c r="G2" s="229"/>
      <c r="H2" s="229"/>
      <c r="I2" s="230"/>
      <c r="J2" s="231" t="str">
        <f>INDEX(Unit_codes,COLUMNS($J2:J2))</f>
        <v>U-W</v>
      </c>
      <c r="K2" s="232" t="str">
        <f>INDEX(Unit_codes,COLUMNS($J2:K2))</f>
        <v>U-T</v>
      </c>
      <c r="L2" s="232" t="str">
        <f>INDEX(Unit_codes,COLUMNS($J2:L2))</f>
        <v>U-H</v>
      </c>
      <c r="M2" s="232" t="str">
        <f>INDEX(Unit_codes,COLUMNS($J2:M2))</f>
        <v>U-N-Egg</v>
      </c>
      <c r="N2" s="232" t="str">
        <f>INDEX(Unit_codes,COLUMNS($J2:N2))</f>
        <v>U-N-5DOL</v>
      </c>
      <c r="O2" s="232" t="str">
        <f>INDEX(Unit_codes,COLUMNS($J2:O2))</f>
        <v>U-N-17DOL</v>
      </c>
      <c r="P2" s="232" t="str">
        <f>INDEX(Unit_codes,COLUMNS($J2:P2))</f>
        <v>U-P</v>
      </c>
      <c r="Q2" s="232" t="str">
        <f>INDEX(Unit_codes,COLUMNS($J2:Q2))</f>
        <v>U-R</v>
      </c>
      <c r="R2" s="232" t="str">
        <f>INDEX(Unit_codes,COLUMNS($J2:R2))</f>
        <v>SG&amp;A</v>
      </c>
      <c r="S2" s="233"/>
    </row>
    <row r="3" spans="2:23" ht="60">
      <c r="B3" s="73" t="s">
        <v>416</v>
      </c>
      <c r="C3" s="69" t="s">
        <v>417</v>
      </c>
      <c r="D3" s="70" t="s">
        <v>656</v>
      </c>
      <c r="E3" s="71" t="s">
        <v>661</v>
      </c>
      <c r="F3" s="71" t="s">
        <v>1064</v>
      </c>
      <c r="G3" s="71" t="s">
        <v>729</v>
      </c>
      <c r="H3" s="71" t="s">
        <v>78</v>
      </c>
      <c r="I3" s="72" t="s">
        <v>414</v>
      </c>
      <c r="J3" s="234" t="s">
        <v>629</v>
      </c>
      <c r="K3" s="235" t="s">
        <v>630</v>
      </c>
      <c r="L3" s="235" t="s">
        <v>628</v>
      </c>
      <c r="M3" s="235" t="s">
        <v>626</v>
      </c>
      <c r="N3" s="235" t="s">
        <v>627</v>
      </c>
      <c r="O3" s="235" t="s">
        <v>628</v>
      </c>
      <c r="P3" s="235" t="s">
        <v>631</v>
      </c>
      <c r="Q3" s="235" t="s">
        <v>632</v>
      </c>
      <c r="R3" s="235"/>
      <c r="S3" s="74" t="s">
        <v>185</v>
      </c>
    </row>
    <row r="4" spans="2:23">
      <c r="B4" s="236" t="s">
        <v>314</v>
      </c>
      <c r="C4" s="782" t="s">
        <v>267</v>
      </c>
      <c r="D4" s="783"/>
      <c r="E4" s="783"/>
      <c r="F4" s="784">
        <v>0</v>
      </c>
      <c r="G4" s="785">
        <f>IFERROR(F4/(INDEX(Settings_Currency_Table[],MATCH(General_Currency_Selection,Settings_Currency,0),2)),0)</f>
        <v>0</v>
      </c>
      <c r="H4" s="783"/>
      <c r="I4" s="786"/>
      <c r="J4" s="787">
        <v>0</v>
      </c>
      <c r="K4" s="788">
        <v>0</v>
      </c>
      <c r="L4" s="788">
        <v>0</v>
      </c>
      <c r="M4" s="788">
        <v>0</v>
      </c>
      <c r="N4" s="788">
        <v>0</v>
      </c>
      <c r="O4" s="788">
        <v>0</v>
      </c>
      <c r="P4" s="788">
        <v>0</v>
      </c>
      <c r="Q4" s="788">
        <v>0</v>
      </c>
      <c r="R4" s="788">
        <v>0</v>
      </c>
      <c r="S4" s="238">
        <f t="shared" ref="S4:S35" si="0">SUM(J4:R4)</f>
        <v>0</v>
      </c>
    </row>
    <row r="5" spans="2:23">
      <c r="B5" s="239" t="s">
        <v>315</v>
      </c>
      <c r="C5" s="789" t="s">
        <v>105</v>
      </c>
      <c r="D5" s="790"/>
      <c r="E5" s="783"/>
      <c r="F5" s="791">
        <v>0.35</v>
      </c>
      <c r="G5" s="785">
        <f>IFERROR(F5/(INDEX(Settings_Currency_Table[],MATCH(General_Currency_Selection,Settings_Currency,0),2)),0)</f>
        <v>0.35</v>
      </c>
      <c r="H5" s="790" t="s">
        <v>976</v>
      </c>
      <c r="I5" s="792" t="s">
        <v>621</v>
      </c>
      <c r="J5" s="793">
        <v>0</v>
      </c>
      <c r="K5" s="794">
        <v>0</v>
      </c>
      <c r="L5" s="794">
        <v>0</v>
      </c>
      <c r="M5" s="794">
        <v>3.15</v>
      </c>
      <c r="N5" s="794">
        <v>4.4279999999999996E-3</v>
      </c>
      <c r="O5" s="794">
        <v>0</v>
      </c>
      <c r="P5" s="794">
        <v>0</v>
      </c>
      <c r="Q5" s="794">
        <v>0</v>
      </c>
      <c r="R5" s="794">
        <v>0</v>
      </c>
      <c r="S5" s="240">
        <f t="shared" si="0"/>
        <v>3.1544279999999998</v>
      </c>
    </row>
    <row r="6" spans="2:23" ht="15" customHeight="1">
      <c r="B6" s="236" t="s">
        <v>316</v>
      </c>
      <c r="C6" s="789" t="s">
        <v>106</v>
      </c>
      <c r="D6" s="790"/>
      <c r="E6" s="783"/>
      <c r="F6" s="791">
        <v>0.48299999999999998</v>
      </c>
      <c r="G6" s="785">
        <f>IFERROR(F6/(INDEX(Settings_Currency_Table[],MATCH(General_Currency_Selection,Settings_Currency,0),2)),0)</f>
        <v>0.48299999999999998</v>
      </c>
      <c r="H6" s="790" t="s">
        <v>977</v>
      </c>
      <c r="I6" s="792"/>
      <c r="J6" s="793">
        <v>0</v>
      </c>
      <c r="K6" s="794">
        <v>0</v>
      </c>
      <c r="L6" s="794">
        <v>0</v>
      </c>
      <c r="M6" s="794">
        <v>10.6</v>
      </c>
      <c r="N6" s="794">
        <v>1.897</v>
      </c>
      <c r="O6" s="794">
        <v>0</v>
      </c>
      <c r="P6" s="794">
        <v>0</v>
      </c>
      <c r="Q6" s="794">
        <v>0</v>
      </c>
      <c r="R6" s="794">
        <v>0</v>
      </c>
      <c r="S6" s="240">
        <f t="shared" si="0"/>
        <v>12.497</v>
      </c>
      <c r="U6" s="500"/>
    </row>
    <row r="7" spans="2:23" ht="15" customHeight="1">
      <c r="B7" s="239" t="s">
        <v>317</v>
      </c>
      <c r="C7" s="789" t="s">
        <v>116</v>
      </c>
      <c r="D7" s="790"/>
      <c r="E7" s="783"/>
      <c r="F7" s="791">
        <v>0</v>
      </c>
      <c r="G7" s="785">
        <f>IFERROR(F7/(INDEX(Settings_Currency_Table[],MATCH(General_Currency_Selection,Settings_Currency,0),2)),0)</f>
        <v>0</v>
      </c>
      <c r="H7" s="790"/>
      <c r="I7" s="792" t="s">
        <v>623</v>
      </c>
      <c r="J7" s="793">
        <v>0</v>
      </c>
      <c r="K7" s="794">
        <v>0</v>
      </c>
      <c r="L7" s="794">
        <v>0</v>
      </c>
      <c r="M7" s="794">
        <v>58.58</v>
      </c>
      <c r="N7" s="794">
        <v>175.536</v>
      </c>
      <c r="O7" s="794">
        <v>0</v>
      </c>
      <c r="P7" s="794">
        <v>0</v>
      </c>
      <c r="Q7" s="794">
        <v>0</v>
      </c>
      <c r="R7" s="794">
        <v>0</v>
      </c>
      <c r="S7" s="240">
        <f t="shared" si="0"/>
        <v>234.11599999999999</v>
      </c>
      <c r="U7" s="500"/>
      <c r="V7" s="241"/>
      <c r="W7" s="241"/>
    </row>
    <row r="8" spans="2:23" ht="15" customHeight="1">
      <c r="B8" s="236" t="s">
        <v>318</v>
      </c>
      <c r="C8" s="789" t="s">
        <v>801</v>
      </c>
      <c r="D8" s="790"/>
      <c r="E8" s="783"/>
      <c r="F8" s="791"/>
      <c r="G8" s="785">
        <f>IFERROR(F8/(INDEX(Settings_Currency_Table[],MATCH(General_Currency_Selection,Settings_Currency,0),2)),0)</f>
        <v>0</v>
      </c>
      <c r="H8" s="790" t="s">
        <v>978</v>
      </c>
      <c r="I8" s="792" t="s">
        <v>622</v>
      </c>
      <c r="J8" s="793">
        <v>0</v>
      </c>
      <c r="K8" s="794">
        <v>0</v>
      </c>
      <c r="L8" s="794">
        <v>0</v>
      </c>
      <c r="M8" s="794">
        <v>0</v>
      </c>
      <c r="N8" s="794">
        <v>0</v>
      </c>
      <c r="O8" s="794">
        <v>0</v>
      </c>
      <c r="P8" s="794">
        <v>0</v>
      </c>
      <c r="Q8" s="794">
        <v>0</v>
      </c>
      <c r="R8" s="794">
        <v>0</v>
      </c>
      <c r="S8" s="240">
        <f t="shared" si="0"/>
        <v>0</v>
      </c>
    </row>
    <row r="9" spans="2:23" ht="15" customHeight="1">
      <c r="B9" s="239" t="s">
        <v>319</v>
      </c>
      <c r="C9" s="789" t="s">
        <v>117</v>
      </c>
      <c r="D9" s="790"/>
      <c r="E9" s="783"/>
      <c r="F9" s="791">
        <v>0</v>
      </c>
      <c r="G9" s="785">
        <f>IFERROR(F9/(INDEX(Settings_Currency_Table[],MATCH(General_Currency_Selection,Settings_Currency,0),2)),0)</f>
        <v>0</v>
      </c>
      <c r="H9" s="790"/>
      <c r="I9" s="792" t="s">
        <v>624</v>
      </c>
      <c r="J9" s="793">
        <v>0</v>
      </c>
      <c r="K9" s="794">
        <v>0</v>
      </c>
      <c r="L9" s="794">
        <v>0</v>
      </c>
      <c r="M9" s="794">
        <v>670.11898258121096</v>
      </c>
      <c r="N9" s="794">
        <v>0</v>
      </c>
      <c r="O9" s="794">
        <v>0</v>
      </c>
      <c r="P9" s="794">
        <v>0</v>
      </c>
      <c r="Q9" s="794">
        <v>0</v>
      </c>
      <c r="R9" s="794">
        <v>0</v>
      </c>
      <c r="S9" s="240">
        <f t="shared" si="0"/>
        <v>670.11898258121096</v>
      </c>
    </row>
    <row r="10" spans="2:23">
      <c r="B10" s="236" t="s">
        <v>320</v>
      </c>
      <c r="C10" s="789"/>
      <c r="D10" s="790"/>
      <c r="E10" s="783"/>
      <c r="F10" s="795"/>
      <c r="G10" s="796">
        <f>IFERROR(F10/(INDEX(Settings_Currency_Table[],MATCH(General_Currency_Selection,Settings_Currency,0),2)),0)</f>
        <v>0</v>
      </c>
      <c r="H10" s="797"/>
      <c r="I10" s="792"/>
      <c r="J10" s="793">
        <v>0</v>
      </c>
      <c r="K10" s="794">
        <v>0</v>
      </c>
      <c r="L10" s="794">
        <v>0</v>
      </c>
      <c r="M10" s="794">
        <v>0</v>
      </c>
      <c r="N10" s="794">
        <v>0</v>
      </c>
      <c r="O10" s="794">
        <v>0</v>
      </c>
      <c r="P10" s="794">
        <v>0</v>
      </c>
      <c r="Q10" s="794">
        <v>0</v>
      </c>
      <c r="R10" s="794">
        <v>0</v>
      </c>
      <c r="S10" s="240">
        <f t="shared" si="0"/>
        <v>0</v>
      </c>
    </row>
    <row r="11" spans="2:23">
      <c r="B11" s="239" t="s">
        <v>321</v>
      </c>
      <c r="C11" s="789"/>
      <c r="D11" s="790"/>
      <c r="E11" s="783"/>
      <c r="F11" s="795"/>
      <c r="G11" s="785">
        <f>IFERROR(F11/(INDEX(Settings_Currency_Table[],MATCH(General_Currency_Selection,Settings_Currency,0),2)),0)</f>
        <v>0</v>
      </c>
      <c r="H11" s="797"/>
      <c r="I11" s="792"/>
      <c r="J11" s="793">
        <v>0</v>
      </c>
      <c r="K11" s="794">
        <v>0</v>
      </c>
      <c r="L11" s="794">
        <v>0</v>
      </c>
      <c r="M11" s="794">
        <v>0</v>
      </c>
      <c r="N11" s="794">
        <v>0</v>
      </c>
      <c r="O11" s="794">
        <v>0</v>
      </c>
      <c r="P11" s="794">
        <v>0</v>
      </c>
      <c r="Q11" s="794">
        <v>0</v>
      </c>
      <c r="R11" s="794">
        <v>0</v>
      </c>
      <c r="S11" s="240">
        <f t="shared" si="0"/>
        <v>0</v>
      </c>
    </row>
    <row r="12" spans="2:23">
      <c r="B12" s="236" t="s">
        <v>322</v>
      </c>
      <c r="C12" s="789"/>
      <c r="D12" s="790"/>
      <c r="E12" s="783"/>
      <c r="F12" s="795"/>
      <c r="G12" s="785">
        <f>IFERROR(F12/(INDEX(Settings_Currency_Table[],MATCH(General_Currency_Selection,Settings_Currency,0),2)),0)</f>
        <v>0</v>
      </c>
      <c r="H12" s="797"/>
      <c r="I12" s="792"/>
      <c r="J12" s="793">
        <v>0</v>
      </c>
      <c r="K12" s="794">
        <v>0</v>
      </c>
      <c r="L12" s="794">
        <v>0</v>
      </c>
      <c r="M12" s="794">
        <v>0</v>
      </c>
      <c r="N12" s="794">
        <v>0</v>
      </c>
      <c r="O12" s="794">
        <v>0</v>
      </c>
      <c r="P12" s="794">
        <v>0</v>
      </c>
      <c r="Q12" s="794">
        <v>0</v>
      </c>
      <c r="R12" s="794">
        <v>0</v>
      </c>
      <c r="S12" s="240">
        <f t="shared" si="0"/>
        <v>0</v>
      </c>
    </row>
    <row r="13" spans="2:23">
      <c r="B13" s="239" t="s">
        <v>323</v>
      </c>
      <c r="C13" s="790"/>
      <c r="D13" s="790"/>
      <c r="E13" s="783"/>
      <c r="F13" s="795"/>
      <c r="G13" s="785">
        <f>IFERROR(F13/(INDEX(Settings_Currency_Table[],MATCH(General_Currency_Selection,Settings_Currency,0),2)),0)</f>
        <v>0</v>
      </c>
      <c r="H13" s="790"/>
      <c r="I13" s="792"/>
      <c r="J13" s="793">
        <v>0</v>
      </c>
      <c r="K13" s="794">
        <v>0</v>
      </c>
      <c r="L13" s="794">
        <v>0</v>
      </c>
      <c r="M13" s="794">
        <v>0</v>
      </c>
      <c r="N13" s="794">
        <v>0</v>
      </c>
      <c r="O13" s="794">
        <v>0</v>
      </c>
      <c r="P13" s="794">
        <v>0</v>
      </c>
      <c r="Q13" s="794">
        <v>0</v>
      </c>
      <c r="R13" s="794">
        <v>0</v>
      </c>
      <c r="S13" s="240">
        <f t="shared" si="0"/>
        <v>0</v>
      </c>
    </row>
    <row r="14" spans="2:23">
      <c r="B14" s="236" t="s">
        <v>324</v>
      </c>
      <c r="C14" s="789"/>
      <c r="D14" s="790"/>
      <c r="E14" s="783"/>
      <c r="F14" s="791"/>
      <c r="G14" s="785">
        <f>IFERROR(F14/(INDEX(Settings_Currency_Table[],MATCH(General_Currency_Selection,Settings_Currency,0),2)),0)</f>
        <v>0</v>
      </c>
      <c r="H14" s="790"/>
      <c r="I14" s="792"/>
      <c r="J14" s="793">
        <v>0</v>
      </c>
      <c r="K14" s="794">
        <v>0</v>
      </c>
      <c r="L14" s="794">
        <v>0</v>
      </c>
      <c r="M14" s="794">
        <v>0</v>
      </c>
      <c r="N14" s="794">
        <v>0</v>
      </c>
      <c r="O14" s="794">
        <v>0</v>
      </c>
      <c r="P14" s="794">
        <v>0</v>
      </c>
      <c r="Q14" s="794">
        <v>0</v>
      </c>
      <c r="R14" s="794">
        <v>0</v>
      </c>
      <c r="S14" s="240">
        <f t="shared" si="0"/>
        <v>0</v>
      </c>
    </row>
    <row r="15" spans="2:23">
      <c r="B15" s="239" t="s">
        <v>325</v>
      </c>
      <c r="C15" s="789"/>
      <c r="D15" s="790"/>
      <c r="E15" s="783"/>
      <c r="F15" s="791"/>
      <c r="G15" s="785">
        <f>IFERROR(F15/(INDEX(Settings_Currency_Table[],MATCH(General_Currency_Selection,Settings_Currency,0),2)),0)</f>
        <v>0</v>
      </c>
      <c r="H15" s="790"/>
      <c r="I15" s="792"/>
      <c r="J15" s="793">
        <v>0</v>
      </c>
      <c r="K15" s="794">
        <v>0</v>
      </c>
      <c r="L15" s="794">
        <v>0</v>
      </c>
      <c r="M15" s="794">
        <v>0</v>
      </c>
      <c r="N15" s="794">
        <v>0</v>
      </c>
      <c r="O15" s="794">
        <v>0</v>
      </c>
      <c r="P15" s="794">
        <v>0</v>
      </c>
      <c r="Q15" s="794">
        <v>0</v>
      </c>
      <c r="R15" s="794">
        <v>0</v>
      </c>
      <c r="S15" s="240">
        <f t="shared" si="0"/>
        <v>0</v>
      </c>
    </row>
    <row r="16" spans="2:23">
      <c r="B16" s="236" t="s">
        <v>326</v>
      </c>
      <c r="C16" s="789"/>
      <c r="D16" s="790"/>
      <c r="E16" s="783"/>
      <c r="F16" s="791"/>
      <c r="G16" s="785">
        <f>IFERROR(F16/(INDEX(Settings_Currency_Table[],MATCH(General_Currency_Selection,Settings_Currency,0),2)),0)</f>
        <v>0</v>
      </c>
      <c r="H16" s="790"/>
      <c r="I16" s="792"/>
      <c r="J16" s="793">
        <v>0</v>
      </c>
      <c r="K16" s="794">
        <v>0</v>
      </c>
      <c r="L16" s="794">
        <v>0</v>
      </c>
      <c r="M16" s="794">
        <v>0</v>
      </c>
      <c r="N16" s="794">
        <v>0</v>
      </c>
      <c r="O16" s="794">
        <v>0</v>
      </c>
      <c r="P16" s="794">
        <v>0</v>
      </c>
      <c r="Q16" s="794">
        <v>0</v>
      </c>
      <c r="R16" s="794">
        <v>0</v>
      </c>
      <c r="S16" s="240">
        <f t="shared" si="0"/>
        <v>0</v>
      </c>
    </row>
    <row r="17" spans="2:19">
      <c r="B17" s="239" t="s">
        <v>327</v>
      </c>
      <c r="C17" s="789"/>
      <c r="D17" s="790"/>
      <c r="E17" s="783"/>
      <c r="F17" s="791"/>
      <c r="G17" s="785">
        <f>IFERROR(F17/(INDEX(Settings_Currency_Table[],MATCH(General_Currency_Selection,Settings_Currency,0),2)),0)</f>
        <v>0</v>
      </c>
      <c r="H17" s="790"/>
      <c r="I17" s="792"/>
      <c r="J17" s="793">
        <v>0</v>
      </c>
      <c r="K17" s="794">
        <v>0</v>
      </c>
      <c r="L17" s="794">
        <v>0</v>
      </c>
      <c r="M17" s="794">
        <v>0</v>
      </c>
      <c r="N17" s="794">
        <v>0</v>
      </c>
      <c r="O17" s="794">
        <v>0</v>
      </c>
      <c r="P17" s="794">
        <v>0</v>
      </c>
      <c r="Q17" s="794">
        <v>0</v>
      </c>
      <c r="R17" s="794">
        <v>0</v>
      </c>
      <c r="S17" s="240">
        <f t="shared" si="0"/>
        <v>0</v>
      </c>
    </row>
    <row r="18" spans="2:19">
      <c r="B18" s="236" t="s">
        <v>328</v>
      </c>
      <c r="C18" s="789"/>
      <c r="D18" s="790"/>
      <c r="E18" s="783"/>
      <c r="F18" s="791"/>
      <c r="G18" s="785">
        <f>IFERROR(F18/(INDEX(Settings_Currency_Table[],MATCH(General_Currency_Selection,Settings_Currency,0),2)),0)</f>
        <v>0</v>
      </c>
      <c r="H18" s="790"/>
      <c r="I18" s="792"/>
      <c r="J18" s="793">
        <v>0</v>
      </c>
      <c r="K18" s="794">
        <v>0</v>
      </c>
      <c r="L18" s="794">
        <v>0</v>
      </c>
      <c r="M18" s="794">
        <v>0</v>
      </c>
      <c r="N18" s="794">
        <v>0</v>
      </c>
      <c r="O18" s="794">
        <v>0</v>
      </c>
      <c r="P18" s="794">
        <v>0</v>
      </c>
      <c r="Q18" s="794">
        <v>0</v>
      </c>
      <c r="R18" s="794">
        <v>0</v>
      </c>
      <c r="S18" s="240">
        <f t="shared" si="0"/>
        <v>0</v>
      </c>
    </row>
    <row r="19" spans="2:19" ht="15" customHeight="1">
      <c r="B19" s="239" t="s">
        <v>329</v>
      </c>
      <c r="C19" s="789"/>
      <c r="D19" s="790"/>
      <c r="E19" s="783"/>
      <c r="F19" s="791"/>
      <c r="G19" s="785">
        <f>IFERROR(F19/(INDEX(Settings_Currency_Table[],MATCH(General_Currency_Selection,Settings_Currency,0),2)),0)</f>
        <v>0</v>
      </c>
      <c r="H19" s="790"/>
      <c r="I19" s="792"/>
      <c r="J19" s="793">
        <v>0</v>
      </c>
      <c r="K19" s="794">
        <v>0</v>
      </c>
      <c r="L19" s="794">
        <v>0</v>
      </c>
      <c r="M19" s="794">
        <v>0</v>
      </c>
      <c r="N19" s="794">
        <v>0</v>
      </c>
      <c r="O19" s="794">
        <v>0</v>
      </c>
      <c r="P19" s="794">
        <v>0</v>
      </c>
      <c r="Q19" s="794">
        <v>0</v>
      </c>
      <c r="R19" s="794">
        <v>0</v>
      </c>
      <c r="S19" s="240">
        <f t="shared" si="0"/>
        <v>0</v>
      </c>
    </row>
    <row r="20" spans="2:19">
      <c r="B20" s="236" t="s">
        <v>330</v>
      </c>
      <c r="C20" s="789"/>
      <c r="D20" s="790"/>
      <c r="E20" s="783"/>
      <c r="F20" s="791"/>
      <c r="G20" s="785">
        <f>IFERROR(F20/(INDEX(Settings_Currency_Table[],MATCH(General_Currency_Selection,Settings_Currency,0),2)),0)</f>
        <v>0</v>
      </c>
      <c r="H20" s="790"/>
      <c r="I20" s="792"/>
      <c r="J20" s="793">
        <v>0</v>
      </c>
      <c r="K20" s="794">
        <v>0</v>
      </c>
      <c r="L20" s="794">
        <v>0</v>
      </c>
      <c r="M20" s="794">
        <v>0</v>
      </c>
      <c r="N20" s="794">
        <v>0</v>
      </c>
      <c r="O20" s="794">
        <v>0</v>
      </c>
      <c r="P20" s="794">
        <v>0</v>
      </c>
      <c r="Q20" s="794">
        <v>0</v>
      </c>
      <c r="R20" s="794">
        <v>0</v>
      </c>
      <c r="S20" s="240">
        <f t="shared" si="0"/>
        <v>0</v>
      </c>
    </row>
    <row r="21" spans="2:19" ht="15" customHeight="1">
      <c r="B21" s="239" t="s">
        <v>331</v>
      </c>
      <c r="C21" s="789"/>
      <c r="D21" s="790"/>
      <c r="E21" s="783"/>
      <c r="F21" s="791"/>
      <c r="G21" s="785">
        <f>IFERROR(F21/(INDEX(Settings_Currency_Table[],MATCH(General_Currency_Selection,Settings_Currency,0),2)),0)</f>
        <v>0</v>
      </c>
      <c r="H21" s="790"/>
      <c r="I21" s="792"/>
      <c r="J21" s="793">
        <v>0</v>
      </c>
      <c r="K21" s="794">
        <v>0</v>
      </c>
      <c r="L21" s="794">
        <v>0</v>
      </c>
      <c r="M21" s="794">
        <v>0</v>
      </c>
      <c r="N21" s="794">
        <v>0</v>
      </c>
      <c r="O21" s="794">
        <v>0</v>
      </c>
      <c r="P21" s="794">
        <v>0</v>
      </c>
      <c r="Q21" s="794">
        <v>0</v>
      </c>
      <c r="R21" s="794">
        <v>0</v>
      </c>
      <c r="S21" s="240">
        <f t="shared" si="0"/>
        <v>0</v>
      </c>
    </row>
    <row r="22" spans="2:19">
      <c r="B22" s="236" t="s">
        <v>332</v>
      </c>
      <c r="C22" s="789"/>
      <c r="D22" s="790"/>
      <c r="E22" s="783"/>
      <c r="F22" s="791"/>
      <c r="G22" s="785">
        <f>IFERROR(F22/(INDEX(Settings_Currency_Table[],MATCH(General_Currency_Selection,Settings_Currency,0),2)),0)</f>
        <v>0</v>
      </c>
      <c r="H22" s="790"/>
      <c r="I22" s="792"/>
      <c r="J22" s="793">
        <v>0</v>
      </c>
      <c r="K22" s="794">
        <v>0</v>
      </c>
      <c r="L22" s="794">
        <v>0</v>
      </c>
      <c r="M22" s="794">
        <v>0</v>
      </c>
      <c r="N22" s="794">
        <v>0</v>
      </c>
      <c r="O22" s="794">
        <v>0</v>
      </c>
      <c r="P22" s="794">
        <v>0</v>
      </c>
      <c r="Q22" s="794">
        <v>0</v>
      </c>
      <c r="R22" s="794">
        <v>0</v>
      </c>
      <c r="S22" s="240">
        <f t="shared" si="0"/>
        <v>0</v>
      </c>
    </row>
    <row r="23" spans="2:19">
      <c r="B23" s="239" t="s">
        <v>333</v>
      </c>
      <c r="C23" s="789"/>
      <c r="D23" s="790"/>
      <c r="E23" s="783"/>
      <c r="F23" s="791"/>
      <c r="G23" s="785">
        <f>IFERROR(F23/(INDEX(Settings_Currency_Table[],MATCH(General_Currency_Selection,Settings_Currency,0),2)),0)</f>
        <v>0</v>
      </c>
      <c r="H23" s="790"/>
      <c r="I23" s="792"/>
      <c r="J23" s="793">
        <v>0</v>
      </c>
      <c r="K23" s="794">
        <v>0</v>
      </c>
      <c r="L23" s="794">
        <v>0</v>
      </c>
      <c r="M23" s="794">
        <v>0</v>
      </c>
      <c r="N23" s="794">
        <v>0</v>
      </c>
      <c r="O23" s="794">
        <v>0</v>
      </c>
      <c r="P23" s="794">
        <v>0</v>
      </c>
      <c r="Q23" s="794">
        <v>0</v>
      </c>
      <c r="R23" s="794">
        <v>0</v>
      </c>
      <c r="S23" s="240">
        <f t="shared" si="0"/>
        <v>0</v>
      </c>
    </row>
    <row r="24" spans="2:19">
      <c r="B24" s="236" t="s">
        <v>334</v>
      </c>
      <c r="C24" s="789"/>
      <c r="D24" s="790"/>
      <c r="E24" s="783"/>
      <c r="F24" s="791"/>
      <c r="G24" s="785">
        <f>IFERROR(F24/(INDEX(Settings_Currency_Table[],MATCH(General_Currency_Selection,Settings_Currency,0),2)),0)</f>
        <v>0</v>
      </c>
      <c r="H24" s="790"/>
      <c r="I24" s="792"/>
      <c r="J24" s="793">
        <v>0</v>
      </c>
      <c r="K24" s="794">
        <v>0</v>
      </c>
      <c r="L24" s="794">
        <v>0</v>
      </c>
      <c r="M24" s="794">
        <v>0</v>
      </c>
      <c r="N24" s="794">
        <v>0</v>
      </c>
      <c r="O24" s="794">
        <v>0</v>
      </c>
      <c r="P24" s="794">
        <v>0</v>
      </c>
      <c r="Q24" s="794">
        <v>0</v>
      </c>
      <c r="R24" s="794">
        <v>0</v>
      </c>
      <c r="S24" s="240">
        <f t="shared" si="0"/>
        <v>0</v>
      </c>
    </row>
    <row r="25" spans="2:19">
      <c r="B25" s="239" t="s">
        <v>335</v>
      </c>
      <c r="C25" s="789"/>
      <c r="D25" s="790"/>
      <c r="E25" s="783"/>
      <c r="F25" s="791"/>
      <c r="G25" s="785">
        <f>IFERROR(F25/(INDEX(Settings_Currency_Table[],MATCH(General_Currency_Selection,Settings_Currency,0),2)),0)</f>
        <v>0</v>
      </c>
      <c r="H25" s="790"/>
      <c r="I25" s="792"/>
      <c r="J25" s="793">
        <v>0</v>
      </c>
      <c r="K25" s="794">
        <v>0</v>
      </c>
      <c r="L25" s="794">
        <v>0</v>
      </c>
      <c r="M25" s="794">
        <v>0</v>
      </c>
      <c r="N25" s="794">
        <v>0</v>
      </c>
      <c r="O25" s="794">
        <v>0</v>
      </c>
      <c r="P25" s="794">
        <v>0</v>
      </c>
      <c r="Q25" s="794">
        <v>0</v>
      </c>
      <c r="R25" s="794">
        <v>0</v>
      </c>
      <c r="S25" s="240">
        <f t="shared" si="0"/>
        <v>0</v>
      </c>
    </row>
    <row r="26" spans="2:19">
      <c r="B26" s="236" t="s">
        <v>336</v>
      </c>
      <c r="C26" s="789"/>
      <c r="D26" s="790"/>
      <c r="E26" s="783"/>
      <c r="F26" s="791"/>
      <c r="G26" s="785">
        <f>IFERROR(F26/(INDEX(Settings_Currency_Table[],MATCH(General_Currency_Selection,Settings_Currency,0),2)),0)</f>
        <v>0</v>
      </c>
      <c r="H26" s="790"/>
      <c r="I26" s="792"/>
      <c r="J26" s="793">
        <v>0</v>
      </c>
      <c r="K26" s="794">
        <v>0</v>
      </c>
      <c r="L26" s="794">
        <v>0</v>
      </c>
      <c r="M26" s="794">
        <v>0</v>
      </c>
      <c r="N26" s="794">
        <v>0</v>
      </c>
      <c r="O26" s="794">
        <v>0</v>
      </c>
      <c r="P26" s="794">
        <v>0</v>
      </c>
      <c r="Q26" s="794">
        <v>0</v>
      </c>
      <c r="R26" s="794">
        <v>0</v>
      </c>
      <c r="S26" s="240">
        <f t="shared" si="0"/>
        <v>0</v>
      </c>
    </row>
    <row r="27" spans="2:19" ht="15" customHeight="1">
      <c r="B27" s="239" t="s">
        <v>337</v>
      </c>
      <c r="C27" s="789"/>
      <c r="D27" s="790"/>
      <c r="E27" s="783"/>
      <c r="F27" s="791"/>
      <c r="G27" s="785">
        <f>IFERROR(F27/(INDEX(Settings_Currency_Table[],MATCH(General_Currency_Selection,Settings_Currency,0),2)),0)</f>
        <v>0</v>
      </c>
      <c r="H27" s="790"/>
      <c r="I27" s="792"/>
      <c r="J27" s="793">
        <v>0</v>
      </c>
      <c r="K27" s="794">
        <v>0</v>
      </c>
      <c r="L27" s="794">
        <v>0</v>
      </c>
      <c r="M27" s="794">
        <v>0</v>
      </c>
      <c r="N27" s="794">
        <v>0</v>
      </c>
      <c r="O27" s="794">
        <v>0</v>
      </c>
      <c r="P27" s="794">
        <v>0</v>
      </c>
      <c r="Q27" s="794">
        <v>0</v>
      </c>
      <c r="R27" s="794">
        <v>0</v>
      </c>
      <c r="S27" s="240">
        <f t="shared" si="0"/>
        <v>0</v>
      </c>
    </row>
    <row r="28" spans="2:19" ht="15" customHeight="1">
      <c r="B28" s="236" t="s">
        <v>338</v>
      </c>
      <c r="C28" s="789"/>
      <c r="D28" s="790"/>
      <c r="E28" s="783"/>
      <c r="F28" s="791"/>
      <c r="G28" s="785">
        <f>IFERROR(F28/(INDEX(Settings_Currency_Table[],MATCH(General_Currency_Selection,Settings_Currency,0),2)),0)</f>
        <v>0</v>
      </c>
      <c r="H28" s="790"/>
      <c r="I28" s="792"/>
      <c r="J28" s="793">
        <v>0</v>
      </c>
      <c r="K28" s="794">
        <v>0</v>
      </c>
      <c r="L28" s="794">
        <v>0</v>
      </c>
      <c r="M28" s="794">
        <v>0</v>
      </c>
      <c r="N28" s="794">
        <v>0</v>
      </c>
      <c r="O28" s="794">
        <v>0</v>
      </c>
      <c r="P28" s="794">
        <v>0</v>
      </c>
      <c r="Q28" s="794">
        <v>0</v>
      </c>
      <c r="R28" s="794">
        <v>0</v>
      </c>
      <c r="S28" s="240">
        <f t="shared" si="0"/>
        <v>0</v>
      </c>
    </row>
    <row r="29" spans="2:19">
      <c r="B29" s="239" t="s">
        <v>339</v>
      </c>
      <c r="C29" s="789"/>
      <c r="D29" s="790"/>
      <c r="E29" s="783"/>
      <c r="F29" s="791"/>
      <c r="G29" s="785">
        <f>IFERROR(F29/(INDEX(Settings_Currency_Table[],MATCH(General_Currency_Selection,Settings_Currency,0),2)),0)</f>
        <v>0</v>
      </c>
      <c r="H29" s="790"/>
      <c r="I29" s="792"/>
      <c r="J29" s="793">
        <v>0</v>
      </c>
      <c r="K29" s="794">
        <v>0</v>
      </c>
      <c r="L29" s="794">
        <v>0</v>
      </c>
      <c r="M29" s="794">
        <v>0</v>
      </c>
      <c r="N29" s="794">
        <v>0</v>
      </c>
      <c r="O29" s="794">
        <v>0</v>
      </c>
      <c r="P29" s="794">
        <v>0</v>
      </c>
      <c r="Q29" s="794">
        <v>0</v>
      </c>
      <c r="R29" s="794">
        <v>0</v>
      </c>
      <c r="S29" s="240">
        <f t="shared" si="0"/>
        <v>0</v>
      </c>
    </row>
    <row r="30" spans="2:19">
      <c r="B30" s="236" t="s">
        <v>340</v>
      </c>
      <c r="C30" s="789"/>
      <c r="D30" s="790"/>
      <c r="E30" s="783"/>
      <c r="F30" s="791"/>
      <c r="G30" s="785">
        <f>IFERROR(F30/(INDEX(Settings_Currency_Table[],MATCH(General_Currency_Selection,Settings_Currency,0),2)),0)</f>
        <v>0</v>
      </c>
      <c r="H30" s="790"/>
      <c r="I30" s="792"/>
      <c r="J30" s="793">
        <v>0</v>
      </c>
      <c r="K30" s="794">
        <v>0</v>
      </c>
      <c r="L30" s="794">
        <v>0</v>
      </c>
      <c r="M30" s="794">
        <v>0</v>
      </c>
      <c r="N30" s="794">
        <v>0</v>
      </c>
      <c r="O30" s="794">
        <v>0</v>
      </c>
      <c r="P30" s="794">
        <v>0</v>
      </c>
      <c r="Q30" s="794">
        <v>0</v>
      </c>
      <c r="R30" s="794">
        <v>0</v>
      </c>
      <c r="S30" s="240">
        <f t="shared" si="0"/>
        <v>0</v>
      </c>
    </row>
    <row r="31" spans="2:19">
      <c r="B31" s="239" t="s">
        <v>341</v>
      </c>
      <c r="C31" s="789"/>
      <c r="D31" s="790"/>
      <c r="E31" s="783"/>
      <c r="F31" s="791"/>
      <c r="G31" s="785">
        <f>IFERROR(F31/(INDEX(Settings_Currency_Table[],MATCH(General_Currency_Selection,Settings_Currency,0),2)),0)</f>
        <v>0</v>
      </c>
      <c r="H31" s="790"/>
      <c r="I31" s="792"/>
      <c r="J31" s="793">
        <v>0</v>
      </c>
      <c r="K31" s="794">
        <v>0</v>
      </c>
      <c r="L31" s="794">
        <v>0</v>
      </c>
      <c r="M31" s="794">
        <v>0</v>
      </c>
      <c r="N31" s="794">
        <v>0</v>
      </c>
      <c r="O31" s="794">
        <v>0</v>
      </c>
      <c r="P31" s="794">
        <v>0</v>
      </c>
      <c r="Q31" s="794">
        <v>0</v>
      </c>
      <c r="R31" s="794">
        <v>0</v>
      </c>
      <c r="S31" s="240">
        <f t="shared" si="0"/>
        <v>0</v>
      </c>
    </row>
    <row r="32" spans="2:19">
      <c r="B32" s="236" t="s">
        <v>342</v>
      </c>
      <c r="C32" s="789"/>
      <c r="D32" s="790"/>
      <c r="E32" s="783"/>
      <c r="F32" s="791"/>
      <c r="G32" s="785">
        <f>IFERROR(F32/(INDEX(Settings_Currency_Table[],MATCH(General_Currency_Selection,Settings_Currency,0),2)),0)</f>
        <v>0</v>
      </c>
      <c r="H32" s="790"/>
      <c r="I32" s="792"/>
      <c r="J32" s="793">
        <v>0</v>
      </c>
      <c r="K32" s="794">
        <v>0</v>
      </c>
      <c r="L32" s="794">
        <v>0</v>
      </c>
      <c r="M32" s="794">
        <v>0</v>
      </c>
      <c r="N32" s="794">
        <v>0</v>
      </c>
      <c r="O32" s="794">
        <v>0</v>
      </c>
      <c r="P32" s="794">
        <v>0</v>
      </c>
      <c r="Q32" s="794">
        <v>0</v>
      </c>
      <c r="R32" s="794">
        <v>0</v>
      </c>
      <c r="S32" s="240">
        <f t="shared" si="0"/>
        <v>0</v>
      </c>
    </row>
    <row r="33" spans="2:19">
      <c r="B33" s="239" t="s">
        <v>343</v>
      </c>
      <c r="C33" s="789"/>
      <c r="D33" s="790"/>
      <c r="E33" s="783"/>
      <c r="F33" s="791"/>
      <c r="G33" s="785">
        <f>IFERROR(F33/(INDEX(Settings_Currency_Table[],MATCH(General_Currency_Selection,Settings_Currency,0),2)),0)</f>
        <v>0</v>
      </c>
      <c r="H33" s="790"/>
      <c r="I33" s="792"/>
      <c r="J33" s="793">
        <v>0</v>
      </c>
      <c r="K33" s="794">
        <v>0</v>
      </c>
      <c r="L33" s="794">
        <v>0</v>
      </c>
      <c r="M33" s="794">
        <v>0</v>
      </c>
      <c r="N33" s="794">
        <v>0</v>
      </c>
      <c r="O33" s="794">
        <v>0</v>
      </c>
      <c r="P33" s="794">
        <v>0</v>
      </c>
      <c r="Q33" s="794">
        <v>0</v>
      </c>
      <c r="R33" s="794">
        <v>0</v>
      </c>
      <c r="S33" s="240">
        <f t="shared" si="0"/>
        <v>0</v>
      </c>
    </row>
    <row r="34" spans="2:19">
      <c r="B34" s="236" t="s">
        <v>344</v>
      </c>
      <c r="C34" s="789"/>
      <c r="D34" s="790"/>
      <c r="E34" s="783"/>
      <c r="F34" s="791"/>
      <c r="G34" s="785">
        <f>IFERROR(F34/(INDEX(Settings_Currency_Table[],MATCH(General_Currency_Selection,Settings_Currency,0),2)),0)</f>
        <v>0</v>
      </c>
      <c r="H34" s="790"/>
      <c r="I34" s="792"/>
      <c r="J34" s="793">
        <v>0</v>
      </c>
      <c r="K34" s="794">
        <v>0</v>
      </c>
      <c r="L34" s="794">
        <v>0</v>
      </c>
      <c r="M34" s="794">
        <v>0</v>
      </c>
      <c r="N34" s="794">
        <v>0</v>
      </c>
      <c r="O34" s="794">
        <v>0</v>
      </c>
      <c r="P34" s="794">
        <v>0</v>
      </c>
      <c r="Q34" s="794">
        <v>0</v>
      </c>
      <c r="R34" s="794">
        <v>0</v>
      </c>
      <c r="S34" s="240">
        <f t="shared" si="0"/>
        <v>0</v>
      </c>
    </row>
    <row r="35" spans="2:19">
      <c r="B35" s="239" t="s">
        <v>345</v>
      </c>
      <c r="C35" s="789"/>
      <c r="D35" s="790"/>
      <c r="E35" s="783"/>
      <c r="F35" s="791"/>
      <c r="G35" s="785">
        <f>IFERROR(F35/(INDEX(Settings_Currency_Table[],MATCH(General_Currency_Selection,Settings_Currency,0),2)),0)</f>
        <v>0</v>
      </c>
      <c r="H35" s="790"/>
      <c r="I35" s="792"/>
      <c r="J35" s="793">
        <v>0</v>
      </c>
      <c r="K35" s="794">
        <v>0</v>
      </c>
      <c r="L35" s="794">
        <v>0</v>
      </c>
      <c r="M35" s="794">
        <v>0</v>
      </c>
      <c r="N35" s="794">
        <v>0</v>
      </c>
      <c r="O35" s="794">
        <v>0</v>
      </c>
      <c r="P35" s="794">
        <v>0</v>
      </c>
      <c r="Q35" s="794">
        <v>0</v>
      </c>
      <c r="R35" s="794">
        <v>0</v>
      </c>
      <c r="S35" s="240">
        <f t="shared" si="0"/>
        <v>0</v>
      </c>
    </row>
    <row r="36" spans="2:19">
      <c r="B36" s="236" t="s">
        <v>346</v>
      </c>
      <c r="C36" s="789"/>
      <c r="D36" s="790"/>
      <c r="E36" s="783"/>
      <c r="F36" s="791"/>
      <c r="G36" s="785">
        <f>IFERROR(F36/(INDEX(Settings_Currency_Table[],MATCH(General_Currency_Selection,Settings_Currency,0),2)),0)</f>
        <v>0</v>
      </c>
      <c r="H36" s="790"/>
      <c r="I36" s="792"/>
      <c r="J36" s="793">
        <v>0</v>
      </c>
      <c r="K36" s="794">
        <v>0</v>
      </c>
      <c r="L36" s="794">
        <v>0</v>
      </c>
      <c r="M36" s="794">
        <v>0</v>
      </c>
      <c r="N36" s="794">
        <v>0</v>
      </c>
      <c r="O36" s="794">
        <v>0</v>
      </c>
      <c r="P36" s="794">
        <v>0</v>
      </c>
      <c r="Q36" s="794">
        <v>0</v>
      </c>
      <c r="R36" s="794">
        <v>0</v>
      </c>
      <c r="S36" s="240">
        <f t="shared" ref="S36:S67" si="1">SUM(J36:R36)</f>
        <v>0</v>
      </c>
    </row>
    <row r="37" spans="2:19">
      <c r="B37" s="239" t="s">
        <v>347</v>
      </c>
      <c r="C37" s="789"/>
      <c r="D37" s="790"/>
      <c r="E37" s="783"/>
      <c r="F37" s="791"/>
      <c r="G37" s="785">
        <f>IFERROR(F37/(INDEX(Settings_Currency_Table[],MATCH(General_Currency_Selection,Settings_Currency,0),2)),0)</f>
        <v>0</v>
      </c>
      <c r="H37" s="790"/>
      <c r="I37" s="792"/>
      <c r="J37" s="793">
        <v>0</v>
      </c>
      <c r="K37" s="794">
        <v>0</v>
      </c>
      <c r="L37" s="794">
        <v>0</v>
      </c>
      <c r="M37" s="794">
        <v>0</v>
      </c>
      <c r="N37" s="794">
        <v>0</v>
      </c>
      <c r="O37" s="794">
        <v>0</v>
      </c>
      <c r="P37" s="794">
        <v>0</v>
      </c>
      <c r="Q37" s="794">
        <v>0</v>
      </c>
      <c r="R37" s="794">
        <v>0</v>
      </c>
      <c r="S37" s="240">
        <f t="shared" si="1"/>
        <v>0</v>
      </c>
    </row>
    <row r="38" spans="2:19">
      <c r="B38" s="236" t="s">
        <v>348</v>
      </c>
      <c r="C38" s="789"/>
      <c r="D38" s="790"/>
      <c r="E38" s="783"/>
      <c r="F38" s="791"/>
      <c r="G38" s="785">
        <f>IFERROR(F38/(INDEX(Settings_Currency_Table[],MATCH(General_Currency_Selection,Settings_Currency,0),2)),0)</f>
        <v>0</v>
      </c>
      <c r="H38" s="790"/>
      <c r="I38" s="792"/>
      <c r="J38" s="793">
        <v>0</v>
      </c>
      <c r="K38" s="794">
        <v>0</v>
      </c>
      <c r="L38" s="794">
        <v>0</v>
      </c>
      <c r="M38" s="794">
        <v>0</v>
      </c>
      <c r="N38" s="794">
        <v>0</v>
      </c>
      <c r="O38" s="794">
        <v>0</v>
      </c>
      <c r="P38" s="794">
        <v>0</v>
      </c>
      <c r="Q38" s="794">
        <v>0</v>
      </c>
      <c r="R38" s="794">
        <v>0</v>
      </c>
      <c r="S38" s="240">
        <f t="shared" si="1"/>
        <v>0</v>
      </c>
    </row>
    <row r="39" spans="2:19">
      <c r="B39" s="239" t="s">
        <v>349</v>
      </c>
      <c r="C39" s="789"/>
      <c r="D39" s="790"/>
      <c r="E39" s="783"/>
      <c r="F39" s="791"/>
      <c r="G39" s="785">
        <f>IFERROR(F39/(INDEX(Settings_Currency_Table[],MATCH(General_Currency_Selection,Settings_Currency,0),2)),0)</f>
        <v>0</v>
      </c>
      <c r="H39" s="790"/>
      <c r="I39" s="792"/>
      <c r="J39" s="793">
        <v>0</v>
      </c>
      <c r="K39" s="794">
        <v>0</v>
      </c>
      <c r="L39" s="794">
        <v>0</v>
      </c>
      <c r="M39" s="794">
        <v>0</v>
      </c>
      <c r="N39" s="794">
        <v>0</v>
      </c>
      <c r="O39" s="794">
        <v>0</v>
      </c>
      <c r="P39" s="794">
        <v>0</v>
      </c>
      <c r="Q39" s="794">
        <v>0</v>
      </c>
      <c r="R39" s="794">
        <v>0</v>
      </c>
      <c r="S39" s="240">
        <f t="shared" si="1"/>
        <v>0</v>
      </c>
    </row>
    <row r="40" spans="2:19">
      <c r="B40" s="236" t="s">
        <v>350</v>
      </c>
      <c r="C40" s="789"/>
      <c r="D40" s="790"/>
      <c r="E40" s="783"/>
      <c r="F40" s="791"/>
      <c r="G40" s="785">
        <f>IFERROR(F40/(INDEX(Settings_Currency_Table[],MATCH(General_Currency_Selection,Settings_Currency,0),2)),0)</f>
        <v>0</v>
      </c>
      <c r="H40" s="790"/>
      <c r="I40" s="792"/>
      <c r="J40" s="793">
        <v>0</v>
      </c>
      <c r="K40" s="794">
        <v>0</v>
      </c>
      <c r="L40" s="794">
        <v>0</v>
      </c>
      <c r="M40" s="794">
        <v>0</v>
      </c>
      <c r="N40" s="794">
        <v>0</v>
      </c>
      <c r="O40" s="794">
        <v>0</v>
      </c>
      <c r="P40" s="794">
        <v>0</v>
      </c>
      <c r="Q40" s="794">
        <v>0</v>
      </c>
      <c r="R40" s="794">
        <v>0</v>
      </c>
      <c r="S40" s="240">
        <f t="shared" si="1"/>
        <v>0</v>
      </c>
    </row>
    <row r="41" spans="2:19">
      <c r="B41" s="239" t="s">
        <v>351</v>
      </c>
      <c r="C41" s="789"/>
      <c r="D41" s="790"/>
      <c r="E41" s="783"/>
      <c r="F41" s="791"/>
      <c r="G41" s="785">
        <f>IFERROR(F41/(INDEX(Settings_Currency_Table[],MATCH(General_Currency_Selection,Settings_Currency,0),2)),0)</f>
        <v>0</v>
      </c>
      <c r="H41" s="790"/>
      <c r="I41" s="792"/>
      <c r="J41" s="793">
        <v>0</v>
      </c>
      <c r="K41" s="794">
        <v>0</v>
      </c>
      <c r="L41" s="794">
        <v>0</v>
      </c>
      <c r="M41" s="794">
        <v>0</v>
      </c>
      <c r="N41" s="794">
        <v>0</v>
      </c>
      <c r="O41" s="794">
        <v>0</v>
      </c>
      <c r="P41" s="794">
        <v>0</v>
      </c>
      <c r="Q41" s="794">
        <v>0</v>
      </c>
      <c r="R41" s="794">
        <v>0</v>
      </c>
      <c r="S41" s="240">
        <f t="shared" si="1"/>
        <v>0</v>
      </c>
    </row>
    <row r="42" spans="2:19">
      <c r="B42" s="236" t="s">
        <v>352</v>
      </c>
      <c r="C42" s="789"/>
      <c r="D42" s="790"/>
      <c r="E42" s="783"/>
      <c r="F42" s="791"/>
      <c r="G42" s="785">
        <f>IFERROR(F42/(INDEX(Settings_Currency_Table[],MATCH(General_Currency_Selection,Settings_Currency,0),2)),0)</f>
        <v>0</v>
      </c>
      <c r="H42" s="790"/>
      <c r="I42" s="792"/>
      <c r="J42" s="793">
        <v>0</v>
      </c>
      <c r="K42" s="794">
        <v>0</v>
      </c>
      <c r="L42" s="794">
        <v>0</v>
      </c>
      <c r="M42" s="794">
        <v>0</v>
      </c>
      <c r="N42" s="794">
        <v>0</v>
      </c>
      <c r="O42" s="794">
        <v>0</v>
      </c>
      <c r="P42" s="794">
        <v>0</v>
      </c>
      <c r="Q42" s="794">
        <v>0</v>
      </c>
      <c r="R42" s="794">
        <v>0</v>
      </c>
      <c r="S42" s="240">
        <f t="shared" si="1"/>
        <v>0</v>
      </c>
    </row>
    <row r="43" spans="2:19">
      <c r="B43" s="239" t="s">
        <v>353</v>
      </c>
      <c r="C43" s="789"/>
      <c r="D43" s="790"/>
      <c r="E43" s="783"/>
      <c r="F43" s="791"/>
      <c r="G43" s="785">
        <f>IFERROR(F43/(INDEX(Settings_Currency_Table[],MATCH(General_Currency_Selection,Settings_Currency,0),2)),0)</f>
        <v>0</v>
      </c>
      <c r="H43" s="790"/>
      <c r="I43" s="792"/>
      <c r="J43" s="793">
        <v>0</v>
      </c>
      <c r="K43" s="794">
        <v>0</v>
      </c>
      <c r="L43" s="794">
        <v>0</v>
      </c>
      <c r="M43" s="794">
        <v>0</v>
      </c>
      <c r="N43" s="794">
        <v>0</v>
      </c>
      <c r="O43" s="794">
        <v>0</v>
      </c>
      <c r="P43" s="794">
        <v>0</v>
      </c>
      <c r="Q43" s="794">
        <v>0</v>
      </c>
      <c r="R43" s="794">
        <v>0</v>
      </c>
      <c r="S43" s="240">
        <f t="shared" si="1"/>
        <v>0</v>
      </c>
    </row>
    <row r="44" spans="2:19">
      <c r="B44" s="236" t="s">
        <v>354</v>
      </c>
      <c r="C44" s="789"/>
      <c r="D44" s="790"/>
      <c r="E44" s="783"/>
      <c r="F44" s="791"/>
      <c r="G44" s="785">
        <f>IFERROR(F44/(INDEX(Settings_Currency_Table[],MATCH(General_Currency_Selection,Settings_Currency,0),2)),0)</f>
        <v>0</v>
      </c>
      <c r="H44" s="790"/>
      <c r="I44" s="792"/>
      <c r="J44" s="793">
        <v>0</v>
      </c>
      <c r="K44" s="794">
        <v>0</v>
      </c>
      <c r="L44" s="794">
        <v>0</v>
      </c>
      <c r="M44" s="794">
        <v>0</v>
      </c>
      <c r="N44" s="794">
        <v>0</v>
      </c>
      <c r="O44" s="794">
        <v>0</v>
      </c>
      <c r="P44" s="794">
        <v>0</v>
      </c>
      <c r="Q44" s="794">
        <v>0</v>
      </c>
      <c r="R44" s="794">
        <v>0</v>
      </c>
      <c r="S44" s="240">
        <f t="shared" si="1"/>
        <v>0</v>
      </c>
    </row>
    <row r="45" spans="2:19">
      <c r="B45" s="239" t="s">
        <v>355</v>
      </c>
      <c r="C45" s="789"/>
      <c r="D45" s="790"/>
      <c r="E45" s="783"/>
      <c r="F45" s="791"/>
      <c r="G45" s="785">
        <f>IFERROR(F45/(INDEX(Settings_Currency_Table[],MATCH(General_Currency_Selection,Settings_Currency,0),2)),0)</f>
        <v>0</v>
      </c>
      <c r="H45" s="790"/>
      <c r="I45" s="792"/>
      <c r="J45" s="793">
        <v>0</v>
      </c>
      <c r="K45" s="794">
        <v>0</v>
      </c>
      <c r="L45" s="794">
        <v>0</v>
      </c>
      <c r="M45" s="794">
        <v>0</v>
      </c>
      <c r="N45" s="794">
        <v>0</v>
      </c>
      <c r="O45" s="794">
        <v>0</v>
      </c>
      <c r="P45" s="794">
        <v>0</v>
      </c>
      <c r="Q45" s="794">
        <v>0</v>
      </c>
      <c r="R45" s="794">
        <v>0</v>
      </c>
      <c r="S45" s="240">
        <f t="shared" si="1"/>
        <v>0</v>
      </c>
    </row>
    <row r="46" spans="2:19">
      <c r="B46" s="236" t="s">
        <v>356</v>
      </c>
      <c r="C46" s="789"/>
      <c r="D46" s="790"/>
      <c r="E46" s="783"/>
      <c r="F46" s="791"/>
      <c r="G46" s="785">
        <f>IFERROR(F46/(INDEX(Settings_Currency_Table[],MATCH(General_Currency_Selection,Settings_Currency,0),2)),0)</f>
        <v>0</v>
      </c>
      <c r="H46" s="790"/>
      <c r="I46" s="792"/>
      <c r="J46" s="793">
        <v>0</v>
      </c>
      <c r="K46" s="794">
        <v>0</v>
      </c>
      <c r="L46" s="794">
        <v>0</v>
      </c>
      <c r="M46" s="794">
        <v>0</v>
      </c>
      <c r="N46" s="794">
        <v>0</v>
      </c>
      <c r="O46" s="794">
        <v>0</v>
      </c>
      <c r="P46" s="794">
        <v>0</v>
      </c>
      <c r="Q46" s="794">
        <v>0</v>
      </c>
      <c r="R46" s="794">
        <v>0</v>
      </c>
      <c r="S46" s="240">
        <f t="shared" si="1"/>
        <v>0</v>
      </c>
    </row>
    <row r="47" spans="2:19">
      <c r="B47" s="239" t="s">
        <v>357</v>
      </c>
      <c r="C47" s="789"/>
      <c r="D47" s="790"/>
      <c r="E47" s="783"/>
      <c r="F47" s="791"/>
      <c r="G47" s="785">
        <f>IFERROR(F47/(INDEX(Settings_Currency_Table[],MATCH(General_Currency_Selection,Settings_Currency,0),2)),0)</f>
        <v>0</v>
      </c>
      <c r="H47" s="790"/>
      <c r="I47" s="792"/>
      <c r="J47" s="793">
        <v>0</v>
      </c>
      <c r="K47" s="794">
        <v>0</v>
      </c>
      <c r="L47" s="794">
        <v>0</v>
      </c>
      <c r="M47" s="794">
        <v>0</v>
      </c>
      <c r="N47" s="794">
        <v>0</v>
      </c>
      <c r="O47" s="794">
        <v>0</v>
      </c>
      <c r="P47" s="794">
        <v>0</v>
      </c>
      <c r="Q47" s="794">
        <v>0</v>
      </c>
      <c r="R47" s="794">
        <v>0</v>
      </c>
      <c r="S47" s="240">
        <f t="shared" si="1"/>
        <v>0</v>
      </c>
    </row>
    <row r="48" spans="2:19">
      <c r="B48" s="236" t="s">
        <v>358</v>
      </c>
      <c r="C48" s="789"/>
      <c r="D48" s="790"/>
      <c r="E48" s="783"/>
      <c r="F48" s="791"/>
      <c r="G48" s="785">
        <f>IFERROR(F48/(INDEX(Settings_Currency_Table[],MATCH(General_Currency_Selection,Settings_Currency,0),2)),0)</f>
        <v>0</v>
      </c>
      <c r="H48" s="790"/>
      <c r="I48" s="792"/>
      <c r="J48" s="793">
        <v>0</v>
      </c>
      <c r="K48" s="794">
        <v>0</v>
      </c>
      <c r="L48" s="794">
        <v>0</v>
      </c>
      <c r="M48" s="794">
        <v>0</v>
      </c>
      <c r="N48" s="794">
        <v>0</v>
      </c>
      <c r="O48" s="794">
        <v>0</v>
      </c>
      <c r="P48" s="794">
        <v>0</v>
      </c>
      <c r="Q48" s="794">
        <v>0</v>
      </c>
      <c r="R48" s="794">
        <v>0</v>
      </c>
      <c r="S48" s="240">
        <f t="shared" si="1"/>
        <v>0</v>
      </c>
    </row>
    <row r="49" spans="2:19">
      <c r="B49" s="239" t="s">
        <v>359</v>
      </c>
      <c r="C49" s="789"/>
      <c r="D49" s="790"/>
      <c r="E49" s="783"/>
      <c r="F49" s="791"/>
      <c r="G49" s="785">
        <f>IFERROR(F49/(INDEX(Settings_Currency_Table[],MATCH(General_Currency_Selection,Settings_Currency,0),2)),0)</f>
        <v>0</v>
      </c>
      <c r="H49" s="790"/>
      <c r="I49" s="792"/>
      <c r="J49" s="793">
        <v>0</v>
      </c>
      <c r="K49" s="794">
        <v>0</v>
      </c>
      <c r="L49" s="794">
        <v>0</v>
      </c>
      <c r="M49" s="794">
        <v>0</v>
      </c>
      <c r="N49" s="794">
        <v>0</v>
      </c>
      <c r="O49" s="794">
        <v>0</v>
      </c>
      <c r="P49" s="794">
        <v>0</v>
      </c>
      <c r="Q49" s="794">
        <v>0</v>
      </c>
      <c r="R49" s="794">
        <v>0</v>
      </c>
      <c r="S49" s="240">
        <f t="shared" si="1"/>
        <v>0</v>
      </c>
    </row>
    <row r="50" spans="2:19">
      <c r="B50" s="236" t="s">
        <v>360</v>
      </c>
      <c r="C50" s="789"/>
      <c r="D50" s="790"/>
      <c r="E50" s="783"/>
      <c r="F50" s="791"/>
      <c r="G50" s="785">
        <f>IFERROR(F50/(INDEX(Settings_Currency_Table[],MATCH(General_Currency_Selection,Settings_Currency,0),2)),0)</f>
        <v>0</v>
      </c>
      <c r="H50" s="790"/>
      <c r="I50" s="792"/>
      <c r="J50" s="793">
        <v>0</v>
      </c>
      <c r="K50" s="794">
        <v>0</v>
      </c>
      <c r="L50" s="794">
        <v>0</v>
      </c>
      <c r="M50" s="794">
        <v>0</v>
      </c>
      <c r="N50" s="794">
        <v>0</v>
      </c>
      <c r="O50" s="794">
        <v>0</v>
      </c>
      <c r="P50" s="794">
        <v>0</v>
      </c>
      <c r="Q50" s="794">
        <v>0</v>
      </c>
      <c r="R50" s="794">
        <v>0</v>
      </c>
      <c r="S50" s="240">
        <f t="shared" si="1"/>
        <v>0</v>
      </c>
    </row>
    <row r="51" spans="2:19">
      <c r="B51" s="239" t="s">
        <v>361</v>
      </c>
      <c r="C51" s="789"/>
      <c r="D51" s="790"/>
      <c r="E51" s="783"/>
      <c r="F51" s="791"/>
      <c r="G51" s="785">
        <f>IFERROR(F51/(INDEX(Settings_Currency_Table[],MATCH(General_Currency_Selection,Settings_Currency,0),2)),0)</f>
        <v>0</v>
      </c>
      <c r="H51" s="790"/>
      <c r="I51" s="792"/>
      <c r="J51" s="793">
        <v>0</v>
      </c>
      <c r="K51" s="794">
        <v>0</v>
      </c>
      <c r="L51" s="794">
        <v>0</v>
      </c>
      <c r="M51" s="794">
        <v>0</v>
      </c>
      <c r="N51" s="794">
        <v>0</v>
      </c>
      <c r="O51" s="794">
        <v>0</v>
      </c>
      <c r="P51" s="794">
        <v>0</v>
      </c>
      <c r="Q51" s="794">
        <v>0</v>
      </c>
      <c r="R51" s="794">
        <v>0</v>
      </c>
      <c r="S51" s="240">
        <f t="shared" si="1"/>
        <v>0</v>
      </c>
    </row>
    <row r="52" spans="2:19">
      <c r="B52" s="236" t="s">
        <v>362</v>
      </c>
      <c r="C52" s="789"/>
      <c r="D52" s="790"/>
      <c r="E52" s="783"/>
      <c r="F52" s="791"/>
      <c r="G52" s="785">
        <f>IFERROR(F52/(INDEX(Settings_Currency_Table[],MATCH(General_Currency_Selection,Settings_Currency,0),2)),0)</f>
        <v>0</v>
      </c>
      <c r="H52" s="790"/>
      <c r="I52" s="792"/>
      <c r="J52" s="793">
        <v>0</v>
      </c>
      <c r="K52" s="794">
        <v>0</v>
      </c>
      <c r="L52" s="794">
        <v>0</v>
      </c>
      <c r="M52" s="794">
        <v>0</v>
      </c>
      <c r="N52" s="794">
        <v>0</v>
      </c>
      <c r="O52" s="794">
        <v>0</v>
      </c>
      <c r="P52" s="794">
        <v>0</v>
      </c>
      <c r="Q52" s="794">
        <v>0</v>
      </c>
      <c r="R52" s="794">
        <v>0</v>
      </c>
      <c r="S52" s="240">
        <f t="shared" si="1"/>
        <v>0</v>
      </c>
    </row>
    <row r="53" spans="2:19">
      <c r="B53" s="239" t="s">
        <v>363</v>
      </c>
      <c r="C53" s="789"/>
      <c r="D53" s="790"/>
      <c r="E53" s="783"/>
      <c r="F53" s="791"/>
      <c r="G53" s="785">
        <f>IFERROR(F53/(INDEX(Settings_Currency_Table[],MATCH(General_Currency_Selection,Settings_Currency,0),2)),0)</f>
        <v>0</v>
      </c>
      <c r="H53" s="790"/>
      <c r="I53" s="792"/>
      <c r="J53" s="793">
        <v>0</v>
      </c>
      <c r="K53" s="794">
        <v>0</v>
      </c>
      <c r="L53" s="794">
        <v>0</v>
      </c>
      <c r="M53" s="794">
        <v>0</v>
      </c>
      <c r="N53" s="794">
        <v>0</v>
      </c>
      <c r="O53" s="794">
        <v>0</v>
      </c>
      <c r="P53" s="794">
        <v>0</v>
      </c>
      <c r="Q53" s="794">
        <v>0</v>
      </c>
      <c r="R53" s="794">
        <v>0</v>
      </c>
      <c r="S53" s="240">
        <f t="shared" si="1"/>
        <v>0</v>
      </c>
    </row>
    <row r="54" spans="2:19">
      <c r="B54" s="236" t="s">
        <v>364</v>
      </c>
      <c r="C54" s="789"/>
      <c r="D54" s="790"/>
      <c r="E54" s="783"/>
      <c r="F54" s="791"/>
      <c r="G54" s="785">
        <f>IFERROR(F54/(INDEX(Settings_Currency_Table[],MATCH(General_Currency_Selection,Settings_Currency,0),2)),0)</f>
        <v>0</v>
      </c>
      <c r="H54" s="790"/>
      <c r="I54" s="792"/>
      <c r="J54" s="793">
        <v>0</v>
      </c>
      <c r="K54" s="794">
        <v>0</v>
      </c>
      <c r="L54" s="794">
        <v>0</v>
      </c>
      <c r="M54" s="794">
        <v>0</v>
      </c>
      <c r="N54" s="794">
        <v>0</v>
      </c>
      <c r="O54" s="794">
        <v>0</v>
      </c>
      <c r="P54" s="794">
        <v>0</v>
      </c>
      <c r="Q54" s="794">
        <v>0</v>
      </c>
      <c r="R54" s="794">
        <v>0</v>
      </c>
      <c r="S54" s="240">
        <f t="shared" si="1"/>
        <v>0</v>
      </c>
    </row>
    <row r="55" spans="2:19">
      <c r="B55" s="239" t="s">
        <v>365</v>
      </c>
      <c r="C55" s="789"/>
      <c r="D55" s="790"/>
      <c r="E55" s="783"/>
      <c r="F55" s="791"/>
      <c r="G55" s="785">
        <f>IFERROR(F55/(INDEX(Settings_Currency_Table[],MATCH(General_Currency_Selection,Settings_Currency,0),2)),0)</f>
        <v>0</v>
      </c>
      <c r="H55" s="790"/>
      <c r="I55" s="792"/>
      <c r="J55" s="793">
        <v>0</v>
      </c>
      <c r="K55" s="794">
        <v>0</v>
      </c>
      <c r="L55" s="794">
        <v>0</v>
      </c>
      <c r="M55" s="794">
        <v>0</v>
      </c>
      <c r="N55" s="794">
        <v>0</v>
      </c>
      <c r="O55" s="794">
        <v>0</v>
      </c>
      <c r="P55" s="794">
        <v>0</v>
      </c>
      <c r="Q55" s="794">
        <v>0</v>
      </c>
      <c r="R55" s="794">
        <v>0</v>
      </c>
      <c r="S55" s="240">
        <f t="shared" si="1"/>
        <v>0</v>
      </c>
    </row>
    <row r="56" spans="2:19">
      <c r="B56" s="236" t="s">
        <v>366</v>
      </c>
      <c r="C56" s="789"/>
      <c r="D56" s="790"/>
      <c r="E56" s="783"/>
      <c r="F56" s="791"/>
      <c r="G56" s="785">
        <f>IFERROR(F56/(INDEX(Settings_Currency_Table[],MATCH(General_Currency_Selection,Settings_Currency,0),2)),0)</f>
        <v>0</v>
      </c>
      <c r="H56" s="790"/>
      <c r="I56" s="792"/>
      <c r="J56" s="793">
        <v>0</v>
      </c>
      <c r="K56" s="794">
        <v>0</v>
      </c>
      <c r="L56" s="794">
        <v>0</v>
      </c>
      <c r="M56" s="794">
        <v>0</v>
      </c>
      <c r="N56" s="794">
        <v>0</v>
      </c>
      <c r="O56" s="794">
        <v>0</v>
      </c>
      <c r="P56" s="794">
        <v>0</v>
      </c>
      <c r="Q56" s="794">
        <v>0</v>
      </c>
      <c r="R56" s="794">
        <v>0</v>
      </c>
      <c r="S56" s="240">
        <f t="shared" si="1"/>
        <v>0</v>
      </c>
    </row>
    <row r="57" spans="2:19">
      <c r="B57" s="239" t="s">
        <v>367</v>
      </c>
      <c r="C57" s="789"/>
      <c r="D57" s="790"/>
      <c r="E57" s="783"/>
      <c r="F57" s="791"/>
      <c r="G57" s="785">
        <f>IFERROR(F57/(INDEX(Settings_Currency_Table[],MATCH(General_Currency_Selection,Settings_Currency,0),2)),0)</f>
        <v>0</v>
      </c>
      <c r="H57" s="790"/>
      <c r="I57" s="792"/>
      <c r="J57" s="793">
        <v>0</v>
      </c>
      <c r="K57" s="794">
        <v>0</v>
      </c>
      <c r="L57" s="794">
        <v>0</v>
      </c>
      <c r="M57" s="794">
        <v>0</v>
      </c>
      <c r="N57" s="794">
        <v>0</v>
      </c>
      <c r="O57" s="794">
        <v>0</v>
      </c>
      <c r="P57" s="794">
        <v>0</v>
      </c>
      <c r="Q57" s="794">
        <v>0</v>
      </c>
      <c r="R57" s="794">
        <v>0</v>
      </c>
      <c r="S57" s="240">
        <f t="shared" si="1"/>
        <v>0</v>
      </c>
    </row>
    <row r="58" spans="2:19">
      <c r="B58" s="236" t="s">
        <v>368</v>
      </c>
      <c r="C58" s="789"/>
      <c r="D58" s="790"/>
      <c r="E58" s="783"/>
      <c r="F58" s="791"/>
      <c r="G58" s="785">
        <f>IFERROR(F58/(INDEX(Settings_Currency_Table[],MATCH(General_Currency_Selection,Settings_Currency,0),2)),0)</f>
        <v>0</v>
      </c>
      <c r="H58" s="790"/>
      <c r="I58" s="792"/>
      <c r="J58" s="793">
        <v>0</v>
      </c>
      <c r="K58" s="794">
        <v>0</v>
      </c>
      <c r="L58" s="794">
        <v>0</v>
      </c>
      <c r="M58" s="794">
        <v>0</v>
      </c>
      <c r="N58" s="794">
        <v>0</v>
      </c>
      <c r="O58" s="794">
        <v>0</v>
      </c>
      <c r="P58" s="794">
        <v>0</v>
      </c>
      <c r="Q58" s="794">
        <v>0</v>
      </c>
      <c r="R58" s="794">
        <v>0</v>
      </c>
      <c r="S58" s="240">
        <f t="shared" si="1"/>
        <v>0</v>
      </c>
    </row>
    <row r="59" spans="2:19">
      <c r="B59" s="239" t="s">
        <v>369</v>
      </c>
      <c r="C59" s="789"/>
      <c r="D59" s="790"/>
      <c r="E59" s="783"/>
      <c r="F59" s="791"/>
      <c r="G59" s="785">
        <f>IFERROR(F59/(INDEX(Settings_Currency_Table[],MATCH(General_Currency_Selection,Settings_Currency,0),2)),0)</f>
        <v>0</v>
      </c>
      <c r="H59" s="790"/>
      <c r="I59" s="792"/>
      <c r="J59" s="793">
        <v>0</v>
      </c>
      <c r="K59" s="794">
        <v>0</v>
      </c>
      <c r="L59" s="794">
        <v>0</v>
      </c>
      <c r="M59" s="794">
        <v>0</v>
      </c>
      <c r="N59" s="794">
        <v>0</v>
      </c>
      <c r="O59" s="794">
        <v>0</v>
      </c>
      <c r="P59" s="794">
        <v>0</v>
      </c>
      <c r="Q59" s="794">
        <v>0</v>
      </c>
      <c r="R59" s="794">
        <v>0</v>
      </c>
      <c r="S59" s="240">
        <f t="shared" si="1"/>
        <v>0</v>
      </c>
    </row>
    <row r="60" spans="2:19">
      <c r="B60" s="236" t="s">
        <v>370</v>
      </c>
      <c r="C60" s="789"/>
      <c r="D60" s="790"/>
      <c r="E60" s="783"/>
      <c r="F60" s="791"/>
      <c r="G60" s="785">
        <f>IFERROR(F60/(INDEX(Settings_Currency_Table[],MATCH(General_Currency_Selection,Settings_Currency,0),2)),0)</f>
        <v>0</v>
      </c>
      <c r="H60" s="790"/>
      <c r="I60" s="792"/>
      <c r="J60" s="793">
        <v>0</v>
      </c>
      <c r="K60" s="794">
        <v>0</v>
      </c>
      <c r="L60" s="794">
        <v>0</v>
      </c>
      <c r="M60" s="794">
        <v>0</v>
      </c>
      <c r="N60" s="794">
        <v>0</v>
      </c>
      <c r="O60" s="794">
        <v>0</v>
      </c>
      <c r="P60" s="794">
        <v>0</v>
      </c>
      <c r="Q60" s="794">
        <v>0</v>
      </c>
      <c r="R60" s="794">
        <v>0</v>
      </c>
      <c r="S60" s="240">
        <f t="shared" si="1"/>
        <v>0</v>
      </c>
    </row>
    <row r="61" spans="2:19">
      <c r="B61" s="239" t="s">
        <v>371</v>
      </c>
      <c r="C61" s="789"/>
      <c r="D61" s="790"/>
      <c r="E61" s="783"/>
      <c r="F61" s="791"/>
      <c r="G61" s="785">
        <f>IFERROR(F61/(INDEX(Settings_Currency_Table[],MATCH(General_Currency_Selection,Settings_Currency,0),2)),0)</f>
        <v>0</v>
      </c>
      <c r="H61" s="790"/>
      <c r="I61" s="792"/>
      <c r="J61" s="793">
        <v>0</v>
      </c>
      <c r="K61" s="794">
        <v>0</v>
      </c>
      <c r="L61" s="794">
        <v>0</v>
      </c>
      <c r="M61" s="794">
        <v>0</v>
      </c>
      <c r="N61" s="794">
        <v>0</v>
      </c>
      <c r="O61" s="794">
        <v>0</v>
      </c>
      <c r="P61" s="794">
        <v>0</v>
      </c>
      <c r="Q61" s="794">
        <v>0</v>
      </c>
      <c r="R61" s="794">
        <v>0</v>
      </c>
      <c r="S61" s="240">
        <f t="shared" si="1"/>
        <v>0</v>
      </c>
    </row>
    <row r="62" spans="2:19">
      <c r="B62" s="236" t="s">
        <v>372</v>
      </c>
      <c r="C62" s="789"/>
      <c r="D62" s="790"/>
      <c r="E62" s="783"/>
      <c r="F62" s="791"/>
      <c r="G62" s="785">
        <f>IFERROR(F62/(INDEX(Settings_Currency_Table[],MATCH(General_Currency_Selection,Settings_Currency,0),2)),0)</f>
        <v>0</v>
      </c>
      <c r="H62" s="790"/>
      <c r="I62" s="792"/>
      <c r="J62" s="793">
        <v>0</v>
      </c>
      <c r="K62" s="794">
        <v>0</v>
      </c>
      <c r="L62" s="794">
        <v>0</v>
      </c>
      <c r="M62" s="794">
        <v>0</v>
      </c>
      <c r="N62" s="794">
        <v>0</v>
      </c>
      <c r="O62" s="794">
        <v>0</v>
      </c>
      <c r="P62" s="794">
        <v>0</v>
      </c>
      <c r="Q62" s="794">
        <v>0</v>
      </c>
      <c r="R62" s="794">
        <v>0</v>
      </c>
      <c r="S62" s="240">
        <f t="shared" si="1"/>
        <v>0</v>
      </c>
    </row>
    <row r="63" spans="2:19">
      <c r="B63" s="239" t="s">
        <v>373</v>
      </c>
      <c r="C63" s="789"/>
      <c r="D63" s="790"/>
      <c r="E63" s="783"/>
      <c r="F63" s="791"/>
      <c r="G63" s="785">
        <f>IFERROR(F63/(INDEX(Settings_Currency_Table[],MATCH(General_Currency_Selection,Settings_Currency,0),2)),0)</f>
        <v>0</v>
      </c>
      <c r="H63" s="790"/>
      <c r="I63" s="792"/>
      <c r="J63" s="793">
        <v>0</v>
      </c>
      <c r="K63" s="794">
        <v>0</v>
      </c>
      <c r="L63" s="794">
        <v>0</v>
      </c>
      <c r="M63" s="794">
        <v>0</v>
      </c>
      <c r="N63" s="794">
        <v>0</v>
      </c>
      <c r="O63" s="794">
        <v>0</v>
      </c>
      <c r="P63" s="794">
        <v>0</v>
      </c>
      <c r="Q63" s="794">
        <v>0</v>
      </c>
      <c r="R63" s="794">
        <v>0</v>
      </c>
      <c r="S63" s="240">
        <f t="shared" si="1"/>
        <v>0</v>
      </c>
    </row>
    <row r="64" spans="2:19">
      <c r="B64" s="236" t="s">
        <v>374</v>
      </c>
      <c r="C64" s="789"/>
      <c r="D64" s="790"/>
      <c r="E64" s="783"/>
      <c r="F64" s="791"/>
      <c r="G64" s="785">
        <f>IFERROR(F64/(INDEX(Settings_Currency_Table[],MATCH(General_Currency_Selection,Settings_Currency,0),2)),0)</f>
        <v>0</v>
      </c>
      <c r="H64" s="790"/>
      <c r="I64" s="792"/>
      <c r="J64" s="793">
        <v>0</v>
      </c>
      <c r="K64" s="794">
        <v>0</v>
      </c>
      <c r="L64" s="794">
        <v>0</v>
      </c>
      <c r="M64" s="794">
        <v>0</v>
      </c>
      <c r="N64" s="794">
        <v>0</v>
      </c>
      <c r="O64" s="794">
        <v>0</v>
      </c>
      <c r="P64" s="794">
        <v>0</v>
      </c>
      <c r="Q64" s="794">
        <v>0</v>
      </c>
      <c r="R64" s="794">
        <v>0</v>
      </c>
      <c r="S64" s="240">
        <f t="shared" si="1"/>
        <v>0</v>
      </c>
    </row>
    <row r="65" spans="2:19">
      <c r="B65" s="239" t="s">
        <v>375</v>
      </c>
      <c r="C65" s="789"/>
      <c r="D65" s="790"/>
      <c r="E65" s="783"/>
      <c r="F65" s="791"/>
      <c r="G65" s="785">
        <f>IFERROR(F65/(INDEX(Settings_Currency_Table[],MATCH(General_Currency_Selection,Settings_Currency,0),2)),0)</f>
        <v>0</v>
      </c>
      <c r="H65" s="790"/>
      <c r="I65" s="792"/>
      <c r="J65" s="793">
        <v>0</v>
      </c>
      <c r="K65" s="794">
        <v>0</v>
      </c>
      <c r="L65" s="794">
        <v>0</v>
      </c>
      <c r="M65" s="794">
        <v>0</v>
      </c>
      <c r="N65" s="794">
        <v>0</v>
      </c>
      <c r="O65" s="794">
        <v>0</v>
      </c>
      <c r="P65" s="794">
        <v>0</v>
      </c>
      <c r="Q65" s="794">
        <v>0</v>
      </c>
      <c r="R65" s="794">
        <v>0</v>
      </c>
      <c r="S65" s="240">
        <f t="shared" si="1"/>
        <v>0</v>
      </c>
    </row>
    <row r="66" spans="2:19">
      <c r="B66" s="236" t="s">
        <v>376</v>
      </c>
      <c r="C66" s="789"/>
      <c r="D66" s="790"/>
      <c r="E66" s="783"/>
      <c r="F66" s="791"/>
      <c r="G66" s="785">
        <f>IFERROR(F66/(INDEX(Settings_Currency_Table[],MATCH(General_Currency_Selection,Settings_Currency,0),2)),0)</f>
        <v>0</v>
      </c>
      <c r="H66" s="790"/>
      <c r="I66" s="792"/>
      <c r="J66" s="793">
        <v>0</v>
      </c>
      <c r="K66" s="794">
        <v>0</v>
      </c>
      <c r="L66" s="794">
        <v>0</v>
      </c>
      <c r="M66" s="794">
        <v>0</v>
      </c>
      <c r="N66" s="794">
        <v>0</v>
      </c>
      <c r="O66" s="794">
        <v>0</v>
      </c>
      <c r="P66" s="794">
        <v>0</v>
      </c>
      <c r="Q66" s="794">
        <v>0</v>
      </c>
      <c r="R66" s="794">
        <v>0</v>
      </c>
      <c r="S66" s="240">
        <f t="shared" si="1"/>
        <v>0</v>
      </c>
    </row>
    <row r="67" spans="2:19">
      <c r="B67" s="239" t="s">
        <v>377</v>
      </c>
      <c r="C67" s="789"/>
      <c r="D67" s="790"/>
      <c r="E67" s="783"/>
      <c r="F67" s="791"/>
      <c r="G67" s="785">
        <f>IFERROR(F67/(INDEX(Settings_Currency_Table[],MATCH(General_Currency_Selection,Settings_Currency,0),2)),0)</f>
        <v>0</v>
      </c>
      <c r="H67" s="790"/>
      <c r="I67" s="792"/>
      <c r="J67" s="793">
        <v>0</v>
      </c>
      <c r="K67" s="794">
        <v>0</v>
      </c>
      <c r="L67" s="794">
        <v>0</v>
      </c>
      <c r="M67" s="794">
        <v>0</v>
      </c>
      <c r="N67" s="794">
        <v>0</v>
      </c>
      <c r="O67" s="794">
        <v>0</v>
      </c>
      <c r="P67" s="794">
        <v>0</v>
      </c>
      <c r="Q67" s="794">
        <v>0</v>
      </c>
      <c r="R67" s="794">
        <v>0</v>
      </c>
      <c r="S67" s="240">
        <f t="shared" si="1"/>
        <v>0</v>
      </c>
    </row>
    <row r="68" spans="2:19">
      <c r="B68" s="236" t="s">
        <v>378</v>
      </c>
      <c r="C68" s="789"/>
      <c r="D68" s="790"/>
      <c r="E68" s="783"/>
      <c r="F68" s="791"/>
      <c r="G68" s="785">
        <f>IFERROR(F68/(INDEX(Settings_Currency_Table[],MATCH(General_Currency_Selection,Settings_Currency,0),2)),0)</f>
        <v>0</v>
      </c>
      <c r="H68" s="790"/>
      <c r="I68" s="792"/>
      <c r="J68" s="793">
        <v>0</v>
      </c>
      <c r="K68" s="794">
        <v>0</v>
      </c>
      <c r="L68" s="794">
        <v>0</v>
      </c>
      <c r="M68" s="794">
        <v>0</v>
      </c>
      <c r="N68" s="794">
        <v>0</v>
      </c>
      <c r="O68" s="794">
        <v>0</v>
      </c>
      <c r="P68" s="794">
        <v>0</v>
      </c>
      <c r="Q68" s="794">
        <v>0</v>
      </c>
      <c r="R68" s="794">
        <v>0</v>
      </c>
      <c r="S68" s="240">
        <f t="shared" ref="S68:S99" si="2">SUM(J68:R68)</f>
        <v>0</v>
      </c>
    </row>
    <row r="69" spans="2:19">
      <c r="B69" s="239" t="s">
        <v>379</v>
      </c>
      <c r="C69" s="789"/>
      <c r="D69" s="790"/>
      <c r="E69" s="783"/>
      <c r="F69" s="791"/>
      <c r="G69" s="785">
        <f>IFERROR(F69/(INDEX(Settings_Currency_Table[],MATCH(General_Currency_Selection,Settings_Currency,0),2)),0)</f>
        <v>0</v>
      </c>
      <c r="H69" s="790"/>
      <c r="I69" s="792"/>
      <c r="J69" s="793">
        <v>0</v>
      </c>
      <c r="K69" s="794">
        <v>0</v>
      </c>
      <c r="L69" s="794">
        <v>0</v>
      </c>
      <c r="M69" s="794">
        <v>0</v>
      </c>
      <c r="N69" s="794">
        <v>0</v>
      </c>
      <c r="O69" s="794">
        <v>0</v>
      </c>
      <c r="P69" s="794">
        <v>0</v>
      </c>
      <c r="Q69" s="794">
        <v>0</v>
      </c>
      <c r="R69" s="794">
        <v>0</v>
      </c>
      <c r="S69" s="240">
        <f t="shared" si="2"/>
        <v>0</v>
      </c>
    </row>
    <row r="70" spans="2:19">
      <c r="B70" s="236" t="s">
        <v>380</v>
      </c>
      <c r="C70" s="789"/>
      <c r="D70" s="790"/>
      <c r="E70" s="783"/>
      <c r="F70" s="791"/>
      <c r="G70" s="785">
        <f>IFERROR(F70/(INDEX(Settings_Currency_Table[],MATCH(General_Currency_Selection,Settings_Currency,0),2)),0)</f>
        <v>0</v>
      </c>
      <c r="H70" s="790"/>
      <c r="I70" s="792"/>
      <c r="J70" s="793">
        <v>0</v>
      </c>
      <c r="K70" s="794">
        <v>0</v>
      </c>
      <c r="L70" s="794">
        <v>0</v>
      </c>
      <c r="M70" s="794">
        <v>0</v>
      </c>
      <c r="N70" s="794">
        <v>0</v>
      </c>
      <c r="O70" s="794">
        <v>0</v>
      </c>
      <c r="P70" s="794">
        <v>0</v>
      </c>
      <c r="Q70" s="794">
        <v>0</v>
      </c>
      <c r="R70" s="794">
        <v>0</v>
      </c>
      <c r="S70" s="240">
        <f t="shared" si="2"/>
        <v>0</v>
      </c>
    </row>
    <row r="71" spans="2:19">
      <c r="B71" s="239" t="s">
        <v>381</v>
      </c>
      <c r="C71" s="789"/>
      <c r="D71" s="790"/>
      <c r="E71" s="783"/>
      <c r="F71" s="791"/>
      <c r="G71" s="785">
        <f>IFERROR(F71/(INDEX(Settings_Currency_Table[],MATCH(General_Currency_Selection,Settings_Currency,0),2)),0)</f>
        <v>0</v>
      </c>
      <c r="H71" s="790"/>
      <c r="I71" s="792"/>
      <c r="J71" s="793">
        <v>0</v>
      </c>
      <c r="K71" s="794">
        <v>0</v>
      </c>
      <c r="L71" s="794">
        <v>0</v>
      </c>
      <c r="M71" s="794">
        <v>0</v>
      </c>
      <c r="N71" s="794">
        <v>0</v>
      </c>
      <c r="O71" s="794">
        <v>0</v>
      </c>
      <c r="P71" s="794">
        <v>0</v>
      </c>
      <c r="Q71" s="794">
        <v>0</v>
      </c>
      <c r="R71" s="794">
        <v>0</v>
      </c>
      <c r="S71" s="240">
        <f t="shared" si="2"/>
        <v>0</v>
      </c>
    </row>
    <row r="72" spans="2:19">
      <c r="B72" s="236" t="s">
        <v>382</v>
      </c>
      <c r="C72" s="789"/>
      <c r="D72" s="790"/>
      <c r="E72" s="783"/>
      <c r="F72" s="791"/>
      <c r="G72" s="785">
        <f>IFERROR(F72/(INDEX(Settings_Currency_Table[],MATCH(General_Currency_Selection,Settings_Currency,0),2)),0)</f>
        <v>0</v>
      </c>
      <c r="H72" s="790"/>
      <c r="I72" s="792"/>
      <c r="J72" s="793">
        <v>0</v>
      </c>
      <c r="K72" s="794">
        <v>0</v>
      </c>
      <c r="L72" s="794">
        <v>0</v>
      </c>
      <c r="M72" s="794">
        <v>0</v>
      </c>
      <c r="N72" s="794">
        <v>0</v>
      </c>
      <c r="O72" s="794">
        <v>0</v>
      </c>
      <c r="P72" s="794">
        <v>0</v>
      </c>
      <c r="Q72" s="794">
        <v>0</v>
      </c>
      <c r="R72" s="794">
        <v>0</v>
      </c>
      <c r="S72" s="240">
        <f t="shared" si="2"/>
        <v>0</v>
      </c>
    </row>
    <row r="73" spans="2:19">
      <c r="B73" s="239" t="s">
        <v>383</v>
      </c>
      <c r="C73" s="789"/>
      <c r="D73" s="790"/>
      <c r="E73" s="783"/>
      <c r="F73" s="791"/>
      <c r="G73" s="785">
        <f>IFERROR(F73/(INDEX(Settings_Currency_Table[],MATCH(General_Currency_Selection,Settings_Currency,0),2)),0)</f>
        <v>0</v>
      </c>
      <c r="H73" s="790"/>
      <c r="I73" s="792"/>
      <c r="J73" s="793">
        <v>0</v>
      </c>
      <c r="K73" s="794">
        <v>0</v>
      </c>
      <c r="L73" s="794">
        <v>0</v>
      </c>
      <c r="M73" s="794">
        <v>0</v>
      </c>
      <c r="N73" s="794">
        <v>0</v>
      </c>
      <c r="O73" s="794">
        <v>0</v>
      </c>
      <c r="P73" s="794">
        <v>0</v>
      </c>
      <c r="Q73" s="794">
        <v>0</v>
      </c>
      <c r="R73" s="794">
        <v>0</v>
      </c>
      <c r="S73" s="240">
        <f t="shared" si="2"/>
        <v>0</v>
      </c>
    </row>
    <row r="74" spans="2:19">
      <c r="B74" s="236" t="s">
        <v>384</v>
      </c>
      <c r="C74" s="789"/>
      <c r="D74" s="790"/>
      <c r="E74" s="783"/>
      <c r="F74" s="791"/>
      <c r="G74" s="785">
        <f>IFERROR(F74/(INDEX(Settings_Currency_Table[],MATCH(General_Currency_Selection,Settings_Currency,0),2)),0)</f>
        <v>0</v>
      </c>
      <c r="H74" s="790"/>
      <c r="I74" s="792"/>
      <c r="J74" s="793">
        <v>0</v>
      </c>
      <c r="K74" s="794">
        <v>0</v>
      </c>
      <c r="L74" s="794">
        <v>0</v>
      </c>
      <c r="M74" s="794">
        <v>0</v>
      </c>
      <c r="N74" s="794">
        <v>0</v>
      </c>
      <c r="O74" s="794">
        <v>0</v>
      </c>
      <c r="P74" s="794">
        <v>0</v>
      </c>
      <c r="Q74" s="794">
        <v>0</v>
      </c>
      <c r="R74" s="794">
        <v>0</v>
      </c>
      <c r="S74" s="240">
        <f t="shared" si="2"/>
        <v>0</v>
      </c>
    </row>
    <row r="75" spans="2:19">
      <c r="B75" s="239" t="s">
        <v>385</v>
      </c>
      <c r="C75" s="789"/>
      <c r="D75" s="790"/>
      <c r="E75" s="783"/>
      <c r="F75" s="791"/>
      <c r="G75" s="785">
        <f>IFERROR(F75/(INDEX(Settings_Currency_Table[],MATCH(General_Currency_Selection,Settings_Currency,0),2)),0)</f>
        <v>0</v>
      </c>
      <c r="H75" s="790"/>
      <c r="I75" s="792"/>
      <c r="J75" s="793">
        <v>0</v>
      </c>
      <c r="K75" s="794">
        <v>0</v>
      </c>
      <c r="L75" s="794">
        <v>0</v>
      </c>
      <c r="M75" s="794">
        <v>0</v>
      </c>
      <c r="N75" s="794">
        <v>0</v>
      </c>
      <c r="O75" s="794">
        <v>0</v>
      </c>
      <c r="P75" s="794">
        <v>0</v>
      </c>
      <c r="Q75" s="794">
        <v>0</v>
      </c>
      <c r="R75" s="794">
        <v>0</v>
      </c>
      <c r="S75" s="240">
        <f t="shared" si="2"/>
        <v>0</v>
      </c>
    </row>
    <row r="76" spans="2:19">
      <c r="B76" s="236" t="s">
        <v>386</v>
      </c>
      <c r="C76" s="789"/>
      <c r="D76" s="790"/>
      <c r="E76" s="783"/>
      <c r="F76" s="791"/>
      <c r="G76" s="785">
        <f>IFERROR(F76/(INDEX(Settings_Currency_Table[],MATCH(General_Currency_Selection,Settings_Currency,0),2)),0)</f>
        <v>0</v>
      </c>
      <c r="H76" s="790"/>
      <c r="I76" s="792"/>
      <c r="J76" s="793">
        <v>0</v>
      </c>
      <c r="K76" s="794">
        <v>0</v>
      </c>
      <c r="L76" s="794">
        <v>0</v>
      </c>
      <c r="M76" s="794">
        <v>0</v>
      </c>
      <c r="N76" s="794">
        <v>0</v>
      </c>
      <c r="O76" s="794">
        <v>0</v>
      </c>
      <c r="P76" s="794">
        <v>0</v>
      </c>
      <c r="Q76" s="794">
        <v>0</v>
      </c>
      <c r="R76" s="794">
        <v>0</v>
      </c>
      <c r="S76" s="240">
        <f t="shared" si="2"/>
        <v>0</v>
      </c>
    </row>
    <row r="77" spans="2:19">
      <c r="B77" s="239" t="s">
        <v>387</v>
      </c>
      <c r="C77" s="789"/>
      <c r="D77" s="790"/>
      <c r="E77" s="783"/>
      <c r="F77" s="791"/>
      <c r="G77" s="785">
        <f>IFERROR(F77/(INDEX(Settings_Currency_Table[],MATCH(General_Currency_Selection,Settings_Currency,0),2)),0)</f>
        <v>0</v>
      </c>
      <c r="H77" s="790"/>
      <c r="I77" s="792"/>
      <c r="J77" s="793">
        <v>0</v>
      </c>
      <c r="K77" s="794">
        <v>0</v>
      </c>
      <c r="L77" s="794">
        <v>0</v>
      </c>
      <c r="M77" s="794">
        <v>0</v>
      </c>
      <c r="N77" s="794">
        <v>0</v>
      </c>
      <c r="O77" s="794">
        <v>0</v>
      </c>
      <c r="P77" s="794">
        <v>0</v>
      </c>
      <c r="Q77" s="794">
        <v>0</v>
      </c>
      <c r="R77" s="794">
        <v>0</v>
      </c>
      <c r="S77" s="240">
        <f t="shared" si="2"/>
        <v>0</v>
      </c>
    </row>
    <row r="78" spans="2:19">
      <c r="B78" s="236" t="s">
        <v>388</v>
      </c>
      <c r="C78" s="789"/>
      <c r="D78" s="790"/>
      <c r="E78" s="783"/>
      <c r="F78" s="791"/>
      <c r="G78" s="785">
        <f>IFERROR(F78/(INDEX(Settings_Currency_Table[],MATCH(General_Currency_Selection,Settings_Currency,0),2)),0)</f>
        <v>0</v>
      </c>
      <c r="H78" s="790"/>
      <c r="I78" s="792"/>
      <c r="J78" s="793">
        <v>0</v>
      </c>
      <c r="K78" s="794">
        <v>0</v>
      </c>
      <c r="L78" s="794">
        <v>0</v>
      </c>
      <c r="M78" s="794">
        <v>0</v>
      </c>
      <c r="N78" s="794">
        <v>0</v>
      </c>
      <c r="O78" s="794">
        <v>0</v>
      </c>
      <c r="P78" s="794">
        <v>0</v>
      </c>
      <c r="Q78" s="794">
        <v>0</v>
      </c>
      <c r="R78" s="794">
        <v>0</v>
      </c>
      <c r="S78" s="240">
        <f t="shared" si="2"/>
        <v>0</v>
      </c>
    </row>
    <row r="79" spans="2:19">
      <c r="B79" s="239" t="s">
        <v>389</v>
      </c>
      <c r="C79" s="789"/>
      <c r="D79" s="790"/>
      <c r="E79" s="783"/>
      <c r="F79" s="791"/>
      <c r="G79" s="785">
        <f>IFERROR(F79/(INDEX(Settings_Currency_Table[],MATCH(General_Currency_Selection,Settings_Currency,0),2)),0)</f>
        <v>0</v>
      </c>
      <c r="H79" s="790"/>
      <c r="I79" s="792"/>
      <c r="J79" s="793">
        <v>0</v>
      </c>
      <c r="K79" s="794">
        <v>0</v>
      </c>
      <c r="L79" s="794">
        <v>0</v>
      </c>
      <c r="M79" s="794">
        <v>0</v>
      </c>
      <c r="N79" s="794">
        <v>0</v>
      </c>
      <c r="O79" s="794">
        <v>0</v>
      </c>
      <c r="P79" s="794">
        <v>0</v>
      </c>
      <c r="Q79" s="794">
        <v>0</v>
      </c>
      <c r="R79" s="794">
        <v>0</v>
      </c>
      <c r="S79" s="240">
        <f t="shared" si="2"/>
        <v>0</v>
      </c>
    </row>
    <row r="80" spans="2:19">
      <c r="B80" s="236" t="s">
        <v>390</v>
      </c>
      <c r="C80" s="789"/>
      <c r="D80" s="790"/>
      <c r="E80" s="783"/>
      <c r="F80" s="791"/>
      <c r="G80" s="785">
        <f>IFERROR(F80/(INDEX(Settings_Currency_Table[],MATCH(General_Currency_Selection,Settings_Currency,0),2)),0)</f>
        <v>0</v>
      </c>
      <c r="H80" s="790"/>
      <c r="I80" s="792"/>
      <c r="J80" s="793">
        <v>0</v>
      </c>
      <c r="K80" s="794">
        <v>0</v>
      </c>
      <c r="L80" s="794">
        <v>0</v>
      </c>
      <c r="M80" s="794">
        <v>0</v>
      </c>
      <c r="N80" s="794">
        <v>0</v>
      </c>
      <c r="O80" s="794">
        <v>0</v>
      </c>
      <c r="P80" s="794">
        <v>0</v>
      </c>
      <c r="Q80" s="794">
        <v>0</v>
      </c>
      <c r="R80" s="794">
        <v>0</v>
      </c>
      <c r="S80" s="240">
        <f t="shared" si="2"/>
        <v>0</v>
      </c>
    </row>
    <row r="81" spans="2:19">
      <c r="B81" s="239" t="s">
        <v>391</v>
      </c>
      <c r="C81" s="789"/>
      <c r="D81" s="790"/>
      <c r="E81" s="783"/>
      <c r="F81" s="791"/>
      <c r="G81" s="785">
        <f>IFERROR(F81/(INDEX(Settings_Currency_Table[],MATCH(General_Currency_Selection,Settings_Currency,0),2)),0)</f>
        <v>0</v>
      </c>
      <c r="H81" s="790"/>
      <c r="I81" s="792"/>
      <c r="J81" s="793">
        <v>0</v>
      </c>
      <c r="K81" s="794">
        <v>0</v>
      </c>
      <c r="L81" s="794">
        <v>0</v>
      </c>
      <c r="M81" s="794">
        <v>0</v>
      </c>
      <c r="N81" s="794">
        <v>0</v>
      </c>
      <c r="O81" s="794">
        <v>0</v>
      </c>
      <c r="P81" s="794">
        <v>0</v>
      </c>
      <c r="Q81" s="794">
        <v>0</v>
      </c>
      <c r="R81" s="794">
        <v>0</v>
      </c>
      <c r="S81" s="240">
        <f t="shared" si="2"/>
        <v>0</v>
      </c>
    </row>
    <row r="82" spans="2:19">
      <c r="B82" s="236" t="s">
        <v>392</v>
      </c>
      <c r="C82" s="789"/>
      <c r="D82" s="790"/>
      <c r="E82" s="783"/>
      <c r="F82" s="791"/>
      <c r="G82" s="785">
        <f>IFERROR(F82/(INDEX(Settings_Currency_Table[],MATCH(General_Currency_Selection,Settings_Currency,0),2)),0)</f>
        <v>0</v>
      </c>
      <c r="H82" s="790"/>
      <c r="I82" s="792"/>
      <c r="J82" s="793">
        <v>0</v>
      </c>
      <c r="K82" s="794">
        <v>0</v>
      </c>
      <c r="L82" s="794">
        <v>0</v>
      </c>
      <c r="M82" s="794">
        <v>0</v>
      </c>
      <c r="N82" s="794">
        <v>0</v>
      </c>
      <c r="O82" s="794">
        <v>0</v>
      </c>
      <c r="P82" s="794">
        <v>0</v>
      </c>
      <c r="Q82" s="794">
        <v>0</v>
      </c>
      <c r="R82" s="794">
        <v>0</v>
      </c>
      <c r="S82" s="240">
        <f t="shared" si="2"/>
        <v>0</v>
      </c>
    </row>
    <row r="83" spans="2:19">
      <c r="B83" s="239" t="s">
        <v>393</v>
      </c>
      <c r="C83" s="789"/>
      <c r="D83" s="790"/>
      <c r="E83" s="783"/>
      <c r="F83" s="791"/>
      <c r="G83" s="785">
        <f>IFERROR(F83/(INDEX(Settings_Currency_Table[],MATCH(General_Currency_Selection,Settings_Currency,0),2)),0)</f>
        <v>0</v>
      </c>
      <c r="H83" s="790"/>
      <c r="I83" s="792"/>
      <c r="J83" s="793">
        <v>0</v>
      </c>
      <c r="K83" s="794">
        <v>0</v>
      </c>
      <c r="L83" s="794">
        <v>0</v>
      </c>
      <c r="M83" s="794">
        <v>0</v>
      </c>
      <c r="N83" s="794">
        <v>0</v>
      </c>
      <c r="O83" s="794">
        <v>0</v>
      </c>
      <c r="P83" s="794">
        <v>0</v>
      </c>
      <c r="Q83" s="794">
        <v>0</v>
      </c>
      <c r="R83" s="794">
        <v>0</v>
      </c>
      <c r="S83" s="240">
        <f t="shared" si="2"/>
        <v>0</v>
      </c>
    </row>
    <row r="84" spans="2:19">
      <c r="B84" s="236" t="s">
        <v>394</v>
      </c>
      <c r="C84" s="789"/>
      <c r="D84" s="790"/>
      <c r="E84" s="783"/>
      <c r="F84" s="791"/>
      <c r="G84" s="785">
        <f>IFERROR(F84/(INDEX(Settings_Currency_Table[],MATCH(General_Currency_Selection,Settings_Currency,0),2)),0)</f>
        <v>0</v>
      </c>
      <c r="H84" s="790"/>
      <c r="I84" s="792"/>
      <c r="J84" s="793">
        <v>0</v>
      </c>
      <c r="K84" s="794">
        <v>0</v>
      </c>
      <c r="L84" s="794">
        <v>0</v>
      </c>
      <c r="M84" s="794">
        <v>0</v>
      </c>
      <c r="N84" s="794">
        <v>0</v>
      </c>
      <c r="O84" s="794">
        <v>0</v>
      </c>
      <c r="P84" s="794">
        <v>0</v>
      </c>
      <c r="Q84" s="794">
        <v>0</v>
      </c>
      <c r="R84" s="794">
        <v>0</v>
      </c>
      <c r="S84" s="240">
        <f t="shared" si="2"/>
        <v>0</v>
      </c>
    </row>
    <row r="85" spans="2:19">
      <c r="B85" s="239" t="s">
        <v>395</v>
      </c>
      <c r="C85" s="789"/>
      <c r="D85" s="790"/>
      <c r="E85" s="783"/>
      <c r="F85" s="791"/>
      <c r="G85" s="785">
        <f>IFERROR(F85/(INDEX(Settings_Currency_Table[],MATCH(General_Currency_Selection,Settings_Currency,0),2)),0)</f>
        <v>0</v>
      </c>
      <c r="H85" s="790"/>
      <c r="I85" s="792"/>
      <c r="J85" s="793">
        <v>0</v>
      </c>
      <c r="K85" s="794">
        <v>0</v>
      </c>
      <c r="L85" s="794">
        <v>0</v>
      </c>
      <c r="M85" s="794">
        <v>0</v>
      </c>
      <c r="N85" s="794">
        <v>0</v>
      </c>
      <c r="O85" s="794">
        <v>0</v>
      </c>
      <c r="P85" s="794">
        <v>0</v>
      </c>
      <c r="Q85" s="794">
        <v>0</v>
      </c>
      <c r="R85" s="794">
        <v>0</v>
      </c>
      <c r="S85" s="240">
        <f t="shared" si="2"/>
        <v>0</v>
      </c>
    </row>
    <row r="86" spans="2:19">
      <c r="B86" s="236" t="s">
        <v>396</v>
      </c>
      <c r="C86" s="789"/>
      <c r="D86" s="790"/>
      <c r="E86" s="783"/>
      <c r="F86" s="791"/>
      <c r="G86" s="785">
        <f>IFERROR(F86/(INDEX(Settings_Currency_Table[],MATCH(General_Currency_Selection,Settings_Currency,0),2)),0)</f>
        <v>0</v>
      </c>
      <c r="H86" s="790"/>
      <c r="I86" s="792"/>
      <c r="J86" s="793">
        <v>0</v>
      </c>
      <c r="K86" s="794">
        <v>0</v>
      </c>
      <c r="L86" s="794">
        <v>0</v>
      </c>
      <c r="M86" s="794">
        <v>0</v>
      </c>
      <c r="N86" s="794">
        <v>0</v>
      </c>
      <c r="O86" s="794">
        <v>0</v>
      </c>
      <c r="P86" s="794">
        <v>0</v>
      </c>
      <c r="Q86" s="794">
        <v>0</v>
      </c>
      <c r="R86" s="794">
        <v>0</v>
      </c>
      <c r="S86" s="240">
        <f t="shared" si="2"/>
        <v>0</v>
      </c>
    </row>
    <row r="87" spans="2:19">
      <c r="B87" s="239" t="s">
        <v>397</v>
      </c>
      <c r="C87" s="789"/>
      <c r="D87" s="790"/>
      <c r="E87" s="783"/>
      <c r="F87" s="791"/>
      <c r="G87" s="785">
        <f>IFERROR(F87/(INDEX(Settings_Currency_Table[],MATCH(General_Currency_Selection,Settings_Currency,0),2)),0)</f>
        <v>0</v>
      </c>
      <c r="H87" s="790"/>
      <c r="I87" s="792"/>
      <c r="J87" s="793">
        <v>0</v>
      </c>
      <c r="K87" s="794">
        <v>0</v>
      </c>
      <c r="L87" s="794">
        <v>0</v>
      </c>
      <c r="M87" s="794">
        <v>0</v>
      </c>
      <c r="N87" s="794">
        <v>0</v>
      </c>
      <c r="O87" s="794">
        <v>0</v>
      </c>
      <c r="P87" s="794">
        <v>0</v>
      </c>
      <c r="Q87" s="794">
        <v>0</v>
      </c>
      <c r="R87" s="794">
        <v>0</v>
      </c>
      <c r="S87" s="240">
        <f t="shared" si="2"/>
        <v>0</v>
      </c>
    </row>
    <row r="88" spans="2:19">
      <c r="B88" s="236" t="s">
        <v>398</v>
      </c>
      <c r="C88" s="789"/>
      <c r="D88" s="790"/>
      <c r="E88" s="783"/>
      <c r="F88" s="791"/>
      <c r="G88" s="785">
        <f>IFERROR(F88/(INDEX(Settings_Currency_Table[],MATCH(General_Currency_Selection,Settings_Currency,0),2)),0)</f>
        <v>0</v>
      </c>
      <c r="H88" s="790"/>
      <c r="I88" s="792"/>
      <c r="J88" s="793">
        <v>0</v>
      </c>
      <c r="K88" s="794">
        <v>0</v>
      </c>
      <c r="L88" s="794">
        <v>0</v>
      </c>
      <c r="M88" s="794">
        <v>0</v>
      </c>
      <c r="N88" s="794">
        <v>0</v>
      </c>
      <c r="O88" s="794">
        <v>0</v>
      </c>
      <c r="P88" s="794">
        <v>0</v>
      </c>
      <c r="Q88" s="794">
        <v>0</v>
      </c>
      <c r="R88" s="794">
        <v>0</v>
      </c>
      <c r="S88" s="240">
        <f t="shared" si="2"/>
        <v>0</v>
      </c>
    </row>
    <row r="89" spans="2:19">
      <c r="B89" s="239" t="s">
        <v>399</v>
      </c>
      <c r="C89" s="789"/>
      <c r="D89" s="790"/>
      <c r="E89" s="783"/>
      <c r="F89" s="791"/>
      <c r="G89" s="785">
        <f>IFERROR(F89/(INDEX(Settings_Currency_Table[],MATCH(General_Currency_Selection,Settings_Currency,0),2)),0)</f>
        <v>0</v>
      </c>
      <c r="H89" s="790"/>
      <c r="I89" s="792"/>
      <c r="J89" s="793">
        <v>0</v>
      </c>
      <c r="K89" s="794">
        <v>0</v>
      </c>
      <c r="L89" s="794">
        <v>0</v>
      </c>
      <c r="M89" s="794">
        <v>0</v>
      </c>
      <c r="N89" s="794">
        <v>0</v>
      </c>
      <c r="O89" s="794">
        <v>0</v>
      </c>
      <c r="P89" s="794">
        <v>0</v>
      </c>
      <c r="Q89" s="794">
        <v>0</v>
      </c>
      <c r="R89" s="794">
        <v>0</v>
      </c>
      <c r="S89" s="240">
        <f t="shared" si="2"/>
        <v>0</v>
      </c>
    </row>
    <row r="90" spans="2:19">
      <c r="B90" s="236" t="s">
        <v>400</v>
      </c>
      <c r="C90" s="789"/>
      <c r="D90" s="790"/>
      <c r="E90" s="783"/>
      <c r="F90" s="791"/>
      <c r="G90" s="785">
        <f>IFERROR(F90/(INDEX(Settings_Currency_Table[],MATCH(General_Currency_Selection,Settings_Currency,0),2)),0)</f>
        <v>0</v>
      </c>
      <c r="H90" s="790"/>
      <c r="I90" s="792"/>
      <c r="J90" s="793">
        <v>0</v>
      </c>
      <c r="K90" s="794">
        <v>0</v>
      </c>
      <c r="L90" s="794">
        <v>0</v>
      </c>
      <c r="M90" s="794">
        <v>0</v>
      </c>
      <c r="N90" s="794">
        <v>0</v>
      </c>
      <c r="O90" s="794">
        <v>0</v>
      </c>
      <c r="P90" s="794">
        <v>0</v>
      </c>
      <c r="Q90" s="794">
        <v>0</v>
      </c>
      <c r="R90" s="794">
        <v>0</v>
      </c>
      <c r="S90" s="240">
        <f t="shared" si="2"/>
        <v>0</v>
      </c>
    </row>
    <row r="91" spans="2:19">
      <c r="B91" s="239" t="s">
        <v>401</v>
      </c>
      <c r="C91" s="789"/>
      <c r="D91" s="790"/>
      <c r="E91" s="783"/>
      <c r="F91" s="791"/>
      <c r="G91" s="785">
        <f>IFERROR(F91/(INDEX(Settings_Currency_Table[],MATCH(General_Currency_Selection,Settings_Currency,0),2)),0)</f>
        <v>0</v>
      </c>
      <c r="H91" s="790"/>
      <c r="I91" s="792"/>
      <c r="J91" s="793">
        <v>0</v>
      </c>
      <c r="K91" s="794">
        <v>0</v>
      </c>
      <c r="L91" s="794">
        <v>0</v>
      </c>
      <c r="M91" s="794">
        <v>0</v>
      </c>
      <c r="N91" s="794">
        <v>0</v>
      </c>
      <c r="O91" s="794">
        <v>0</v>
      </c>
      <c r="P91" s="794">
        <v>0</v>
      </c>
      <c r="Q91" s="794">
        <v>0</v>
      </c>
      <c r="R91" s="794">
        <v>0</v>
      </c>
      <c r="S91" s="240">
        <f t="shared" si="2"/>
        <v>0</v>
      </c>
    </row>
    <row r="92" spans="2:19">
      <c r="B92" s="236" t="s">
        <v>402</v>
      </c>
      <c r="C92" s="789"/>
      <c r="D92" s="790"/>
      <c r="E92" s="783"/>
      <c r="F92" s="791"/>
      <c r="G92" s="785">
        <f>IFERROR(F92/(INDEX(Settings_Currency_Table[],MATCH(General_Currency_Selection,Settings_Currency,0),2)),0)</f>
        <v>0</v>
      </c>
      <c r="H92" s="790"/>
      <c r="I92" s="792"/>
      <c r="J92" s="793">
        <v>0</v>
      </c>
      <c r="K92" s="794">
        <v>0</v>
      </c>
      <c r="L92" s="794">
        <v>0</v>
      </c>
      <c r="M92" s="794">
        <v>0</v>
      </c>
      <c r="N92" s="794">
        <v>0</v>
      </c>
      <c r="O92" s="794">
        <v>0</v>
      </c>
      <c r="P92" s="794">
        <v>0</v>
      </c>
      <c r="Q92" s="794">
        <v>0</v>
      </c>
      <c r="R92" s="794">
        <v>0</v>
      </c>
      <c r="S92" s="240">
        <f t="shared" si="2"/>
        <v>0</v>
      </c>
    </row>
    <row r="93" spans="2:19">
      <c r="B93" s="239" t="s">
        <v>403</v>
      </c>
      <c r="C93" s="789"/>
      <c r="D93" s="790"/>
      <c r="E93" s="783"/>
      <c r="F93" s="791"/>
      <c r="G93" s="785">
        <f>IFERROR(F93/(INDEX(Settings_Currency_Table[],MATCH(General_Currency_Selection,Settings_Currency,0),2)),0)</f>
        <v>0</v>
      </c>
      <c r="H93" s="790"/>
      <c r="I93" s="792"/>
      <c r="J93" s="793">
        <v>0</v>
      </c>
      <c r="K93" s="794">
        <v>0</v>
      </c>
      <c r="L93" s="794">
        <v>0</v>
      </c>
      <c r="M93" s="794">
        <v>0</v>
      </c>
      <c r="N93" s="794">
        <v>0</v>
      </c>
      <c r="O93" s="794">
        <v>0</v>
      </c>
      <c r="P93" s="794">
        <v>0</v>
      </c>
      <c r="Q93" s="794">
        <v>0</v>
      </c>
      <c r="R93" s="794">
        <v>0</v>
      </c>
      <c r="S93" s="240">
        <f t="shared" si="2"/>
        <v>0</v>
      </c>
    </row>
    <row r="94" spans="2:19">
      <c r="B94" s="236" t="s">
        <v>404</v>
      </c>
      <c r="C94" s="789"/>
      <c r="D94" s="790"/>
      <c r="E94" s="783"/>
      <c r="F94" s="791"/>
      <c r="G94" s="785">
        <f>IFERROR(F94/(INDEX(Settings_Currency_Table[],MATCH(General_Currency_Selection,Settings_Currency,0),2)),0)</f>
        <v>0</v>
      </c>
      <c r="H94" s="790"/>
      <c r="I94" s="792"/>
      <c r="J94" s="793">
        <v>0</v>
      </c>
      <c r="K94" s="794">
        <v>0</v>
      </c>
      <c r="L94" s="794">
        <v>0</v>
      </c>
      <c r="M94" s="794">
        <v>0</v>
      </c>
      <c r="N94" s="794">
        <v>0</v>
      </c>
      <c r="O94" s="794">
        <v>0</v>
      </c>
      <c r="P94" s="794">
        <v>0</v>
      </c>
      <c r="Q94" s="794">
        <v>0</v>
      </c>
      <c r="R94" s="794">
        <v>0</v>
      </c>
      <c r="S94" s="240">
        <f t="shared" si="2"/>
        <v>0</v>
      </c>
    </row>
    <row r="95" spans="2:19">
      <c r="B95" s="239" t="s">
        <v>405</v>
      </c>
      <c r="C95" s="789"/>
      <c r="D95" s="790"/>
      <c r="E95" s="783"/>
      <c r="F95" s="791"/>
      <c r="G95" s="785">
        <f>IFERROR(F95/(INDEX(Settings_Currency_Table[],MATCH(General_Currency_Selection,Settings_Currency,0),2)),0)</f>
        <v>0</v>
      </c>
      <c r="H95" s="790"/>
      <c r="I95" s="792"/>
      <c r="J95" s="793">
        <v>0</v>
      </c>
      <c r="K95" s="794">
        <v>0</v>
      </c>
      <c r="L95" s="794">
        <v>0</v>
      </c>
      <c r="M95" s="794">
        <v>0</v>
      </c>
      <c r="N95" s="794">
        <v>0</v>
      </c>
      <c r="O95" s="794">
        <v>0</v>
      </c>
      <c r="P95" s="794">
        <v>0</v>
      </c>
      <c r="Q95" s="794">
        <v>0</v>
      </c>
      <c r="R95" s="794">
        <v>0</v>
      </c>
      <c r="S95" s="240">
        <f t="shared" si="2"/>
        <v>0</v>
      </c>
    </row>
    <row r="96" spans="2:19">
      <c r="B96" s="236" t="s">
        <v>406</v>
      </c>
      <c r="C96" s="789"/>
      <c r="D96" s="790"/>
      <c r="E96" s="783"/>
      <c r="F96" s="791"/>
      <c r="G96" s="785">
        <f>IFERROR(F96/(INDEX(Settings_Currency_Table[],MATCH(General_Currency_Selection,Settings_Currency,0),2)),0)</f>
        <v>0</v>
      </c>
      <c r="H96" s="790"/>
      <c r="I96" s="792"/>
      <c r="J96" s="793">
        <v>0</v>
      </c>
      <c r="K96" s="794">
        <v>0</v>
      </c>
      <c r="L96" s="794">
        <v>0</v>
      </c>
      <c r="M96" s="794">
        <v>0</v>
      </c>
      <c r="N96" s="794">
        <v>0</v>
      </c>
      <c r="O96" s="794">
        <v>0</v>
      </c>
      <c r="P96" s="794">
        <v>0</v>
      </c>
      <c r="Q96" s="794">
        <v>0</v>
      </c>
      <c r="R96" s="794">
        <v>0</v>
      </c>
      <c r="S96" s="240">
        <f t="shared" si="2"/>
        <v>0</v>
      </c>
    </row>
    <row r="97" spans="2:19">
      <c r="B97" s="239" t="s">
        <v>407</v>
      </c>
      <c r="C97" s="789"/>
      <c r="D97" s="790"/>
      <c r="E97" s="783"/>
      <c r="F97" s="791"/>
      <c r="G97" s="785">
        <f>IFERROR(F97/(INDEX(Settings_Currency_Table[],MATCH(General_Currency_Selection,Settings_Currency,0),2)),0)</f>
        <v>0</v>
      </c>
      <c r="H97" s="790"/>
      <c r="I97" s="792"/>
      <c r="J97" s="793">
        <v>0</v>
      </c>
      <c r="K97" s="794">
        <v>0</v>
      </c>
      <c r="L97" s="794">
        <v>0</v>
      </c>
      <c r="M97" s="794">
        <v>0</v>
      </c>
      <c r="N97" s="794">
        <v>0</v>
      </c>
      <c r="O97" s="794">
        <v>0</v>
      </c>
      <c r="P97" s="794">
        <v>0</v>
      </c>
      <c r="Q97" s="794">
        <v>0</v>
      </c>
      <c r="R97" s="794">
        <v>0</v>
      </c>
      <c r="S97" s="240">
        <f t="shared" si="2"/>
        <v>0</v>
      </c>
    </row>
    <row r="98" spans="2:19">
      <c r="B98" s="236" t="s">
        <v>408</v>
      </c>
      <c r="C98" s="789"/>
      <c r="D98" s="790"/>
      <c r="E98" s="783"/>
      <c r="F98" s="791"/>
      <c r="G98" s="785">
        <f>IFERROR(F98/(INDEX(Settings_Currency_Table[],MATCH(General_Currency_Selection,Settings_Currency,0),2)),0)</f>
        <v>0</v>
      </c>
      <c r="H98" s="790"/>
      <c r="I98" s="792"/>
      <c r="J98" s="793">
        <v>0</v>
      </c>
      <c r="K98" s="794">
        <v>0</v>
      </c>
      <c r="L98" s="794">
        <v>0</v>
      </c>
      <c r="M98" s="794">
        <v>0</v>
      </c>
      <c r="N98" s="794">
        <v>0</v>
      </c>
      <c r="O98" s="794">
        <v>0</v>
      </c>
      <c r="P98" s="794">
        <v>0</v>
      </c>
      <c r="Q98" s="794">
        <v>0</v>
      </c>
      <c r="R98" s="794">
        <v>0</v>
      </c>
      <c r="S98" s="240">
        <f t="shared" si="2"/>
        <v>0</v>
      </c>
    </row>
    <row r="99" spans="2:19">
      <c r="B99" s="239" t="s">
        <v>409</v>
      </c>
      <c r="C99" s="789"/>
      <c r="D99" s="790"/>
      <c r="E99" s="783"/>
      <c r="F99" s="791"/>
      <c r="G99" s="785">
        <f>IFERROR(F99/(INDEX(Settings_Currency_Table[],MATCH(General_Currency_Selection,Settings_Currency,0),2)),0)</f>
        <v>0</v>
      </c>
      <c r="H99" s="790"/>
      <c r="I99" s="792"/>
      <c r="J99" s="793">
        <v>0</v>
      </c>
      <c r="K99" s="794">
        <v>0</v>
      </c>
      <c r="L99" s="794">
        <v>0</v>
      </c>
      <c r="M99" s="794">
        <v>0</v>
      </c>
      <c r="N99" s="794">
        <v>0</v>
      </c>
      <c r="O99" s="794">
        <v>0</v>
      </c>
      <c r="P99" s="794">
        <v>0</v>
      </c>
      <c r="Q99" s="794">
        <v>0</v>
      </c>
      <c r="R99" s="794">
        <v>0</v>
      </c>
      <c r="S99" s="240">
        <f t="shared" si="2"/>
        <v>0</v>
      </c>
    </row>
    <row r="100" spans="2:19">
      <c r="B100" s="236" t="s">
        <v>410</v>
      </c>
      <c r="C100" s="789"/>
      <c r="D100" s="790"/>
      <c r="E100" s="783"/>
      <c r="F100" s="791"/>
      <c r="G100" s="785">
        <f>IFERROR(F100/(INDEX(Settings_Currency_Table[],MATCH(General_Currency_Selection,Settings_Currency,0),2)),0)</f>
        <v>0</v>
      </c>
      <c r="H100" s="790"/>
      <c r="I100" s="792"/>
      <c r="J100" s="793">
        <v>0</v>
      </c>
      <c r="K100" s="794">
        <v>0</v>
      </c>
      <c r="L100" s="794">
        <v>0</v>
      </c>
      <c r="M100" s="794">
        <v>0</v>
      </c>
      <c r="N100" s="794">
        <v>0</v>
      </c>
      <c r="O100" s="794">
        <v>0</v>
      </c>
      <c r="P100" s="794">
        <v>0</v>
      </c>
      <c r="Q100" s="794">
        <v>0</v>
      </c>
      <c r="R100" s="794">
        <v>0</v>
      </c>
      <c r="S100" s="240">
        <f t="shared" ref="S100:S103" si="3">SUM(J100:R100)</f>
        <v>0</v>
      </c>
    </row>
    <row r="101" spans="2:19">
      <c r="B101" s="239" t="s">
        <v>411</v>
      </c>
      <c r="C101" s="789"/>
      <c r="D101" s="790"/>
      <c r="E101" s="783"/>
      <c r="F101" s="791"/>
      <c r="G101" s="785">
        <f>IFERROR(F101/(INDEX(Settings_Currency_Table[],MATCH(General_Currency_Selection,Settings_Currency,0),2)),0)</f>
        <v>0</v>
      </c>
      <c r="H101" s="790"/>
      <c r="I101" s="792"/>
      <c r="J101" s="793">
        <v>0</v>
      </c>
      <c r="K101" s="794">
        <v>0</v>
      </c>
      <c r="L101" s="794">
        <v>0</v>
      </c>
      <c r="M101" s="794">
        <v>0</v>
      </c>
      <c r="N101" s="794">
        <v>0</v>
      </c>
      <c r="O101" s="794">
        <v>0</v>
      </c>
      <c r="P101" s="794">
        <v>0</v>
      </c>
      <c r="Q101" s="794">
        <v>0</v>
      </c>
      <c r="R101" s="794">
        <v>0</v>
      </c>
      <c r="S101" s="240">
        <f t="shared" si="3"/>
        <v>0</v>
      </c>
    </row>
    <row r="102" spans="2:19">
      <c r="B102" s="236" t="s">
        <v>412</v>
      </c>
      <c r="C102" s="789"/>
      <c r="D102" s="790"/>
      <c r="E102" s="783"/>
      <c r="F102" s="791"/>
      <c r="G102" s="785">
        <f>IFERROR(F102/(INDEX(Settings_Currency_Table[],MATCH(General_Currency_Selection,Settings_Currency,0),2)),0)</f>
        <v>0</v>
      </c>
      <c r="H102" s="790"/>
      <c r="I102" s="792"/>
      <c r="J102" s="793">
        <v>0</v>
      </c>
      <c r="K102" s="794">
        <v>0</v>
      </c>
      <c r="L102" s="794">
        <v>0</v>
      </c>
      <c r="M102" s="794">
        <v>0</v>
      </c>
      <c r="N102" s="794">
        <v>0</v>
      </c>
      <c r="O102" s="794">
        <v>0</v>
      </c>
      <c r="P102" s="794">
        <v>0</v>
      </c>
      <c r="Q102" s="794">
        <v>0</v>
      </c>
      <c r="R102" s="794">
        <v>0</v>
      </c>
      <c r="S102" s="240">
        <f t="shared" si="3"/>
        <v>0</v>
      </c>
    </row>
    <row r="103" spans="2:19" ht="15.75" thickBot="1">
      <c r="B103" s="242" t="s">
        <v>413</v>
      </c>
      <c r="C103" s="798"/>
      <c r="D103" s="799"/>
      <c r="E103" s="799"/>
      <c r="F103" s="800"/>
      <c r="G103" s="785">
        <f>IFERROR(F103/(INDEX(Settings_Currency_Table[],MATCH(General_Currency_Selection,Settings_Currency,0),2)),0)</f>
        <v>0</v>
      </c>
      <c r="H103" s="799"/>
      <c r="I103" s="801"/>
      <c r="J103" s="802">
        <v>0</v>
      </c>
      <c r="K103" s="803">
        <v>0</v>
      </c>
      <c r="L103" s="803">
        <v>0</v>
      </c>
      <c r="M103" s="803">
        <v>0</v>
      </c>
      <c r="N103" s="803">
        <v>0</v>
      </c>
      <c r="O103" s="803">
        <v>0</v>
      </c>
      <c r="P103" s="803">
        <v>0</v>
      </c>
      <c r="Q103" s="803">
        <v>0</v>
      </c>
      <c r="R103" s="803">
        <v>0</v>
      </c>
      <c r="S103" s="243">
        <f t="shared" si="3"/>
        <v>0</v>
      </c>
    </row>
    <row r="108" spans="2:19" ht="18.75">
      <c r="B108" s="65"/>
      <c r="C108" s="31"/>
      <c r="D108" s="31"/>
      <c r="E108" s="31"/>
      <c r="F108" s="31"/>
      <c r="G108" s="31"/>
      <c r="H108" s="31"/>
    </row>
    <row r="109" spans="2:19" ht="15.75">
      <c r="B109" s="254"/>
      <c r="C109" s="31"/>
      <c r="D109" s="31"/>
      <c r="E109" s="31"/>
      <c r="F109" s="31"/>
      <c r="G109" s="31"/>
      <c r="H109" s="31"/>
    </row>
    <row r="110" spans="2:19">
      <c r="B110" s="31"/>
      <c r="C110" s="31"/>
      <c r="D110" s="31"/>
      <c r="E110" s="31"/>
      <c r="F110" s="31"/>
      <c r="G110" s="31"/>
      <c r="H110" s="31"/>
    </row>
    <row r="111" spans="2:19">
      <c r="B111" s="255"/>
      <c r="C111" s="256"/>
      <c r="D111" s="31"/>
      <c r="E111" s="31"/>
      <c r="F111" s="31"/>
      <c r="G111" s="31"/>
      <c r="H111" s="31"/>
    </row>
    <row r="112" spans="2:19">
      <c r="B112" s="255"/>
      <c r="C112" s="256"/>
      <c r="D112" s="31"/>
      <c r="E112" s="31"/>
      <c r="F112" s="31"/>
      <c r="G112" s="31"/>
      <c r="H112" s="31"/>
    </row>
    <row r="113" spans="2:8">
      <c r="B113" s="255"/>
      <c r="C113" s="256"/>
      <c r="D113" s="31"/>
      <c r="E113" s="31"/>
      <c r="F113" s="31"/>
      <c r="G113" s="31"/>
      <c r="H113" s="31"/>
    </row>
    <row r="114" spans="2:8">
      <c r="B114" s="255"/>
      <c r="C114" s="256"/>
      <c r="D114" s="31"/>
      <c r="E114" s="31"/>
      <c r="F114" s="31"/>
      <c r="G114" s="31"/>
      <c r="H114" s="31"/>
    </row>
    <row r="115" spans="2:8">
      <c r="B115" s="255"/>
      <c r="C115" s="256"/>
      <c r="D115" s="31"/>
      <c r="E115" s="31"/>
      <c r="F115" s="31"/>
      <c r="G115" s="31"/>
      <c r="H115" s="31"/>
    </row>
    <row r="116" spans="2:8">
      <c r="B116" s="255"/>
      <c r="C116" s="256"/>
      <c r="D116" s="31"/>
      <c r="E116" s="31"/>
      <c r="F116" s="31"/>
      <c r="G116" s="31"/>
      <c r="H116" s="31"/>
    </row>
    <row r="117" spans="2:8" ht="15.75">
      <c r="B117" s="255"/>
      <c r="C117" s="256"/>
      <c r="D117" s="31"/>
      <c r="E117" s="257"/>
      <c r="F117" s="31"/>
      <c r="G117" s="31"/>
      <c r="H117" s="31"/>
    </row>
    <row r="118" spans="2:8" ht="15.75">
      <c r="B118" s="255"/>
      <c r="C118" s="256"/>
      <c r="D118" s="31"/>
      <c r="E118" s="257"/>
      <c r="F118" s="31"/>
      <c r="G118" s="31"/>
      <c r="H118" s="31"/>
    </row>
    <row r="119" spans="2:8" ht="15.75">
      <c r="B119" s="255"/>
      <c r="C119" s="256"/>
      <c r="D119" s="31"/>
      <c r="E119" s="257"/>
      <c r="F119" s="31"/>
      <c r="G119" s="31"/>
      <c r="H119" s="31"/>
    </row>
    <row r="120" spans="2:8" ht="15.75">
      <c r="B120" s="255"/>
      <c r="C120" s="256"/>
      <c r="D120" s="31"/>
      <c r="E120" s="257"/>
      <c r="F120" s="31"/>
      <c r="G120" s="31"/>
      <c r="H120" s="31"/>
    </row>
    <row r="121" spans="2:8">
      <c r="B121" s="255"/>
      <c r="C121" s="256"/>
      <c r="D121" s="31"/>
      <c r="E121" s="31"/>
      <c r="F121" s="31"/>
      <c r="G121" s="31"/>
      <c r="H121" s="31"/>
    </row>
    <row r="122" spans="2:8">
      <c r="B122" s="255"/>
      <c r="C122" s="256"/>
      <c r="D122" s="31"/>
      <c r="E122" s="31"/>
      <c r="F122" s="31"/>
      <c r="G122" s="31"/>
      <c r="H122" s="31"/>
    </row>
    <row r="123" spans="2:8">
      <c r="B123" s="255"/>
      <c r="C123" s="256"/>
      <c r="D123" s="31"/>
      <c r="E123" s="31"/>
      <c r="F123" s="31"/>
      <c r="G123" s="31"/>
      <c r="H123" s="31"/>
    </row>
    <row r="124" spans="2:8">
      <c r="B124" s="255"/>
      <c r="C124" s="256"/>
      <c r="D124" s="31"/>
      <c r="E124" s="31"/>
      <c r="F124" s="31"/>
      <c r="G124" s="31"/>
      <c r="H124" s="31"/>
    </row>
  </sheetData>
  <sheetProtection algorithmName="SHA-512" hashValue="enxRz2YaQ2RNEvwWHFmnfOjvubrSLWlOzdVDOHDvcTXZsnUCV5FC4IEqYfMmddN1N3YXATnBc6E+/MrkxzB+nA==" saltValue="XXCUfmA8YQJvMajDaoSvjA==" spinCount="100000" sheet="1" objects="1" scenarios="1"/>
  <conditionalFormatting sqref="G5:G103">
    <cfRule type="expression" dxfId="1021" priority="7">
      <formula>IF(INDIRECT("General_Currency_Selection")="CHF",TRUE)</formula>
    </cfRule>
    <cfRule type="expression" dxfId="1020" priority="8">
      <formula>IF(INDIRECT("General_Currency_Selection")="EUR",TRUE)</formula>
    </cfRule>
    <cfRule type="expression" dxfId="1019" priority="9">
      <formula>IF(INDIRECT("General_Currency_Selection")="USD",TRUE)</formula>
    </cfRule>
  </conditionalFormatting>
  <conditionalFormatting sqref="G4:G103">
    <cfRule type="expression" dxfId="1018" priority="1">
      <formula>IF(INDIRECT("General_Currency_Selection")="CHF",TRUE)</formula>
    </cfRule>
    <cfRule type="expression" dxfId="1017" priority="2">
      <formula>IF(INDIRECT("General_Currency_Selection")="EUR",TRUE)</formula>
    </cfRule>
    <cfRule type="expression" dxfId="1016" priority="3">
      <formula>IF(INDIRECT("General_Currency_Selection")="USD",TRUE)</formula>
    </cfRule>
  </conditionalFormatting>
  <dataValidations count="1">
    <dataValidation type="list" allowBlank="1" showInputMessage="1" showErrorMessage="1" sqref="E4:E103">
      <formula1>INDIRECT("General_Products")</formula1>
    </dataValidation>
  </dataValidations>
  <pageMargins left="0.7" right="0.7" top="0.75" bottom="0.75" header="0.3" footer="0.3"/>
  <pageSetup paperSize="9" orientation="landscape"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sheetPr>
  <dimension ref="B1:AV106"/>
  <sheetViews>
    <sheetView zoomScale="70" zoomScaleNormal="70" workbookViewId="0">
      <pane xSplit="3" ySplit="6" topLeftCell="D7" activePane="bottomRight" state="frozen"/>
      <selection activeCell="D142" sqref="D142"/>
      <selection pane="topRight" activeCell="D142" sqref="D142"/>
      <selection pane="bottomLeft" activeCell="D142" sqref="D142"/>
      <selection pane="bottomRight" activeCell="C9" sqref="C9"/>
    </sheetView>
  </sheetViews>
  <sheetFormatPr defaultColWidth="11.140625" defaultRowHeight="15"/>
  <cols>
    <col min="1" max="1" width="0.85546875" style="226" customWidth="1"/>
    <col min="2" max="2" width="11.42578125" style="226" customWidth="1"/>
    <col min="3" max="3" width="44.28515625" style="226" customWidth="1"/>
    <col min="4" max="4" width="10.140625" style="226" customWidth="1"/>
    <col min="5" max="5" width="10.5703125" style="226" customWidth="1"/>
    <col min="6" max="6" width="20.5703125" style="226" customWidth="1"/>
    <col min="7" max="7" width="11.42578125" style="226" customWidth="1"/>
    <col min="8" max="8" width="10.5703125" style="412" customWidth="1"/>
    <col min="9" max="9" width="7.5703125" style="226" bestFit="1" customWidth="1"/>
    <col min="10" max="10" width="5.7109375" style="226" customWidth="1"/>
    <col min="11" max="11" width="7.5703125" style="226" bestFit="1" customWidth="1"/>
    <col min="12" max="12" width="5.42578125" style="226" bestFit="1" customWidth="1"/>
    <col min="13" max="13" width="7.5703125" style="226" customWidth="1"/>
    <col min="14" max="14" width="4.28515625" style="226" bestFit="1" customWidth="1"/>
    <col min="15" max="15" width="9.85546875" style="226" customWidth="1"/>
    <col min="16" max="16" width="8" style="226" bestFit="1" customWidth="1"/>
    <col min="17" max="17" width="8.42578125" style="226" customWidth="1"/>
    <col min="18" max="18" width="11" style="226" customWidth="1"/>
    <col min="19" max="19" width="13.140625" style="226" customWidth="1"/>
    <col min="20" max="21" width="23.5703125" style="226" customWidth="1"/>
    <col min="22" max="22" width="9.85546875" style="226" customWidth="1"/>
    <col min="23" max="23" width="18.5703125" style="226" bestFit="1" customWidth="1"/>
    <col min="24" max="24" width="18.85546875" style="226" customWidth="1"/>
    <col min="25" max="25" width="24" style="226" customWidth="1"/>
    <col min="26" max="26" width="15.5703125" style="226" customWidth="1"/>
    <col min="27" max="35" width="10.5703125" style="226" customWidth="1"/>
    <col min="36" max="36" width="11.140625" style="226"/>
    <col min="37" max="37" width="40.28515625" style="31" customWidth="1"/>
    <col min="38" max="40" width="11.140625" style="31" customWidth="1"/>
    <col min="41" max="41" width="11.28515625" style="31" customWidth="1"/>
    <col min="42" max="42" width="12.28515625" style="31" customWidth="1"/>
    <col min="43" max="47" width="11.140625" style="31" customWidth="1"/>
    <col min="48" max="48" width="11.28515625" style="31" customWidth="1"/>
    <col min="49" max="16384" width="11.140625" style="226"/>
  </cols>
  <sheetData>
    <row r="1" spans="2:48" ht="21">
      <c r="B1" s="417" t="s">
        <v>903</v>
      </c>
      <c r="C1" s="415"/>
      <c r="D1" s="415"/>
      <c r="E1" s="415"/>
      <c r="F1" s="423"/>
      <c r="G1" s="423"/>
      <c r="H1" s="424"/>
      <c r="I1" s="423"/>
      <c r="J1" s="423"/>
      <c r="K1" s="423"/>
      <c r="L1" s="423"/>
      <c r="M1" s="423"/>
      <c r="N1" s="423"/>
      <c r="O1" s="423"/>
      <c r="P1" s="423"/>
      <c r="Q1" s="423"/>
      <c r="R1" s="423"/>
      <c r="S1" s="423"/>
      <c r="T1" s="423"/>
      <c r="U1" s="423"/>
      <c r="V1" s="423"/>
      <c r="W1" s="418"/>
      <c r="X1" s="419"/>
      <c r="Y1" s="425"/>
      <c r="Z1" s="415"/>
      <c r="AA1" s="417" t="s">
        <v>257</v>
      </c>
      <c r="AB1" s="415"/>
      <c r="AC1" s="415"/>
      <c r="AD1" s="415"/>
      <c r="AE1" s="415"/>
      <c r="AF1" s="415"/>
      <c r="AG1" s="415"/>
      <c r="AH1" s="415"/>
      <c r="AI1" s="415"/>
      <c r="AJ1" s="416"/>
    </row>
    <row r="2" spans="2:48" ht="17.100000000000001" customHeight="1">
      <c r="B2" s="411"/>
      <c r="C2" s="31"/>
      <c r="D2" s="31"/>
      <c r="E2" s="31"/>
      <c r="W2" s="27"/>
      <c r="X2" s="31"/>
      <c r="Y2" s="31"/>
      <c r="Z2" s="31"/>
      <c r="AA2" s="313"/>
      <c r="AB2" s="31"/>
      <c r="AC2" s="31"/>
      <c r="AD2" s="31"/>
      <c r="AE2" s="31"/>
      <c r="AF2" s="31"/>
      <c r="AG2" s="31"/>
      <c r="AH2" s="31"/>
      <c r="AI2" s="31"/>
      <c r="AJ2" s="413"/>
    </row>
    <row r="3" spans="2:48" ht="12" customHeight="1">
      <c r="B3" s="411"/>
      <c r="C3" s="31"/>
      <c r="D3" s="31"/>
      <c r="E3" s="31"/>
      <c r="F3" s="31"/>
      <c r="G3" s="31"/>
      <c r="H3" s="426"/>
      <c r="I3" s="31"/>
      <c r="J3" s="31"/>
      <c r="K3" s="31"/>
      <c r="L3" s="31"/>
      <c r="M3" s="27"/>
      <c r="N3" s="427"/>
      <c r="O3" s="427"/>
      <c r="P3" s="31"/>
      <c r="Q3" s="31"/>
      <c r="R3" s="31"/>
      <c r="S3" s="31"/>
      <c r="T3" s="31"/>
      <c r="U3" s="31"/>
      <c r="W3" s="27"/>
      <c r="X3" s="31"/>
      <c r="Y3" s="31"/>
      <c r="Z3" s="31"/>
      <c r="AA3" s="313"/>
      <c r="AB3" s="31"/>
      <c r="AC3" s="31"/>
      <c r="AD3" s="31"/>
      <c r="AE3" s="31"/>
      <c r="AF3" s="31"/>
      <c r="AG3" s="31"/>
      <c r="AH3" s="31"/>
      <c r="AI3" s="31"/>
      <c r="AJ3" s="413"/>
    </row>
    <row r="4" spans="2:48">
      <c r="B4" s="411"/>
      <c r="C4" s="31"/>
      <c r="D4" s="31"/>
      <c r="E4" s="31"/>
      <c r="F4" s="428"/>
      <c r="I4" s="874" t="s">
        <v>446</v>
      </c>
      <c r="J4" s="875"/>
      <c r="K4" s="875"/>
      <c r="L4" s="875"/>
      <c r="M4" s="875"/>
      <c r="N4" s="875"/>
      <c r="O4" s="875"/>
      <c r="P4" s="875"/>
      <c r="Q4" s="876"/>
      <c r="R4" s="429"/>
      <c r="S4" s="429"/>
      <c r="T4" s="31"/>
      <c r="U4" s="31"/>
      <c r="V4" s="31"/>
      <c r="W4" s="31"/>
      <c r="X4" s="31"/>
      <c r="Y4" s="31"/>
      <c r="Z4" s="31"/>
      <c r="AA4" s="430" t="s">
        <v>49</v>
      </c>
      <c r="AB4" s="31"/>
      <c r="AC4" s="31"/>
      <c r="AD4" s="31"/>
      <c r="AE4" s="31"/>
      <c r="AF4" s="31"/>
      <c r="AG4" s="31"/>
      <c r="AH4" s="31"/>
      <c r="AI4" s="31"/>
      <c r="AJ4" s="413"/>
    </row>
    <row r="5" spans="2:48" ht="16.5" thickBot="1">
      <c r="B5" s="228"/>
      <c r="C5" s="31"/>
      <c r="D5" s="31"/>
      <c r="E5" s="870" t="s">
        <v>1065</v>
      </c>
      <c r="F5" s="871"/>
      <c r="G5" s="431" t="s">
        <v>50</v>
      </c>
      <c r="H5" s="432"/>
      <c r="I5" s="433" t="str">
        <f>INDEX(Equipment_Utitliy_Specs_Units[],1,1)</f>
        <v>Run Time</v>
      </c>
      <c r="J5" s="434"/>
      <c r="K5" s="435" t="str">
        <f>INDEX(Equipment_Utitliy_Specs_Units[],2,1)</f>
        <v>Water</v>
      </c>
      <c r="L5" s="434"/>
      <c r="M5" s="435" t="str">
        <f>INDEX(Equipment_Utitliy_Specs_Units[],3,1)</f>
        <v>Electricity</v>
      </c>
      <c r="N5" s="433"/>
      <c r="O5" s="435" t="str">
        <f>INDEX(Equipment_Utitliy_Specs_Units[],4,1)</f>
        <v>Fuel</v>
      </c>
      <c r="P5" s="433"/>
      <c r="Q5" s="434"/>
      <c r="R5" s="434"/>
      <c r="S5" s="434"/>
      <c r="T5" s="436" t="s">
        <v>654</v>
      </c>
      <c r="U5" s="434"/>
      <c r="V5" s="869" t="s">
        <v>150</v>
      </c>
      <c r="W5" s="869"/>
      <c r="X5" s="869"/>
      <c r="Y5" s="437"/>
      <c r="Z5" s="241"/>
      <c r="AA5" s="872" t="s">
        <v>51</v>
      </c>
      <c r="AB5" s="873"/>
      <c r="AC5" s="873"/>
      <c r="AD5" s="873"/>
      <c r="AE5" s="873"/>
      <c r="AF5" s="873"/>
      <c r="AG5" s="873"/>
      <c r="AH5" s="873"/>
      <c r="AI5" s="873"/>
      <c r="AJ5" s="438"/>
      <c r="AK5" s="254"/>
      <c r="AN5" s="868"/>
      <c r="AO5" s="868"/>
      <c r="AP5" s="868"/>
      <c r="AQ5" s="868"/>
      <c r="AR5" s="868"/>
      <c r="AS5" s="868"/>
      <c r="AT5" s="868"/>
      <c r="AU5" s="868"/>
      <c r="AV5" s="868"/>
    </row>
    <row r="6" spans="2:48" ht="60.75" thickBot="1">
      <c r="B6" s="312" t="s">
        <v>236</v>
      </c>
      <c r="C6" s="439" t="s">
        <v>237</v>
      </c>
      <c r="D6" s="490" t="s">
        <v>443</v>
      </c>
      <c r="E6" s="440" t="s">
        <v>238</v>
      </c>
      <c r="F6" s="440" t="s">
        <v>78</v>
      </c>
      <c r="G6" s="441" t="s">
        <v>971</v>
      </c>
      <c r="H6" s="442" t="s">
        <v>972</v>
      </c>
      <c r="I6" s="443" t="s">
        <v>778</v>
      </c>
      <c r="J6" s="443" t="s">
        <v>78</v>
      </c>
      <c r="K6" s="444" t="s">
        <v>238</v>
      </c>
      <c r="L6" s="444" t="s">
        <v>78</v>
      </c>
      <c r="M6" s="444" t="s">
        <v>238</v>
      </c>
      <c r="N6" s="444" t="s">
        <v>78</v>
      </c>
      <c r="O6" s="444" t="s">
        <v>238</v>
      </c>
      <c r="P6" s="444" t="s">
        <v>78</v>
      </c>
      <c r="Q6" s="440" t="s">
        <v>521</v>
      </c>
      <c r="R6" s="440" t="s">
        <v>667</v>
      </c>
      <c r="S6" s="440" t="s">
        <v>666</v>
      </c>
      <c r="T6" s="440" t="s">
        <v>52</v>
      </c>
      <c r="U6" s="440" t="s">
        <v>730</v>
      </c>
      <c r="V6" s="445" t="s">
        <v>149</v>
      </c>
      <c r="W6" s="445" t="s">
        <v>742</v>
      </c>
      <c r="X6" s="445" t="s">
        <v>743</v>
      </c>
      <c r="Y6" s="446" t="s">
        <v>4</v>
      </c>
      <c r="Z6" s="447" t="s">
        <v>963</v>
      </c>
      <c r="AA6" s="448" t="str">
        <f>INDEX(Unit_codes,COLUMNS($AA6:AA$6))</f>
        <v>U-W</v>
      </c>
      <c r="AB6" s="449" t="str">
        <f>INDEX(Unit_codes,COLUMNS($AA6:AB$6))</f>
        <v>U-T</v>
      </c>
      <c r="AC6" s="449" t="str">
        <f>INDEX(Unit_codes,COLUMNS($AA6:AC$6))</f>
        <v>U-H</v>
      </c>
      <c r="AD6" s="449" t="str">
        <f>INDEX(Unit_codes,COLUMNS($AA6:AD$6))</f>
        <v>U-N-Egg</v>
      </c>
      <c r="AE6" s="449" t="str">
        <f>INDEX(Unit_codes,COLUMNS($AA6:AE$6))</f>
        <v>U-N-5DOL</v>
      </c>
      <c r="AF6" s="449" t="str">
        <f>INDEX(Unit_codes,COLUMNS($AA6:AF$6))</f>
        <v>U-N-17DOL</v>
      </c>
      <c r="AG6" s="449" t="str">
        <f>INDEX(Unit_codes,COLUMNS($AA6:AG$6))</f>
        <v>U-P</v>
      </c>
      <c r="AH6" s="449" t="str">
        <f>INDEX(Unit_codes,COLUMNS($AA6:AH$6))</f>
        <v>U-R</v>
      </c>
      <c r="AI6" s="449" t="str">
        <f>INDEX(Unit_codes,COLUMNS($AA6:AI$6))</f>
        <v>SG&amp;A</v>
      </c>
      <c r="AJ6" s="450" t="s">
        <v>185</v>
      </c>
    </row>
    <row r="7" spans="2:48">
      <c r="B7" s="451" t="s">
        <v>19</v>
      </c>
      <c r="C7" s="452" t="s">
        <v>713</v>
      </c>
      <c r="D7" s="453" t="s">
        <v>445</v>
      </c>
      <c r="E7" s="454"/>
      <c r="F7" s="453" t="s">
        <v>771</v>
      </c>
      <c r="G7" s="455">
        <f>'5.3-Unit SG&amp;A'!$D$43</f>
        <v>932.88833333333343</v>
      </c>
      <c r="H7" s="456">
        <f>G7</f>
        <v>932.88833333333343</v>
      </c>
      <c r="I7" s="457"/>
      <c r="J7" s="453" t="str">
        <f>IF($D7=INDEX(Yes_No_Choice[],1),INDEX(Equipment_Utitliy_Specs_Units[],MATCH($I$5,Equipment_Utility_Spec_List,0),2),"")</f>
        <v/>
      </c>
      <c r="K7" s="453"/>
      <c r="L7" s="453" t="str">
        <f>IF($D7=INDEX(Yes_No_Choice[],1),INDEX(Equipment_Utitliy_Specs_Units[],MATCH($K$5,Equipment_Utility_Spec_List,0),2),"")</f>
        <v/>
      </c>
      <c r="M7" s="453"/>
      <c r="N7" s="453" t="str">
        <f>IF($D7=INDEX(Yes_No_Choice[],1),INDEX(Equipment_Utitliy_Specs_Units[],MATCH($M$5,Equipment_Utility_Spec_List,0),2),"")</f>
        <v/>
      </c>
      <c r="O7" s="457"/>
      <c r="P7" s="453" t="str">
        <f>IF($D7=INDEX(Yes_No_Choice[],1),INDEX(Equipment_Utitliy_Specs_Units[],MATCH($O$5,Equipment_Utility_Spec_List,0),2),"")</f>
        <v/>
      </c>
      <c r="Q7" s="458"/>
      <c r="R7" s="453" t="s">
        <v>445</v>
      </c>
      <c r="S7" s="459"/>
      <c r="T7" s="460">
        <f>IF(General_Factory_Decision=INDEX(Factory_Renting_Buying[],2),'1.0-General input'!$E$101,0)</f>
        <v>0</v>
      </c>
      <c r="U7" s="461">
        <f>IFERROR(T7/(INDEX(Settings_Currency_Table[],MATCH(General_Currency_Selection,Settings_Currency,0),2)),0)</f>
        <v>0</v>
      </c>
      <c r="V7" s="823">
        <v>10</v>
      </c>
      <c r="W7" s="461">
        <f>U7*'1.0-General input'!$E$111</f>
        <v>0</v>
      </c>
      <c r="X7" s="461">
        <f>IFERROR(('2.2-Equipment input'!$U7-W7)/V7,)</f>
        <v>0</v>
      </c>
      <c r="Y7" s="462"/>
      <c r="Z7" s="463">
        <f>H7</f>
        <v>932.88833333333343</v>
      </c>
      <c r="AA7" s="464">
        <v>0</v>
      </c>
      <c r="AB7" s="465">
        <v>0</v>
      </c>
      <c r="AC7" s="465">
        <v>0</v>
      </c>
      <c r="AD7" s="465">
        <v>0</v>
      </c>
      <c r="AE7" s="465">
        <v>0</v>
      </c>
      <c r="AF7" s="465">
        <v>0</v>
      </c>
      <c r="AG7" s="465">
        <v>0</v>
      </c>
      <c r="AH7" s="465">
        <v>0</v>
      </c>
      <c r="AI7" s="465">
        <v>1</v>
      </c>
      <c r="AJ7" s="466">
        <f>SUM(AA7:AI7)</f>
        <v>1</v>
      </c>
    </row>
    <row r="8" spans="2:48">
      <c r="B8" s="467" t="s">
        <v>20</v>
      </c>
      <c r="C8" s="452" t="s">
        <v>772</v>
      </c>
      <c r="D8" s="453"/>
      <c r="E8" s="468"/>
      <c r="F8" s="453"/>
      <c r="G8" s="455"/>
      <c r="H8" s="469"/>
      <c r="I8" s="470"/>
      <c r="J8" s="453" t="str">
        <f>IF($D8=INDEX(Yes_No_Choice[],1),INDEX(Equipment_Utitliy_Specs_Units[],MATCH($I$5,Equipment_Utility_Spec_List,0),2),"")</f>
        <v/>
      </c>
      <c r="K8" s="453"/>
      <c r="L8" s="453" t="str">
        <f>IF($D8=INDEX(Yes_No_Choice[],1),INDEX(Equipment_Utitliy_Specs_Units[],MATCH($K$5,Equipment_Utility_Spec_List,0),2),"")</f>
        <v/>
      </c>
      <c r="M8" s="453"/>
      <c r="N8" s="453" t="str">
        <f>IF($D8=INDEX(Yes_No_Choice[],1),INDEX(Equipment_Utitliy_Specs_Units[],MATCH($M$5,Equipment_Utility_Spec_List,0),2),"")</f>
        <v/>
      </c>
      <c r="O8" s="470"/>
      <c r="P8" s="453" t="str">
        <f>IF($D8=INDEX(Yes_No_Choice[],1),INDEX(Equipment_Utitliy_Specs_Units[],MATCH($O$5,Equipment_Utility_Spec_List,0),2),"")</f>
        <v/>
      </c>
      <c r="Q8" s="458"/>
      <c r="R8" s="453"/>
      <c r="S8" s="459"/>
      <c r="T8" s="460"/>
      <c r="U8" s="461"/>
      <c r="V8" s="471"/>
      <c r="W8" s="461"/>
      <c r="X8" s="461"/>
      <c r="Y8" s="472"/>
      <c r="Z8" s="473"/>
      <c r="AA8" s="464"/>
      <c r="AB8" s="465"/>
      <c r="AC8" s="465"/>
      <c r="AD8" s="465"/>
      <c r="AE8" s="465"/>
      <c r="AF8" s="465"/>
      <c r="AG8" s="465"/>
      <c r="AH8" s="465"/>
      <c r="AI8" s="465"/>
      <c r="AJ8" s="466"/>
    </row>
    <row r="9" spans="2:48">
      <c r="B9" s="451" t="s">
        <v>21</v>
      </c>
      <c r="C9" s="804" t="s">
        <v>6</v>
      </c>
      <c r="D9" s="804" t="s">
        <v>445</v>
      </c>
      <c r="E9" s="805">
        <v>12</v>
      </c>
      <c r="F9" s="783" t="s">
        <v>239</v>
      </c>
      <c r="G9" s="456">
        <f>ROUNDUP(General_WasteInput/Staff_Days_Operation*1000/'2.2-Equipment input'!E9*General_MRT,0)</f>
        <v>5000</v>
      </c>
      <c r="H9" s="811"/>
      <c r="I9" s="475"/>
      <c r="J9" s="453" t="str">
        <f>IF($D9=INDEX(Yes_No_Choice[],1),INDEX(Equipment_Utitliy_Specs_Units[],MATCH($I$5,Equipment_Utility_Spec_List,0),2),"")</f>
        <v/>
      </c>
      <c r="K9" s="474"/>
      <c r="L9" s="453" t="str">
        <f>IF($D9=INDEX(Yes_No_Choice[],1),INDEX(Equipment_Utitliy_Specs_Units[],MATCH($K$5,Equipment_Utility_Spec_List,0),2),"")</f>
        <v/>
      </c>
      <c r="M9" s="474"/>
      <c r="N9" s="453" t="str">
        <f>IF($D9=INDEX(Yes_No_Choice[],1),INDEX(Equipment_Utitliy_Specs_Units[],MATCH($M$5,Equipment_Utility_Spec_List,0),2),"")</f>
        <v/>
      </c>
      <c r="O9" s="475"/>
      <c r="P9" s="453" t="str">
        <f>IF($D9=INDEX(Yes_No_Choice[],1),INDEX(Equipment_Utitliy_Specs_Units[],MATCH($O$5,Equipment_Utility_Spec_List,0),2),"")</f>
        <v/>
      </c>
      <c r="Q9" s="237"/>
      <c r="R9" s="474" t="s">
        <v>445</v>
      </c>
      <c r="S9" s="476">
        <f>0.6*0.4</f>
        <v>0.24</v>
      </c>
      <c r="T9" s="360">
        <v>4.8999999999999995</v>
      </c>
      <c r="U9" s="461">
        <f>IFERROR(T9/(INDEX(Settings_Currency_Table[],MATCH(General_Currency_Selection,Settings_Currency,0),2)),0)</f>
        <v>4.8999999999999995</v>
      </c>
      <c r="V9" s="821">
        <v>5</v>
      </c>
      <c r="W9" s="461">
        <f>U9*'1.0-General input'!$E$111</f>
        <v>0</v>
      </c>
      <c r="X9" s="461">
        <f>IFERROR(('2.2-Equipment input'!$U9-W9)/V9,)</f>
        <v>0.97999999999999987</v>
      </c>
      <c r="Y9" s="824"/>
      <c r="Z9" s="473">
        <f>IF(General_EquipmentQuant_Auto="Yes",'2.2-Equipment input'!G9,'2.2-Equipment input'!H9)</f>
        <v>5000</v>
      </c>
      <c r="AA9" s="826">
        <v>0</v>
      </c>
      <c r="AB9" s="827">
        <v>0.5</v>
      </c>
      <c r="AC9" s="827">
        <v>0.5</v>
      </c>
      <c r="AD9" s="827">
        <v>0</v>
      </c>
      <c r="AE9" s="827">
        <v>0</v>
      </c>
      <c r="AF9" s="827">
        <v>0</v>
      </c>
      <c r="AG9" s="827">
        <v>0</v>
      </c>
      <c r="AH9" s="827">
        <v>0</v>
      </c>
      <c r="AI9" s="827">
        <v>0</v>
      </c>
      <c r="AJ9" s="466">
        <f t="shared" ref="AJ9:AJ40" si="0">SUM(AA9:AI9)</f>
        <v>1</v>
      </c>
      <c r="AK9" s="501"/>
    </row>
    <row r="10" spans="2:48">
      <c r="B10" s="467" t="s">
        <v>22</v>
      </c>
      <c r="C10" s="804" t="s">
        <v>7</v>
      </c>
      <c r="D10" s="804" t="s">
        <v>445</v>
      </c>
      <c r="E10" s="806">
        <v>42</v>
      </c>
      <c r="F10" s="804" t="s">
        <v>240</v>
      </c>
      <c r="G10" s="455">
        <f>ROUNDUP(G9/E10,0)</f>
        <v>120</v>
      </c>
      <c r="H10" s="811"/>
      <c r="I10" s="475"/>
      <c r="J10" s="453" t="str">
        <f>IF($D10=INDEX(Yes_No_Choice[],1),INDEX(Equipment_Utitliy_Specs_Units[],MATCH($I$5,Equipment_Utility_Spec_List,0),2),"")</f>
        <v/>
      </c>
      <c r="K10" s="474"/>
      <c r="L10" s="453" t="str">
        <f>IF($D10=INDEX(Yes_No_Choice[],1),INDEX(Equipment_Utitliy_Specs_Units[],MATCH($K$5,Equipment_Utility_Spec_List,0),2),"")</f>
        <v/>
      </c>
      <c r="M10" s="474"/>
      <c r="N10" s="453" t="str">
        <f>IF($D10=INDEX(Yes_No_Choice[],1),INDEX(Equipment_Utitliy_Specs_Units[],MATCH($M$5,Equipment_Utility_Spec_List,0),2),"")</f>
        <v/>
      </c>
      <c r="O10" s="475"/>
      <c r="P10" s="453" t="str">
        <f>IF($D10=INDEX(Yes_No_Choice[],1),INDEX(Equipment_Utitliy_Specs_Units[],MATCH($O$5,Equipment_Utility_Spec_List,0),2),"")</f>
        <v/>
      </c>
      <c r="Q10" s="237"/>
      <c r="R10" s="474" t="s">
        <v>444</v>
      </c>
      <c r="S10" s="476">
        <f>1.22*1.29</f>
        <v>1.5738000000000001</v>
      </c>
      <c r="T10" s="477">
        <v>10.499999999999998</v>
      </c>
      <c r="U10" s="461">
        <f>IFERROR(T10/(INDEX(Settings_Currency_Table[],MATCH(General_Currency_Selection,Settings_Currency,0),2)),0)</f>
        <v>10.499999999999998</v>
      </c>
      <c r="V10" s="822">
        <v>5</v>
      </c>
      <c r="W10" s="461">
        <f>U10*'1.0-General input'!$E$111</f>
        <v>0</v>
      </c>
      <c r="X10" s="461">
        <f>IFERROR(('2.2-Equipment input'!$U10-W10)/V10,)</f>
        <v>2.0999999999999996</v>
      </c>
      <c r="Y10" s="824"/>
      <c r="Z10" s="473">
        <f>IF(General_EquipmentQuant_Auto="Yes",'2.2-Equipment input'!G10,'2.2-Equipment input'!H10)</f>
        <v>120</v>
      </c>
      <c r="AA10" s="826">
        <v>0.1</v>
      </c>
      <c r="AB10" s="827">
        <v>0.4</v>
      </c>
      <c r="AC10" s="827">
        <v>0.4</v>
      </c>
      <c r="AD10" s="827">
        <v>0</v>
      </c>
      <c r="AE10" s="827">
        <v>0</v>
      </c>
      <c r="AF10" s="827">
        <v>0</v>
      </c>
      <c r="AG10" s="827">
        <v>0.1</v>
      </c>
      <c r="AH10" s="827">
        <v>0</v>
      </c>
      <c r="AI10" s="827">
        <v>0</v>
      </c>
      <c r="AJ10" s="466">
        <f t="shared" si="0"/>
        <v>1</v>
      </c>
      <c r="AK10" s="501"/>
    </row>
    <row r="11" spans="2:48">
      <c r="B11" s="451" t="s">
        <v>23</v>
      </c>
      <c r="C11" s="804" t="s">
        <v>8</v>
      </c>
      <c r="D11" s="804" t="s">
        <v>445</v>
      </c>
      <c r="E11" s="806">
        <v>6</v>
      </c>
      <c r="F11" s="804" t="s">
        <v>241</v>
      </c>
      <c r="G11" s="455">
        <f>ROUNDUP(E11*G10,0)</f>
        <v>720</v>
      </c>
      <c r="H11" s="811"/>
      <c r="I11" s="475"/>
      <c r="J11" s="453" t="str">
        <f>IF($D11=INDEX(Yes_No_Choice[],1),INDEX(Equipment_Utitliy_Specs_Units[],MATCH($I$5,Equipment_Utility_Spec_List,0),2),"")</f>
        <v/>
      </c>
      <c r="K11" s="474"/>
      <c r="L11" s="453" t="str">
        <f>IF($D11=INDEX(Yes_No_Choice[],1),INDEX(Equipment_Utitliy_Specs_Units[],MATCH($K$5,Equipment_Utility_Spec_List,0),2),"")</f>
        <v/>
      </c>
      <c r="M11" s="474"/>
      <c r="N11" s="453" t="str">
        <f>IF($D11=INDEX(Yes_No_Choice[],1),INDEX(Equipment_Utitliy_Specs_Units[],MATCH($M$5,Equipment_Utility_Spec_List,0),2),"")</f>
        <v/>
      </c>
      <c r="O11" s="475"/>
      <c r="P11" s="453" t="str">
        <f>IF($D11=INDEX(Yes_No_Choice[],1),INDEX(Equipment_Utitliy_Specs_Units[],MATCH($O$5,Equipment_Utility_Spec_List,0),2),"")</f>
        <v/>
      </c>
      <c r="Q11" s="237"/>
      <c r="R11" s="474" t="s">
        <v>445</v>
      </c>
      <c r="S11" s="476">
        <f>1.22*1.29</f>
        <v>1.5738000000000001</v>
      </c>
      <c r="T11" s="477">
        <v>17.5</v>
      </c>
      <c r="U11" s="461">
        <f>IFERROR(T11/(INDEX(Settings_Currency_Table[],MATCH(General_Currency_Selection,Settings_Currency,0),2)),0)</f>
        <v>17.5</v>
      </c>
      <c r="V11" s="822">
        <v>5</v>
      </c>
      <c r="W11" s="461">
        <f>U11*'1.0-General input'!$E$111</f>
        <v>0</v>
      </c>
      <c r="X11" s="461">
        <f>IFERROR(('2.2-Equipment input'!$U11-W11)/V11,)</f>
        <v>3.5</v>
      </c>
      <c r="Y11" s="824"/>
      <c r="Z11" s="473">
        <f>IF(General_EquipmentQuant_Auto="Yes",'2.2-Equipment input'!G11,'2.2-Equipment input'!H11)</f>
        <v>720</v>
      </c>
      <c r="AA11" s="826">
        <v>0</v>
      </c>
      <c r="AB11" s="827">
        <v>0.5</v>
      </c>
      <c r="AC11" s="827">
        <v>0.5</v>
      </c>
      <c r="AD11" s="827">
        <v>0</v>
      </c>
      <c r="AE11" s="827">
        <v>0</v>
      </c>
      <c r="AF11" s="827">
        <v>0</v>
      </c>
      <c r="AG11" s="827">
        <v>0</v>
      </c>
      <c r="AH11" s="827">
        <v>0</v>
      </c>
      <c r="AI11" s="827">
        <v>0</v>
      </c>
      <c r="AJ11" s="466">
        <f t="shared" si="0"/>
        <v>1</v>
      </c>
      <c r="AK11" s="501"/>
    </row>
    <row r="12" spans="2:48">
      <c r="B12" s="467" t="s">
        <v>24</v>
      </c>
      <c r="C12" s="804" t="s">
        <v>9</v>
      </c>
      <c r="D12" s="804" t="s">
        <v>445</v>
      </c>
      <c r="E12" s="806">
        <v>2520</v>
      </c>
      <c r="F12" s="804" t="s">
        <v>242</v>
      </c>
      <c r="G12" s="455">
        <f>ROUNDUP('1.0-General input'!$E$15/'1.0-General input'!$E$124*1000/'2.2-Equipment input'!E12,0)</f>
        <v>2</v>
      </c>
      <c r="H12" s="811"/>
      <c r="I12" s="475"/>
      <c r="J12" s="453" t="str">
        <f>IF($D12=INDEX(Yes_No_Choice[],1),INDEX(Equipment_Utitliy_Specs_Units[],MATCH($I$5,Equipment_Utility_Spec_List,0),2),"")</f>
        <v/>
      </c>
      <c r="K12" s="474"/>
      <c r="L12" s="453" t="str">
        <f>IF($D12=INDEX(Yes_No_Choice[],1),INDEX(Equipment_Utitliy_Specs_Units[],MATCH($K$5,Equipment_Utility_Spec_List,0),2),"")</f>
        <v/>
      </c>
      <c r="M12" s="474"/>
      <c r="N12" s="453" t="str">
        <f>IF($D12=INDEX(Yes_No_Choice[],1),INDEX(Equipment_Utitliy_Specs_Units[],MATCH($M$5,Equipment_Utility_Spec_List,0),2),"")</f>
        <v/>
      </c>
      <c r="O12" s="475"/>
      <c r="P12" s="453" t="str">
        <f>IF($D12=INDEX(Yes_No_Choice[],1),INDEX(Equipment_Utitliy_Specs_Units[],MATCH($O$5,Equipment_Utility_Spec_List,0),2),"")</f>
        <v/>
      </c>
      <c r="Q12" s="237"/>
      <c r="R12" s="474" t="s">
        <v>445</v>
      </c>
      <c r="S12" s="476">
        <f>1*2</f>
        <v>2</v>
      </c>
      <c r="T12" s="477">
        <v>209.99999999999997</v>
      </c>
      <c r="U12" s="461">
        <f>IFERROR(T12/(INDEX(Settings_Currency_Table[],MATCH(General_Currency_Selection,Settings_Currency,0),2)),0)</f>
        <v>209.99999999999997</v>
      </c>
      <c r="V12" s="822">
        <v>5</v>
      </c>
      <c r="W12" s="461">
        <f>U12*'1.0-General input'!$E$111</f>
        <v>0</v>
      </c>
      <c r="X12" s="461">
        <f>IFERROR(('2.2-Equipment input'!$U12-W12)/V12,)</f>
        <v>41.999999999999993</v>
      </c>
      <c r="Y12" s="824" t="s">
        <v>172</v>
      </c>
      <c r="Z12" s="473">
        <f>IF(General_EquipmentQuant_Auto="Yes",'2.2-Equipment input'!G12,'2.2-Equipment input'!H12)</f>
        <v>2</v>
      </c>
      <c r="AA12" s="826">
        <v>0.1</v>
      </c>
      <c r="AB12" s="827">
        <v>0.4</v>
      </c>
      <c r="AC12" s="827">
        <v>0.4</v>
      </c>
      <c r="AD12" s="827">
        <v>0</v>
      </c>
      <c r="AE12" s="827">
        <v>0</v>
      </c>
      <c r="AF12" s="827">
        <v>0</v>
      </c>
      <c r="AG12" s="827">
        <v>0.1</v>
      </c>
      <c r="AH12" s="827">
        <v>0</v>
      </c>
      <c r="AI12" s="827">
        <v>0</v>
      </c>
      <c r="AJ12" s="466">
        <f t="shared" si="0"/>
        <v>1</v>
      </c>
      <c r="AK12" s="501"/>
    </row>
    <row r="13" spans="2:48">
      <c r="B13" s="451" t="s">
        <v>25</v>
      </c>
      <c r="C13" s="804" t="s">
        <v>10</v>
      </c>
      <c r="D13" s="804" t="s">
        <v>444</v>
      </c>
      <c r="E13" s="806">
        <v>8000</v>
      </c>
      <c r="F13" s="804" t="s">
        <v>243</v>
      </c>
      <c r="G13" s="455">
        <f>ROUNDUP('1.0-General input'!$E$15/'1.0-General input'!$E$124*1000/'2.2-Equipment input'!E13,0)</f>
        <v>1</v>
      </c>
      <c r="H13" s="811"/>
      <c r="I13" s="478">
        <f>IFERROR('1.0-General input'!$E$15/Staff_Days_Operation*1000/(E13/8*G13),0)</f>
        <v>5</v>
      </c>
      <c r="J13" s="453" t="str">
        <f>IF($D13=INDEX(Yes_No_Choice[],1),INDEX(Equipment_Utitliy_Specs_Units[],MATCH($I$5,Equipment_Utility_Spec_List,0),2),"")</f>
        <v>h</v>
      </c>
      <c r="K13" s="474"/>
      <c r="L13" s="453" t="str">
        <f>IF($D13=INDEX(Yes_No_Choice[],1),INDEX(Equipment_Utitliy_Specs_Units[],MATCH($K$5,Equipment_Utility_Spec_List,0),2),"")</f>
        <v>m3/h</v>
      </c>
      <c r="M13" s="474"/>
      <c r="N13" s="453" t="str">
        <f>IF($D13=INDEX(Yes_No_Choice[],1),INDEX(Equipment_Utitliy_Specs_Units[],MATCH($M$5,Equipment_Utility_Spec_List,0),2),"")</f>
        <v>kW</v>
      </c>
      <c r="O13" s="475">
        <v>1.2</v>
      </c>
      <c r="P13" s="453" t="str">
        <f>IF($D13=INDEX(Yes_No_Choice[],1),INDEX(Equipment_Utitliy_Specs_Units[],MATCH($O$5,Equipment_Utility_Spec_List,0),2),"")</f>
        <v>kg/h</v>
      </c>
      <c r="Q13" s="237" t="s">
        <v>107</v>
      </c>
      <c r="R13" s="474" t="s">
        <v>444</v>
      </c>
      <c r="S13" s="476">
        <f>2*2</f>
        <v>4</v>
      </c>
      <c r="T13" s="477">
        <v>1749.9999999999998</v>
      </c>
      <c r="U13" s="461">
        <f>IFERROR(T13/(INDEX(Settings_Currency_Table[],MATCH(General_Currency_Selection,Settings_Currency,0),2)),0)</f>
        <v>1749.9999999999998</v>
      </c>
      <c r="V13" s="822">
        <v>5</v>
      </c>
      <c r="W13" s="461">
        <f>U13*'1.0-General input'!$E$111</f>
        <v>0</v>
      </c>
      <c r="X13" s="461">
        <f>IFERROR(('2.2-Equipment input'!$U13-W13)/V13,)</f>
        <v>349.99999999999994</v>
      </c>
      <c r="Y13" s="824"/>
      <c r="Z13" s="473">
        <f>IF(General_EquipmentQuant_Auto="Yes",'2.2-Equipment input'!G13,'2.2-Equipment input'!H13)</f>
        <v>1</v>
      </c>
      <c r="AA13" s="826">
        <v>1</v>
      </c>
      <c r="AB13" s="827">
        <v>0</v>
      </c>
      <c r="AC13" s="827">
        <v>0</v>
      </c>
      <c r="AD13" s="827">
        <v>0</v>
      </c>
      <c r="AE13" s="827">
        <v>0</v>
      </c>
      <c r="AF13" s="827">
        <v>0</v>
      </c>
      <c r="AG13" s="827">
        <v>0</v>
      </c>
      <c r="AH13" s="827">
        <v>0</v>
      </c>
      <c r="AI13" s="827">
        <v>0</v>
      </c>
      <c r="AJ13" s="466">
        <f t="shared" si="0"/>
        <v>1</v>
      </c>
      <c r="AK13" s="501"/>
    </row>
    <row r="14" spans="2:48">
      <c r="B14" s="467" t="s">
        <v>26</v>
      </c>
      <c r="C14" s="804" t="s">
        <v>11</v>
      </c>
      <c r="D14" s="804" t="s">
        <v>444</v>
      </c>
      <c r="E14" s="804">
        <v>2520</v>
      </c>
      <c r="F14" s="804" t="s">
        <v>664</v>
      </c>
      <c r="G14" s="455">
        <f>ROUNDUP('1.0-General input'!$E$15*1000/Staff_Days_Operation/E14,0)</f>
        <v>2</v>
      </c>
      <c r="H14" s="811"/>
      <c r="I14" s="478">
        <f>IFERROR('1.0-General input'!$E$15/Staff_Days_Operation*1000/(E14/8*G14),0)</f>
        <v>7.9365079365079367</v>
      </c>
      <c r="J14" s="453" t="str">
        <f>IF($D14=INDEX(Yes_No_Choice[],1),INDEX(Equipment_Utitliy_Specs_Units[],MATCH($I$5,Equipment_Utility_Spec_List,0),2),"")</f>
        <v>h</v>
      </c>
      <c r="K14" s="474">
        <v>0.42899999999999999</v>
      </c>
      <c r="L14" s="453" t="str">
        <f>IF($D14=INDEX(Yes_No_Choice[],1),INDEX(Equipment_Utitliy_Specs_Units[],MATCH($K$5,Equipment_Utility_Spec_List,0),2),"")</f>
        <v>m3/h</v>
      </c>
      <c r="M14" s="474">
        <v>2</v>
      </c>
      <c r="N14" s="453" t="str">
        <f>IF($D14=INDEX(Yes_No_Choice[],1),INDEX(Equipment_Utitliy_Specs_Units[],MATCH($M$5,Equipment_Utility_Spec_List,0),2),"")</f>
        <v>kW</v>
      </c>
      <c r="O14" s="475"/>
      <c r="P14" s="453" t="str">
        <f>IF($D14=INDEX(Yes_No_Choice[],1),INDEX(Equipment_Utitliy_Specs_Units[],MATCH($O$5,Equipment_Utility_Spec_List,0),2),"")</f>
        <v>kg/h</v>
      </c>
      <c r="Q14" s="237"/>
      <c r="R14" s="474" t="s">
        <v>444</v>
      </c>
      <c r="S14" s="476">
        <f>0.5*0.5</f>
        <v>0.25</v>
      </c>
      <c r="T14" s="477">
        <v>630</v>
      </c>
      <c r="U14" s="461">
        <f>IFERROR(T14/(INDEX(Settings_Currency_Table[],MATCH(General_Currency_Selection,Settings_Currency,0),2)),0)</f>
        <v>630</v>
      </c>
      <c r="V14" s="804">
        <v>3</v>
      </c>
      <c r="W14" s="461">
        <f>U14*'1.0-General input'!$E$111</f>
        <v>0</v>
      </c>
      <c r="X14" s="461">
        <f>IFERROR(('2.2-Equipment input'!$U14-W14)/V14,)</f>
        <v>210</v>
      </c>
      <c r="Y14" s="824"/>
      <c r="Z14" s="473">
        <f>IF(General_EquipmentQuant_Auto="Yes",'2.2-Equipment input'!G14,'2.2-Equipment input'!H14)</f>
        <v>2</v>
      </c>
      <c r="AA14" s="826">
        <v>0.25</v>
      </c>
      <c r="AB14" s="827">
        <v>0.25</v>
      </c>
      <c r="AC14" s="827">
        <v>0.25</v>
      </c>
      <c r="AD14" s="827">
        <v>0.08</v>
      </c>
      <c r="AE14" s="827">
        <v>0.05</v>
      </c>
      <c r="AF14" s="827">
        <v>0</v>
      </c>
      <c r="AG14" s="827">
        <v>0.12</v>
      </c>
      <c r="AH14" s="827">
        <v>0</v>
      </c>
      <c r="AI14" s="827">
        <v>0</v>
      </c>
      <c r="AJ14" s="466">
        <f t="shared" si="0"/>
        <v>1</v>
      </c>
      <c r="AK14" s="501"/>
    </row>
    <row r="15" spans="2:48">
      <c r="B15" s="451" t="s">
        <v>27</v>
      </c>
      <c r="C15" s="804" t="s">
        <v>671</v>
      </c>
      <c r="D15" s="804" t="s">
        <v>444</v>
      </c>
      <c r="E15" s="806">
        <v>3150</v>
      </c>
      <c r="F15" s="804" t="s">
        <v>663</v>
      </c>
      <c r="G15" s="455">
        <f>ROUNDUP(General_Residue_TotalProd*1000/Staff_Days_Operation/E15,0)</f>
        <v>1</v>
      </c>
      <c r="H15" s="811"/>
      <c r="I15" s="478">
        <f>IFERROR('1.0-General input'!$D$61/Staff_Days_Operation*1000/(E15/8*G15),0)</f>
        <v>7.0933333333333319</v>
      </c>
      <c r="J15" s="453" t="str">
        <f>IF($D15=INDEX(Yes_No_Choice[],1),INDEX(Equipment_Utitliy_Specs_Units[],MATCH($I$5,Equipment_Utility_Spec_List,0),2),"")</f>
        <v>h</v>
      </c>
      <c r="K15" s="474"/>
      <c r="L15" s="453" t="str">
        <f>IF($D15=INDEX(Yes_No_Choice[],1),INDEX(Equipment_Utitliy_Specs_Units[],MATCH($K$5,Equipment_Utility_Spec_List,0),2),"")</f>
        <v>m3/h</v>
      </c>
      <c r="M15" s="474">
        <v>0.74570000000000003</v>
      </c>
      <c r="N15" s="453" t="str">
        <f>IF($D15=INDEX(Yes_No_Choice[],1),INDEX(Equipment_Utitliy_Specs_Units[],MATCH($M$5,Equipment_Utility_Spec_List,0),2),"")</f>
        <v>kW</v>
      </c>
      <c r="O15" s="475"/>
      <c r="P15" s="453" t="str">
        <f>IF($D15=INDEX(Yes_No_Choice[],1),INDEX(Equipment_Utitliy_Specs_Units[],MATCH($O$5,Equipment_Utility_Spec_List,0),2),"")</f>
        <v>kg/h</v>
      </c>
      <c r="Q15" s="237"/>
      <c r="R15" s="474" t="s">
        <v>444</v>
      </c>
      <c r="S15" s="476">
        <f>2*2</f>
        <v>4</v>
      </c>
      <c r="T15" s="477">
        <v>1749.9999999999998</v>
      </c>
      <c r="U15" s="461">
        <f>IFERROR(T15/(INDEX(Settings_Currency_Table[],MATCH(General_Currency_Selection,Settings_Currency,0),2)),0)</f>
        <v>1749.9999999999998</v>
      </c>
      <c r="V15" s="804">
        <v>5</v>
      </c>
      <c r="W15" s="461">
        <f>U15*'1.0-General input'!$E$111</f>
        <v>0</v>
      </c>
      <c r="X15" s="461">
        <f>IFERROR(('2.2-Equipment input'!$U15-W15)/V15,)</f>
        <v>349.99999999999994</v>
      </c>
      <c r="Y15" s="824"/>
      <c r="Z15" s="473">
        <f>IF(General_EquipmentQuant_Auto="Yes",'2.2-Equipment input'!G15,'2.2-Equipment input'!H15)</f>
        <v>1</v>
      </c>
      <c r="AA15" s="826">
        <v>0</v>
      </c>
      <c r="AB15" s="827">
        <v>0</v>
      </c>
      <c r="AC15" s="827">
        <v>1</v>
      </c>
      <c r="AD15" s="827">
        <v>0</v>
      </c>
      <c r="AE15" s="827">
        <v>0</v>
      </c>
      <c r="AF15" s="827">
        <v>0</v>
      </c>
      <c r="AG15" s="827">
        <v>0</v>
      </c>
      <c r="AH15" s="827">
        <v>0</v>
      </c>
      <c r="AI15" s="827">
        <v>0</v>
      </c>
      <c r="AJ15" s="466">
        <f t="shared" si="0"/>
        <v>1</v>
      </c>
      <c r="AK15" s="501"/>
    </row>
    <row r="16" spans="2:48">
      <c r="B16" s="467" t="s">
        <v>28</v>
      </c>
      <c r="C16" s="804" t="s">
        <v>151</v>
      </c>
      <c r="D16" s="804" t="s">
        <v>445</v>
      </c>
      <c r="E16" s="806">
        <v>84</v>
      </c>
      <c r="F16" s="804" t="s">
        <v>672</v>
      </c>
      <c r="G16" s="455">
        <f>ROUNDUP(G9/General_MRT/E16,0)</f>
        <v>5</v>
      </c>
      <c r="H16" s="811"/>
      <c r="I16" s="475"/>
      <c r="J16" s="453" t="str">
        <f>IF($D16=INDEX(Yes_No_Choice[],1),INDEX(Equipment_Utitliy_Specs_Units[],MATCH($I$5,Equipment_Utility_Spec_List,0),2),"")</f>
        <v/>
      </c>
      <c r="K16" s="474"/>
      <c r="L16" s="453" t="str">
        <f>IF($D16=INDEX(Yes_No_Choice[],1),INDEX(Equipment_Utitliy_Specs_Units[],MATCH($K$5,Equipment_Utility_Spec_List,0),2),"")</f>
        <v/>
      </c>
      <c r="M16" s="474"/>
      <c r="N16" s="453" t="str">
        <f>IF($D16=INDEX(Yes_No_Choice[],1),INDEX(Equipment_Utitliy_Specs_Units[],MATCH($M$5,Equipment_Utility_Spec_List,0),2),"")</f>
        <v/>
      </c>
      <c r="O16" s="475"/>
      <c r="P16" s="453" t="str">
        <f>IF($D16=INDEX(Yes_No_Choice[],1),INDEX(Equipment_Utitliy_Specs_Units[],MATCH($O$5,Equipment_Utility_Spec_List,0),2),"")</f>
        <v/>
      </c>
      <c r="Q16" s="237"/>
      <c r="R16" s="474" t="s">
        <v>445</v>
      </c>
      <c r="S16" s="476"/>
      <c r="T16" s="477">
        <v>1004.4999999999999</v>
      </c>
      <c r="U16" s="461">
        <f>IFERROR(T16/(INDEX(Settings_Currency_Table[],MATCH(General_Currency_Selection,Settings_Currency,0),2)),0)</f>
        <v>1004.4999999999999</v>
      </c>
      <c r="V16" s="804">
        <v>5</v>
      </c>
      <c r="W16" s="461">
        <f>U16*'1.0-General input'!$E$111</f>
        <v>0</v>
      </c>
      <c r="X16" s="461">
        <f>IFERROR(('2.2-Equipment input'!$U16-W16)/V16,)</f>
        <v>200.89999999999998</v>
      </c>
      <c r="Y16" s="824"/>
      <c r="Z16" s="473">
        <f>IF(General_EquipmentQuant_Auto="Yes",'2.2-Equipment input'!G16,'2.2-Equipment input'!H16)</f>
        <v>5</v>
      </c>
      <c r="AA16" s="826">
        <v>0</v>
      </c>
      <c r="AB16" s="827">
        <v>0</v>
      </c>
      <c r="AC16" s="827">
        <v>1</v>
      </c>
      <c r="AD16" s="827">
        <v>0</v>
      </c>
      <c r="AE16" s="827">
        <v>0</v>
      </c>
      <c r="AF16" s="827">
        <v>0</v>
      </c>
      <c r="AG16" s="827">
        <v>0</v>
      </c>
      <c r="AH16" s="827">
        <v>0</v>
      </c>
      <c r="AI16" s="827">
        <v>0</v>
      </c>
      <c r="AJ16" s="466">
        <f t="shared" si="0"/>
        <v>1</v>
      </c>
      <c r="AK16" s="501"/>
    </row>
    <row r="17" spans="2:37">
      <c r="B17" s="451" t="s">
        <v>29</v>
      </c>
      <c r="C17" s="804" t="s">
        <v>112</v>
      </c>
      <c r="D17" s="804" t="s">
        <v>445</v>
      </c>
      <c r="E17" s="806">
        <v>1</v>
      </c>
      <c r="F17" s="804" t="s">
        <v>689</v>
      </c>
      <c r="G17" s="455">
        <f>G16</f>
        <v>5</v>
      </c>
      <c r="H17" s="811"/>
      <c r="I17" s="475"/>
      <c r="J17" s="453" t="str">
        <f>IF($D17=INDEX(Yes_No_Choice[],1),INDEX(Equipment_Utitliy_Specs_Units[],MATCH($I$5,Equipment_Utility_Spec_List,0),2),"")</f>
        <v/>
      </c>
      <c r="K17" s="474"/>
      <c r="L17" s="453" t="str">
        <f>IF($D17=INDEX(Yes_No_Choice[],1),INDEX(Equipment_Utitliy_Specs_Units[],MATCH($K$5,Equipment_Utility_Spec_List,0),2),"")</f>
        <v/>
      </c>
      <c r="M17" s="474"/>
      <c r="N17" s="453" t="str">
        <f>IF($D17=INDEX(Yes_No_Choice[],1),INDEX(Equipment_Utitliy_Specs_Units[],MATCH($M$5,Equipment_Utility_Spec_List,0),2),"")</f>
        <v/>
      </c>
      <c r="O17" s="475"/>
      <c r="P17" s="453" t="str">
        <f>IF($D17=INDEX(Yes_No_Choice[],1),INDEX(Equipment_Utitliy_Specs_Units[],MATCH($O$5,Equipment_Utility_Spec_List,0),2),"")</f>
        <v/>
      </c>
      <c r="Q17" s="237"/>
      <c r="R17" s="474" t="s">
        <v>445</v>
      </c>
      <c r="S17" s="476"/>
      <c r="T17" s="477">
        <v>419.99999999999994</v>
      </c>
      <c r="U17" s="461">
        <f>IFERROR(T17/(INDEX(Settings_Currency_Table[],MATCH(General_Currency_Selection,Settings_Currency,0),2)),0)</f>
        <v>419.99999999999994</v>
      </c>
      <c r="V17" s="804">
        <v>5</v>
      </c>
      <c r="W17" s="461">
        <f>U17*'1.0-General input'!$E$111</f>
        <v>0</v>
      </c>
      <c r="X17" s="461">
        <f>IFERROR(('2.2-Equipment input'!$U17-W17)/V17,)</f>
        <v>83.999999999999986</v>
      </c>
      <c r="Y17" s="824"/>
      <c r="Z17" s="473">
        <f>IF(General_EquipmentQuant_Auto="Yes",'2.2-Equipment input'!G17,'2.2-Equipment input'!H17)</f>
        <v>5</v>
      </c>
      <c r="AA17" s="826">
        <v>0</v>
      </c>
      <c r="AB17" s="827">
        <v>0</v>
      </c>
      <c r="AC17" s="827">
        <v>1</v>
      </c>
      <c r="AD17" s="827">
        <v>0</v>
      </c>
      <c r="AE17" s="827">
        <v>0</v>
      </c>
      <c r="AF17" s="827">
        <v>0</v>
      </c>
      <c r="AG17" s="827">
        <v>0</v>
      </c>
      <c r="AH17" s="827">
        <v>0</v>
      </c>
      <c r="AI17" s="827">
        <v>0</v>
      </c>
      <c r="AJ17" s="466">
        <f t="shared" si="0"/>
        <v>1</v>
      </c>
      <c r="AK17" s="501"/>
    </row>
    <row r="18" spans="2:37">
      <c r="B18" s="467" t="s">
        <v>30</v>
      </c>
      <c r="C18" s="804" t="s">
        <v>113</v>
      </c>
      <c r="D18" s="804" t="s">
        <v>445</v>
      </c>
      <c r="E18" s="806">
        <v>1</v>
      </c>
      <c r="F18" s="804" t="s">
        <v>690</v>
      </c>
      <c r="G18" s="455">
        <f>G16</f>
        <v>5</v>
      </c>
      <c r="H18" s="811"/>
      <c r="I18" s="475"/>
      <c r="J18" s="453" t="str">
        <f>IF($D18=INDEX(Yes_No_Choice[],1),INDEX(Equipment_Utitliy_Specs_Units[],MATCH($I$5,Equipment_Utility_Spec_List,0),2),"")</f>
        <v/>
      </c>
      <c r="K18" s="474"/>
      <c r="L18" s="453" t="str">
        <f>IF($D18=INDEX(Yes_No_Choice[],1),INDEX(Equipment_Utitliy_Specs_Units[],MATCH($K$5,Equipment_Utility_Spec_List,0),2),"")</f>
        <v/>
      </c>
      <c r="M18" s="474"/>
      <c r="N18" s="453" t="str">
        <f>IF($D18=INDEX(Yes_No_Choice[],1),INDEX(Equipment_Utitliy_Specs_Units[],MATCH($M$5,Equipment_Utility_Spec_List,0),2),"")</f>
        <v/>
      </c>
      <c r="O18" s="475"/>
      <c r="P18" s="453" t="str">
        <f>IF($D18=INDEX(Yes_No_Choice[],1),INDEX(Equipment_Utitliy_Specs_Units[],MATCH($O$5,Equipment_Utility_Spec_List,0),2),"")</f>
        <v/>
      </c>
      <c r="Q18" s="237"/>
      <c r="R18" s="474" t="s">
        <v>445</v>
      </c>
      <c r="S18" s="476"/>
      <c r="T18" s="477">
        <v>1.4</v>
      </c>
      <c r="U18" s="461">
        <f>IFERROR(T18/(INDEX(Settings_Currency_Table[],MATCH(General_Currency_Selection,Settings_Currency,0),2)),0)</f>
        <v>1.4</v>
      </c>
      <c r="V18" s="804">
        <v>3</v>
      </c>
      <c r="W18" s="461">
        <f>U18*'1.0-General input'!$E$111</f>
        <v>0</v>
      </c>
      <c r="X18" s="461">
        <f>IFERROR(('2.2-Equipment input'!$U18-W18)/V18,)</f>
        <v>0.46666666666666662</v>
      </c>
      <c r="Y18" s="824"/>
      <c r="Z18" s="473">
        <f>IF(General_EquipmentQuant_Auto="Yes",'2.2-Equipment input'!G18,'2.2-Equipment input'!H18)</f>
        <v>5</v>
      </c>
      <c r="AA18" s="826">
        <v>0</v>
      </c>
      <c r="AB18" s="827">
        <v>0</v>
      </c>
      <c r="AC18" s="827">
        <v>1</v>
      </c>
      <c r="AD18" s="827">
        <v>0</v>
      </c>
      <c r="AE18" s="827">
        <v>0</v>
      </c>
      <c r="AF18" s="827">
        <v>0</v>
      </c>
      <c r="AG18" s="827">
        <v>0</v>
      </c>
      <c r="AH18" s="827">
        <v>0</v>
      </c>
      <c r="AI18" s="827">
        <v>0</v>
      </c>
      <c r="AJ18" s="466">
        <f t="shared" si="0"/>
        <v>1</v>
      </c>
      <c r="AK18" s="501"/>
    </row>
    <row r="19" spans="2:37">
      <c r="B19" s="451" t="s">
        <v>31</v>
      </c>
      <c r="C19" s="804" t="s">
        <v>760</v>
      </c>
      <c r="D19" s="804" t="s">
        <v>445</v>
      </c>
      <c r="E19" s="806">
        <v>5000</v>
      </c>
      <c r="F19" s="804" t="s">
        <v>244</v>
      </c>
      <c r="G19" s="455">
        <f>IF(ROUNDUP(('4.1-Settings Database'!$M$14*'4.1-Settings Database'!$J$26)/'2.2-Equipment input'!E19,0)&lt;8,8,ROUNDUP('4.1-Settings Database'!$M$14*'4.1-Settings Database'!$J$26/'2.2-Equipment input'!E19,0))</f>
        <v>282</v>
      </c>
      <c r="H19" s="811"/>
      <c r="I19" s="475"/>
      <c r="J19" s="453" t="str">
        <f>IF($D19=INDEX(Yes_No_Choice[],1),INDEX(Equipment_Utitliy_Specs_Units[],MATCH($I$5,Equipment_Utility_Spec_List,0),2),"")</f>
        <v/>
      </c>
      <c r="K19" s="474"/>
      <c r="L19" s="453" t="str">
        <f>IF($D19=INDEX(Yes_No_Choice[],1),INDEX(Equipment_Utitliy_Specs_Units[],MATCH($K$5,Equipment_Utility_Spec_List,0),2),"")</f>
        <v/>
      </c>
      <c r="M19" s="474"/>
      <c r="N19" s="453" t="str">
        <f>IF($D19=INDEX(Yes_No_Choice[],1),INDEX(Equipment_Utitliy_Specs_Units[],MATCH($M$5,Equipment_Utility_Spec_List,0),2),"")</f>
        <v/>
      </c>
      <c r="O19" s="475"/>
      <c r="P19" s="453" t="str">
        <f>IF($D19=INDEX(Yes_No_Choice[],1),INDEX(Equipment_Utitliy_Specs_Units[],MATCH($O$5,Equipment_Utility_Spec_List,0),2),"")</f>
        <v/>
      </c>
      <c r="Q19" s="237"/>
      <c r="R19" s="474" t="s">
        <v>445</v>
      </c>
      <c r="S19" s="476">
        <f>0.6*0.4</f>
        <v>0.24</v>
      </c>
      <c r="T19" s="477">
        <v>4.8999999999999995</v>
      </c>
      <c r="U19" s="461">
        <f>IFERROR(T19/(INDEX(Settings_Currency_Table[],MATCH(General_Currency_Selection,Settings_Currency,0),2)),0)</f>
        <v>4.8999999999999995</v>
      </c>
      <c r="V19" s="804">
        <v>5</v>
      </c>
      <c r="W19" s="461">
        <f>U19*'1.0-General input'!$E$111</f>
        <v>0</v>
      </c>
      <c r="X19" s="461">
        <f>IFERROR(('2.2-Equipment input'!$U19-W19)/V19,)</f>
        <v>0.97999999999999987</v>
      </c>
      <c r="Y19" s="824"/>
      <c r="Z19" s="473">
        <f>IF(General_EquipmentQuant_Auto="Yes",'2.2-Equipment input'!G19,'2.2-Equipment input'!H19)</f>
        <v>282</v>
      </c>
      <c r="AA19" s="826">
        <v>0</v>
      </c>
      <c r="AB19" s="827">
        <v>0</v>
      </c>
      <c r="AC19" s="827">
        <v>0</v>
      </c>
      <c r="AD19" s="827">
        <v>1</v>
      </c>
      <c r="AE19" s="827">
        <v>0</v>
      </c>
      <c r="AF19" s="827">
        <v>0</v>
      </c>
      <c r="AG19" s="827">
        <v>0</v>
      </c>
      <c r="AH19" s="827">
        <v>0</v>
      </c>
      <c r="AI19" s="827">
        <v>0</v>
      </c>
      <c r="AJ19" s="466">
        <f t="shared" si="0"/>
        <v>1</v>
      </c>
      <c r="AK19" s="501"/>
    </row>
    <row r="20" spans="2:37">
      <c r="B20" s="467" t="s">
        <v>32</v>
      </c>
      <c r="C20" s="804" t="s">
        <v>761</v>
      </c>
      <c r="D20" s="804" t="s">
        <v>445</v>
      </c>
      <c r="E20" s="806">
        <v>16</v>
      </c>
      <c r="F20" s="804" t="s">
        <v>245</v>
      </c>
      <c r="G20" s="455">
        <f>IF(ROUNDUP(G19/E20,0)&lt;2,2,ROUNDUP(G19/E20,0))</f>
        <v>18</v>
      </c>
      <c r="H20" s="811"/>
      <c r="I20" s="475"/>
      <c r="J20" s="453" t="str">
        <f>IF($D20=INDEX(Yes_No_Choice[],1),INDEX(Equipment_Utitliy_Specs_Units[],MATCH($I$5,Equipment_Utility_Spec_List,0),2),"")</f>
        <v/>
      </c>
      <c r="K20" s="474"/>
      <c r="L20" s="453" t="str">
        <f>IF($D20=INDEX(Yes_No_Choice[],1),INDEX(Equipment_Utitliy_Specs_Units[],MATCH($K$5,Equipment_Utility_Spec_List,0),2),"")</f>
        <v/>
      </c>
      <c r="M20" s="474"/>
      <c r="N20" s="453" t="str">
        <f>IF($D20=INDEX(Yes_No_Choice[],1),INDEX(Equipment_Utitliy_Specs_Units[],MATCH($M$5,Equipment_Utility_Spec_List,0),2),"")</f>
        <v/>
      </c>
      <c r="O20" s="475"/>
      <c r="P20" s="453" t="str">
        <f>IF($D20=INDEX(Yes_No_Choice[],1),INDEX(Equipment_Utitliy_Specs_Units[],MATCH($O$5,Equipment_Utility_Spec_List,0),2),"")</f>
        <v/>
      </c>
      <c r="Q20" s="237"/>
      <c r="R20" s="474" t="s">
        <v>445</v>
      </c>
      <c r="S20" s="476">
        <f>0.7*0.7</f>
        <v>0.48999999999999994</v>
      </c>
      <c r="T20" s="477">
        <v>70</v>
      </c>
      <c r="U20" s="461">
        <f>IFERROR(T20/(INDEX(Settings_Currency_Table[],MATCH(General_Currency_Selection,Settings_Currency,0),2)),0)</f>
        <v>70</v>
      </c>
      <c r="V20" s="804">
        <v>1</v>
      </c>
      <c r="W20" s="461">
        <f>U20*'1.0-General input'!$E$111</f>
        <v>0</v>
      </c>
      <c r="X20" s="461">
        <f>IFERROR(('2.2-Equipment input'!$U20-W20)/V20,)</f>
        <v>70</v>
      </c>
      <c r="Y20" s="824"/>
      <c r="Z20" s="473">
        <f>IF(General_EquipmentQuant_Auto="Yes",'2.2-Equipment input'!G20,'2.2-Equipment input'!H20)</f>
        <v>18</v>
      </c>
      <c r="AA20" s="826">
        <v>0</v>
      </c>
      <c r="AB20" s="827">
        <v>0</v>
      </c>
      <c r="AC20" s="827">
        <v>0</v>
      </c>
      <c r="AD20" s="827">
        <v>1</v>
      </c>
      <c r="AE20" s="827">
        <v>0</v>
      </c>
      <c r="AF20" s="827">
        <v>0</v>
      </c>
      <c r="AG20" s="827">
        <v>0</v>
      </c>
      <c r="AH20" s="827">
        <v>0</v>
      </c>
      <c r="AI20" s="827">
        <v>0</v>
      </c>
      <c r="AJ20" s="466">
        <f t="shared" si="0"/>
        <v>1</v>
      </c>
      <c r="AK20" s="501"/>
    </row>
    <row r="21" spans="2:37">
      <c r="B21" s="451" t="s">
        <v>33</v>
      </c>
      <c r="C21" s="804" t="s">
        <v>12</v>
      </c>
      <c r="D21" s="804" t="s">
        <v>445</v>
      </c>
      <c r="E21" s="806">
        <v>1</v>
      </c>
      <c r="F21" s="804" t="s">
        <v>246</v>
      </c>
      <c r="G21" s="455">
        <f>ROUNDUP(G20/E21,0)</f>
        <v>18</v>
      </c>
      <c r="H21" s="811"/>
      <c r="I21" s="475"/>
      <c r="J21" s="453" t="str">
        <f>IF($D21=INDEX(Yes_No_Choice[],1),INDEX(Equipment_Utitliy_Specs_Units[],MATCH($I$5,Equipment_Utility_Spec_List,0),2),"")</f>
        <v/>
      </c>
      <c r="K21" s="474"/>
      <c r="L21" s="453" t="str">
        <f>IF($D21=INDEX(Yes_No_Choice[],1),INDEX(Equipment_Utitliy_Specs_Units[],MATCH($K$5,Equipment_Utility_Spec_List,0),2),"")</f>
        <v/>
      </c>
      <c r="M21" s="474"/>
      <c r="N21" s="453" t="str">
        <f>IF($D21=INDEX(Yes_No_Choice[],1),INDEX(Equipment_Utitliy_Specs_Units[],MATCH($M$5,Equipment_Utility_Spec_List,0),2),"")</f>
        <v/>
      </c>
      <c r="O21" s="475"/>
      <c r="P21" s="453" t="str">
        <f>IF($D21=INDEX(Yes_No_Choice[],1),INDEX(Equipment_Utitliy_Specs_Units[],MATCH($O$5,Equipment_Utility_Spec_List,0),2),"")</f>
        <v/>
      </c>
      <c r="Q21" s="237"/>
      <c r="R21" s="474" t="s">
        <v>444</v>
      </c>
      <c r="S21" s="476">
        <f>1.45*0.75</f>
        <v>1.0874999999999999</v>
      </c>
      <c r="T21" s="477">
        <v>140</v>
      </c>
      <c r="U21" s="461">
        <f>IFERROR(T21/(INDEX(Settings_Currency_Table[],MATCH(General_Currency_Selection,Settings_Currency,0),2)),0)</f>
        <v>140</v>
      </c>
      <c r="V21" s="804">
        <v>5</v>
      </c>
      <c r="W21" s="461">
        <f>U21*'1.0-General input'!$E$111</f>
        <v>0</v>
      </c>
      <c r="X21" s="461">
        <f>IFERROR(('2.2-Equipment input'!$U21-W21)/V21,)</f>
        <v>28</v>
      </c>
      <c r="Y21" s="824"/>
      <c r="Z21" s="473">
        <f>IF(General_EquipmentQuant_Auto="Yes",'2.2-Equipment input'!G21,'2.2-Equipment input'!H21)</f>
        <v>18</v>
      </c>
      <c r="AA21" s="826">
        <v>0</v>
      </c>
      <c r="AB21" s="827">
        <v>0</v>
      </c>
      <c r="AC21" s="827">
        <v>0</v>
      </c>
      <c r="AD21" s="827">
        <v>1</v>
      </c>
      <c r="AE21" s="827">
        <v>0</v>
      </c>
      <c r="AF21" s="827">
        <v>0</v>
      </c>
      <c r="AG21" s="827">
        <v>0</v>
      </c>
      <c r="AH21" s="827">
        <v>0</v>
      </c>
      <c r="AI21" s="827">
        <v>0</v>
      </c>
      <c r="AJ21" s="466">
        <f t="shared" si="0"/>
        <v>1</v>
      </c>
      <c r="AK21" s="501"/>
    </row>
    <row r="22" spans="2:37">
      <c r="B22" s="467" t="s">
        <v>34</v>
      </c>
      <c r="C22" s="804" t="s">
        <v>759</v>
      </c>
      <c r="D22" s="804" t="s">
        <v>445</v>
      </c>
      <c r="E22" s="806">
        <v>9000</v>
      </c>
      <c r="F22" s="804" t="s">
        <v>247</v>
      </c>
      <c r="G22" s="455">
        <f>IF(ROUNDUP('4.1-Settings Database'!$M$13*'4.1-Settings Database'!$J$28/'2.2-Equipment input'!E22,0)&lt;3,3,ROUNDUP('4.1-Settings Database'!$M$13*'4.1-Settings Database'!$J$28/'2.2-Equipment input'!E22,0))</f>
        <v>20</v>
      </c>
      <c r="H22" s="811"/>
      <c r="I22" s="475"/>
      <c r="J22" s="453" t="str">
        <f>IF($D22=INDEX(Yes_No_Choice[],1),INDEX(Equipment_Utitliy_Specs_Units[],MATCH($I$5,Equipment_Utility_Spec_List,0),2),"")</f>
        <v/>
      </c>
      <c r="K22" s="474"/>
      <c r="L22" s="453" t="str">
        <f>IF($D22=INDEX(Yes_No_Choice[],1),INDEX(Equipment_Utitliy_Specs_Units[],MATCH($K$5,Equipment_Utility_Spec_List,0),2),"")</f>
        <v/>
      </c>
      <c r="M22" s="474"/>
      <c r="N22" s="453" t="str">
        <f>IF($D22=INDEX(Yes_No_Choice[],1),INDEX(Equipment_Utitliy_Specs_Units[],MATCH($M$5,Equipment_Utility_Spec_List,0),2),"")</f>
        <v/>
      </c>
      <c r="O22" s="475"/>
      <c r="P22" s="453" t="str">
        <f>IF($D22=INDEX(Yes_No_Choice[],1),INDEX(Equipment_Utitliy_Specs_Units[],MATCH($O$5,Equipment_Utility_Spec_List,0),2),"")</f>
        <v/>
      </c>
      <c r="Q22" s="237"/>
      <c r="R22" s="474" t="s">
        <v>444</v>
      </c>
      <c r="S22" s="476">
        <f>0.7*0.7</f>
        <v>0.48999999999999994</v>
      </c>
      <c r="T22" s="477">
        <v>24.499999999999996</v>
      </c>
      <c r="U22" s="461">
        <f>IFERROR(T22/(INDEX(Settings_Currency_Table[],MATCH(General_Currency_Selection,Settings_Currency,0),2)),0)</f>
        <v>24.499999999999996</v>
      </c>
      <c r="V22" s="804">
        <v>1</v>
      </c>
      <c r="W22" s="461">
        <f>U22*'1.0-General input'!$E$111</f>
        <v>0</v>
      </c>
      <c r="X22" s="461">
        <f>IFERROR(('2.2-Equipment input'!$U22-W22)/V22,)</f>
        <v>24.499999999999996</v>
      </c>
      <c r="Y22" s="824"/>
      <c r="Z22" s="473">
        <f>IF(General_EquipmentQuant_Auto="Yes",'2.2-Equipment input'!G22,'2.2-Equipment input'!H22)</f>
        <v>20</v>
      </c>
      <c r="AA22" s="826">
        <v>0</v>
      </c>
      <c r="AB22" s="827">
        <v>0</v>
      </c>
      <c r="AC22" s="827">
        <v>0</v>
      </c>
      <c r="AD22" s="827">
        <v>1</v>
      </c>
      <c r="AE22" s="827">
        <v>0</v>
      </c>
      <c r="AF22" s="827">
        <v>0</v>
      </c>
      <c r="AG22" s="827">
        <v>0</v>
      </c>
      <c r="AH22" s="827">
        <v>0</v>
      </c>
      <c r="AI22" s="827">
        <v>0</v>
      </c>
      <c r="AJ22" s="466">
        <f t="shared" si="0"/>
        <v>1</v>
      </c>
      <c r="AK22" s="501"/>
    </row>
    <row r="23" spans="2:37">
      <c r="B23" s="451" t="s">
        <v>35</v>
      </c>
      <c r="C23" s="804" t="s">
        <v>691</v>
      </c>
      <c r="D23" s="804" t="s">
        <v>445</v>
      </c>
      <c r="E23" s="806">
        <v>1</v>
      </c>
      <c r="F23" s="804" t="s">
        <v>248</v>
      </c>
      <c r="G23" s="455">
        <f>ROUNDUP(G22/E23,0)</f>
        <v>20</v>
      </c>
      <c r="H23" s="811"/>
      <c r="I23" s="475"/>
      <c r="J23" s="453" t="str">
        <f>IF($D23=INDEX(Yes_No_Choice[],1),INDEX(Equipment_Utitliy_Specs_Units[],MATCH($I$5,Equipment_Utility_Spec_List,0),2),"")</f>
        <v/>
      </c>
      <c r="K23" s="474"/>
      <c r="L23" s="453" t="str">
        <f>IF($D23=INDEX(Yes_No_Choice[],1),INDEX(Equipment_Utitliy_Specs_Units[],MATCH($K$5,Equipment_Utility_Spec_List,0),2),"")</f>
        <v/>
      </c>
      <c r="M23" s="474"/>
      <c r="N23" s="453" t="str">
        <f>IF($D23=INDEX(Yes_No_Choice[],1),INDEX(Equipment_Utitliy_Specs_Units[],MATCH($M$5,Equipment_Utility_Spec_List,0),2),"")</f>
        <v/>
      </c>
      <c r="O23" s="475"/>
      <c r="P23" s="453" t="str">
        <f>IF($D23=INDEX(Yes_No_Choice[],1),INDEX(Equipment_Utitliy_Specs_Units[],MATCH($O$5,Equipment_Utility_Spec_List,0),2),"")</f>
        <v/>
      </c>
      <c r="Q23" s="237"/>
      <c r="R23" s="474" t="s">
        <v>445</v>
      </c>
      <c r="S23" s="476"/>
      <c r="T23" s="477">
        <v>0.13999999999999999</v>
      </c>
      <c r="U23" s="461">
        <f>IFERROR(T23/(INDEX(Settings_Currency_Table[],MATCH(General_Currency_Selection,Settings_Currency,0),2)),0)</f>
        <v>0.13999999999999999</v>
      </c>
      <c r="V23" s="804">
        <v>3</v>
      </c>
      <c r="W23" s="461">
        <f>U23*'1.0-General input'!$E$111</f>
        <v>0</v>
      </c>
      <c r="X23" s="461">
        <f>IFERROR(('2.2-Equipment input'!$U23-W23)/V23,)</f>
        <v>4.6666666666666662E-2</v>
      </c>
      <c r="Y23" s="824"/>
      <c r="Z23" s="473">
        <f>IF(General_EquipmentQuant_Auto="Yes",'2.2-Equipment input'!G23,'2.2-Equipment input'!H23)</f>
        <v>20</v>
      </c>
      <c r="AA23" s="826">
        <v>0</v>
      </c>
      <c r="AB23" s="827">
        <v>0</v>
      </c>
      <c r="AC23" s="827">
        <v>0</v>
      </c>
      <c r="AD23" s="827">
        <v>1</v>
      </c>
      <c r="AE23" s="827">
        <v>0</v>
      </c>
      <c r="AF23" s="827">
        <v>0</v>
      </c>
      <c r="AG23" s="827">
        <v>0</v>
      </c>
      <c r="AH23" s="827">
        <v>0</v>
      </c>
      <c r="AI23" s="827">
        <v>0</v>
      </c>
      <c r="AJ23" s="466">
        <f t="shared" si="0"/>
        <v>1</v>
      </c>
      <c r="AK23" s="501"/>
    </row>
    <row r="24" spans="2:37">
      <c r="B24" s="467" t="s">
        <v>36</v>
      </c>
      <c r="C24" s="804" t="s">
        <v>692</v>
      </c>
      <c r="D24" s="804" t="s">
        <v>445</v>
      </c>
      <c r="E24" s="806">
        <v>1</v>
      </c>
      <c r="F24" s="804" t="s">
        <v>693</v>
      </c>
      <c r="G24" s="455">
        <f>ROUNDUP(G22/E24,0)</f>
        <v>20</v>
      </c>
      <c r="H24" s="811"/>
      <c r="I24" s="475"/>
      <c r="J24" s="453" t="str">
        <f>IF($D24=INDEX(Yes_No_Choice[],1),INDEX(Equipment_Utitliy_Specs_Units[],MATCH($I$5,Equipment_Utility_Spec_List,0),2),"")</f>
        <v/>
      </c>
      <c r="K24" s="474"/>
      <c r="L24" s="453" t="str">
        <f>IF($D24=INDEX(Yes_No_Choice[],1),INDEX(Equipment_Utitliy_Specs_Units[],MATCH($K$5,Equipment_Utility_Spec_List,0),2),"")</f>
        <v/>
      </c>
      <c r="M24" s="474"/>
      <c r="N24" s="453" t="str">
        <f>IF($D24=INDEX(Yes_No_Choice[],1),INDEX(Equipment_Utitliy_Specs_Units[],MATCH($M$5,Equipment_Utility_Spec_List,0),2),"")</f>
        <v/>
      </c>
      <c r="O24" s="475"/>
      <c r="P24" s="453" t="str">
        <f>IF($D24=INDEX(Yes_No_Choice[],1),INDEX(Equipment_Utitliy_Specs_Units[],MATCH($O$5,Equipment_Utility_Spec_List,0),2),"")</f>
        <v/>
      </c>
      <c r="Q24" s="237"/>
      <c r="R24" s="474" t="s">
        <v>445</v>
      </c>
      <c r="S24" s="476"/>
      <c r="T24" s="477">
        <v>1.7499999999999998</v>
      </c>
      <c r="U24" s="461">
        <f>IFERROR(T24/(INDEX(Settings_Currency_Table[],MATCH(General_Currency_Selection,Settings_Currency,0),2)),0)</f>
        <v>1.7499999999999998</v>
      </c>
      <c r="V24" s="804">
        <v>3</v>
      </c>
      <c r="W24" s="461">
        <f>U24*'1.0-General input'!$E$111</f>
        <v>0</v>
      </c>
      <c r="X24" s="461">
        <f>IFERROR(('2.2-Equipment input'!$U24-W24)/V24,)</f>
        <v>0.58333333333333326</v>
      </c>
      <c r="Y24" s="824"/>
      <c r="Z24" s="473">
        <f>IF(General_EquipmentQuant_Auto="Yes",'2.2-Equipment input'!G24,'2.2-Equipment input'!H24)</f>
        <v>20</v>
      </c>
      <c r="AA24" s="826">
        <v>0</v>
      </c>
      <c r="AB24" s="827">
        <v>0</v>
      </c>
      <c r="AC24" s="827">
        <v>0</v>
      </c>
      <c r="AD24" s="827">
        <v>1</v>
      </c>
      <c r="AE24" s="827">
        <v>0</v>
      </c>
      <c r="AF24" s="827">
        <v>0</v>
      </c>
      <c r="AG24" s="827">
        <v>0</v>
      </c>
      <c r="AH24" s="827">
        <v>0</v>
      </c>
      <c r="AI24" s="827">
        <v>0</v>
      </c>
      <c r="AJ24" s="466">
        <f t="shared" si="0"/>
        <v>1</v>
      </c>
      <c r="AK24" s="501"/>
    </row>
    <row r="25" spans="2:37">
      <c r="B25" s="451" t="s">
        <v>37</v>
      </c>
      <c r="C25" s="804" t="s">
        <v>694</v>
      </c>
      <c r="D25" s="804" t="s">
        <v>444</v>
      </c>
      <c r="E25" s="806">
        <v>12</v>
      </c>
      <c r="F25" s="804" t="s">
        <v>249</v>
      </c>
      <c r="G25" s="455">
        <f>ROUNDUP(G20/E25,0)</f>
        <v>2</v>
      </c>
      <c r="H25" s="811"/>
      <c r="I25" s="475">
        <v>2</v>
      </c>
      <c r="J25" s="453" t="str">
        <f>IF($D25=INDEX(Yes_No_Choice[],1),INDEX(Equipment_Utitliy_Specs_Units[],MATCH($I$5,Equipment_Utility_Spec_List,0),2),"")</f>
        <v>h</v>
      </c>
      <c r="K25" s="474"/>
      <c r="L25" s="453" t="str">
        <f>IF($D25=INDEX(Yes_No_Choice[],1),INDEX(Equipment_Utitliy_Specs_Units[],MATCH($K$5,Equipment_Utility_Spec_List,0),2),"")</f>
        <v>m3/h</v>
      </c>
      <c r="M25" s="474">
        <v>0.5</v>
      </c>
      <c r="N25" s="453" t="str">
        <f>IF($D25=INDEX(Yes_No_Choice[],1),INDEX(Equipment_Utitliy_Specs_Units[],MATCH($M$5,Equipment_Utility_Spec_List,0),2),"")</f>
        <v>kW</v>
      </c>
      <c r="O25" s="475"/>
      <c r="P25" s="453" t="str">
        <f>IF($D25=INDEX(Yes_No_Choice[],1),INDEX(Equipment_Utitliy_Specs_Units[],MATCH($O$5,Equipment_Utility_Spec_List,0),2),"")</f>
        <v>kg/h</v>
      </c>
      <c r="Q25" s="237"/>
      <c r="R25" s="474" t="s">
        <v>444</v>
      </c>
      <c r="S25" s="476">
        <f>0.75*0.75</f>
        <v>0.5625</v>
      </c>
      <c r="T25" s="477">
        <v>62.999999999999993</v>
      </c>
      <c r="U25" s="461">
        <f>IFERROR(T25/(INDEX(Settings_Currency_Table[],MATCH(General_Currency_Selection,Settings_Currency,0),2)),0)</f>
        <v>62.999999999999993</v>
      </c>
      <c r="V25" s="804">
        <v>5</v>
      </c>
      <c r="W25" s="461">
        <f>U25*'1.0-General input'!$E$111</f>
        <v>0</v>
      </c>
      <c r="X25" s="461">
        <f>IFERROR(('2.2-Equipment input'!$U25-W25)/V25,)</f>
        <v>12.599999999999998</v>
      </c>
      <c r="Y25" s="824"/>
      <c r="Z25" s="473">
        <f>IF(General_EquipmentQuant_Auto="Yes",'2.2-Equipment input'!G25,'2.2-Equipment input'!H25)</f>
        <v>2</v>
      </c>
      <c r="AA25" s="826">
        <v>0</v>
      </c>
      <c r="AB25" s="827">
        <v>0</v>
      </c>
      <c r="AC25" s="827">
        <v>0</v>
      </c>
      <c r="AD25" s="827">
        <v>1</v>
      </c>
      <c r="AE25" s="827">
        <v>0</v>
      </c>
      <c r="AF25" s="827">
        <v>0</v>
      </c>
      <c r="AG25" s="827">
        <v>0</v>
      </c>
      <c r="AH25" s="827">
        <v>0</v>
      </c>
      <c r="AI25" s="827">
        <v>0</v>
      </c>
      <c r="AJ25" s="466">
        <f t="shared" si="0"/>
        <v>1</v>
      </c>
      <c r="AK25" s="501"/>
    </row>
    <row r="26" spans="2:37">
      <c r="B26" s="467" t="s">
        <v>38</v>
      </c>
      <c r="C26" s="804" t="s">
        <v>13</v>
      </c>
      <c r="D26" s="804" t="s">
        <v>445</v>
      </c>
      <c r="E26" s="806">
        <v>3</v>
      </c>
      <c r="F26" s="804" t="s">
        <v>250</v>
      </c>
      <c r="G26" s="455">
        <f>ROUNDUP(G22/E26,0)</f>
        <v>7</v>
      </c>
      <c r="H26" s="811"/>
      <c r="I26" s="475"/>
      <c r="J26" s="453" t="str">
        <f>IF($D26=INDEX(Yes_No_Choice[],1),INDEX(Equipment_Utitliy_Specs_Units[],MATCH($I$5,Equipment_Utility_Spec_List,0),2),"")</f>
        <v/>
      </c>
      <c r="K26" s="474"/>
      <c r="L26" s="453" t="str">
        <f>IF($D26=INDEX(Yes_No_Choice[],1),INDEX(Equipment_Utitliy_Specs_Units[],MATCH($K$5,Equipment_Utility_Spec_List,0),2),"")</f>
        <v/>
      </c>
      <c r="M26" s="474"/>
      <c r="N26" s="453" t="str">
        <f>IF($D26=INDEX(Yes_No_Choice[],1),INDEX(Equipment_Utitliy_Specs_Units[],MATCH($M$5,Equipment_Utility_Spec_List,0),2),"")</f>
        <v/>
      </c>
      <c r="O26" s="475"/>
      <c r="P26" s="453" t="str">
        <f>IF($D26=INDEX(Yes_No_Choice[],1),INDEX(Equipment_Utitliy_Specs_Units[],MATCH($O$5,Equipment_Utility_Spec_List,0),2),"")</f>
        <v/>
      </c>
      <c r="Q26" s="237"/>
      <c r="R26" s="474" t="s">
        <v>445</v>
      </c>
      <c r="S26" s="476">
        <f>1.45*0.75</f>
        <v>1.0874999999999999</v>
      </c>
      <c r="T26" s="477">
        <v>140</v>
      </c>
      <c r="U26" s="461">
        <f>IFERROR(T26/(INDEX(Settings_Currency_Table[],MATCH(General_Currency_Selection,Settings_Currency,0),2)),0)</f>
        <v>140</v>
      </c>
      <c r="V26" s="804">
        <v>5</v>
      </c>
      <c r="W26" s="461">
        <f>U26*'1.0-General input'!$E$111</f>
        <v>0</v>
      </c>
      <c r="X26" s="461">
        <f>IFERROR(('2.2-Equipment input'!$U26-W26)/V26,)</f>
        <v>28</v>
      </c>
      <c r="Y26" s="824"/>
      <c r="Z26" s="473">
        <f>IF(General_EquipmentQuant_Auto="Yes",'2.2-Equipment input'!G26,'2.2-Equipment input'!H26)</f>
        <v>7</v>
      </c>
      <c r="AA26" s="826">
        <v>0</v>
      </c>
      <c r="AB26" s="827">
        <v>0</v>
      </c>
      <c r="AC26" s="827">
        <v>0</v>
      </c>
      <c r="AD26" s="827">
        <v>1</v>
      </c>
      <c r="AE26" s="827">
        <v>0</v>
      </c>
      <c r="AF26" s="827">
        <v>0</v>
      </c>
      <c r="AG26" s="827">
        <v>0</v>
      </c>
      <c r="AH26" s="827">
        <v>0</v>
      </c>
      <c r="AI26" s="827">
        <v>0</v>
      </c>
      <c r="AJ26" s="466">
        <f t="shared" si="0"/>
        <v>1</v>
      </c>
      <c r="AK26" s="501"/>
    </row>
    <row r="27" spans="2:37">
      <c r="B27" s="451" t="s">
        <v>39</v>
      </c>
      <c r="C27" s="804" t="s">
        <v>14</v>
      </c>
      <c r="D27" s="804" t="s">
        <v>445</v>
      </c>
      <c r="E27" s="804">
        <v>665000</v>
      </c>
      <c r="F27" s="804" t="s">
        <v>251</v>
      </c>
      <c r="G27" s="455">
        <f>ROUNDUP((General_Waste_toTreatment/'1.0-General input'!$E$124*1000*'4.1-Settings Database'!$J$18)/'2.2-Equipment input'!E27,0)</f>
        <v>10</v>
      </c>
      <c r="H27" s="811"/>
      <c r="I27" s="475"/>
      <c r="J27" s="453" t="str">
        <f>IF($D27=INDEX(Yes_No_Choice[],1),INDEX(Equipment_Utitliy_Specs_Units[],MATCH($I$5,Equipment_Utility_Spec_List,0),2),"")</f>
        <v/>
      </c>
      <c r="K27" s="474"/>
      <c r="L27" s="453" t="str">
        <f>IF($D27=INDEX(Yes_No_Choice[],1),INDEX(Equipment_Utitliy_Specs_Units[],MATCH($K$5,Equipment_Utility_Spec_List,0),2),"")</f>
        <v/>
      </c>
      <c r="M27" s="474"/>
      <c r="N27" s="453" t="str">
        <f>IF($D27=INDEX(Yes_No_Choice[],1),INDEX(Equipment_Utitliy_Specs_Units[],MATCH($M$5,Equipment_Utility_Spec_List,0),2),"")</f>
        <v/>
      </c>
      <c r="O27" s="475"/>
      <c r="P27" s="453" t="str">
        <f>IF($D27=INDEX(Yes_No_Choice[],1),INDEX(Equipment_Utitliy_Specs_Units[],MATCH($O$5,Equipment_Utility_Spec_List,0),2),"")</f>
        <v/>
      </c>
      <c r="Q27" s="237"/>
      <c r="R27" s="474" t="s">
        <v>445</v>
      </c>
      <c r="S27" s="476">
        <f>0.6*0.4</f>
        <v>0.24</v>
      </c>
      <c r="T27" s="477">
        <v>4.8999999999999995</v>
      </c>
      <c r="U27" s="461">
        <f>IFERROR(T27/(INDEX(Settings_Currency_Table[],MATCH(General_Currency_Selection,Settings_Currency,0),2)),0)</f>
        <v>4.8999999999999995</v>
      </c>
      <c r="V27" s="804">
        <v>5</v>
      </c>
      <c r="W27" s="461">
        <f>U27*'1.0-General input'!$E$111</f>
        <v>0</v>
      </c>
      <c r="X27" s="461">
        <f>IFERROR(('2.2-Equipment input'!$U27-W27)/V27,)</f>
        <v>0.97999999999999987</v>
      </c>
      <c r="Y27" s="824"/>
      <c r="Z27" s="473">
        <f>IF(General_EquipmentQuant_Auto="Yes",'2.2-Equipment input'!G27,'2.2-Equipment input'!H27)</f>
        <v>10</v>
      </c>
      <c r="AA27" s="826">
        <v>0</v>
      </c>
      <c r="AB27" s="827">
        <v>0</v>
      </c>
      <c r="AC27" s="827">
        <v>0</v>
      </c>
      <c r="AD27" s="827">
        <v>0</v>
      </c>
      <c r="AE27" s="827">
        <v>1</v>
      </c>
      <c r="AF27" s="827">
        <v>0</v>
      </c>
      <c r="AG27" s="827">
        <v>0</v>
      </c>
      <c r="AH27" s="827">
        <v>0</v>
      </c>
      <c r="AI27" s="827">
        <v>0</v>
      </c>
      <c r="AJ27" s="466">
        <f t="shared" si="0"/>
        <v>1</v>
      </c>
      <c r="AK27" s="501"/>
    </row>
    <row r="28" spans="2:37">
      <c r="B28" s="467" t="s">
        <v>40</v>
      </c>
      <c r="C28" s="804" t="s">
        <v>15</v>
      </c>
      <c r="D28" s="804" t="s">
        <v>445</v>
      </c>
      <c r="E28" s="806">
        <v>10</v>
      </c>
      <c r="F28" s="804" t="s">
        <v>252</v>
      </c>
      <c r="G28" s="455">
        <f>CEILING(G27/E28,1)</f>
        <v>1</v>
      </c>
      <c r="H28" s="811"/>
      <c r="I28" s="475"/>
      <c r="J28" s="453" t="str">
        <f>IF($D28=INDEX(Yes_No_Choice[],1),INDEX(Equipment_Utitliy_Specs_Units[],MATCH($I$5,Equipment_Utility_Spec_List,0),2),"")</f>
        <v/>
      </c>
      <c r="K28" s="474"/>
      <c r="L28" s="453" t="str">
        <f>IF($D28=INDEX(Yes_No_Choice[],1),INDEX(Equipment_Utitliy_Specs_Units[],MATCH($K$5,Equipment_Utility_Spec_List,0),2),"")</f>
        <v/>
      </c>
      <c r="M28" s="474"/>
      <c r="N28" s="453" t="str">
        <f>IF($D28=INDEX(Yes_No_Choice[],1),INDEX(Equipment_Utitliy_Specs_Units[],MATCH($M$5,Equipment_Utility_Spec_List,0),2),"")</f>
        <v/>
      </c>
      <c r="O28" s="475"/>
      <c r="P28" s="453" t="str">
        <f>IF($D28=INDEX(Yes_No_Choice[],1),INDEX(Equipment_Utitliy_Specs_Units[],MATCH($O$5,Equipment_Utility_Spec_List,0),2),"")</f>
        <v/>
      </c>
      <c r="Q28" s="237"/>
      <c r="R28" s="474" t="s">
        <v>444</v>
      </c>
      <c r="S28" s="476">
        <f>0.45*0.65</f>
        <v>0.29250000000000004</v>
      </c>
      <c r="T28" s="477">
        <v>140</v>
      </c>
      <c r="U28" s="461">
        <f>IFERROR(T28/(INDEX(Settings_Currency_Table[],MATCH(General_Currency_Selection,Settings_Currency,0),2)),0)</f>
        <v>140</v>
      </c>
      <c r="V28" s="804">
        <v>5</v>
      </c>
      <c r="W28" s="461">
        <f>U28*'1.0-General input'!$E$111</f>
        <v>0</v>
      </c>
      <c r="X28" s="461">
        <f>IFERROR(('2.2-Equipment input'!$U28-W28)/V28,)</f>
        <v>28</v>
      </c>
      <c r="Y28" s="824"/>
      <c r="Z28" s="473">
        <f>IF(General_EquipmentQuant_Auto="Yes",'2.2-Equipment input'!G28,'2.2-Equipment input'!H28)</f>
        <v>1</v>
      </c>
      <c r="AA28" s="826">
        <v>0</v>
      </c>
      <c r="AB28" s="827">
        <v>0</v>
      </c>
      <c r="AC28" s="827">
        <v>0</v>
      </c>
      <c r="AD28" s="827">
        <v>0</v>
      </c>
      <c r="AE28" s="827">
        <v>1</v>
      </c>
      <c r="AF28" s="827">
        <v>0</v>
      </c>
      <c r="AG28" s="827">
        <v>0</v>
      </c>
      <c r="AH28" s="827">
        <v>0</v>
      </c>
      <c r="AI28" s="827">
        <v>0</v>
      </c>
      <c r="AJ28" s="466">
        <f t="shared" si="0"/>
        <v>1</v>
      </c>
      <c r="AK28" s="501"/>
    </row>
    <row r="29" spans="2:37">
      <c r="B29" s="451" t="s">
        <v>41</v>
      </c>
      <c r="C29" s="804" t="s">
        <v>695</v>
      </c>
      <c r="D29" s="804" t="s">
        <v>445</v>
      </c>
      <c r="E29" s="806">
        <v>16</v>
      </c>
      <c r="F29" s="804" t="s">
        <v>253</v>
      </c>
      <c r="G29" s="455">
        <f>CEILING(G28/E29,1)</f>
        <v>1</v>
      </c>
      <c r="H29" s="811"/>
      <c r="I29" s="475"/>
      <c r="J29" s="453" t="str">
        <f>IF($D29=INDEX(Yes_No_Choice[],1),INDEX(Equipment_Utitliy_Specs_Units[],MATCH($I$5,Equipment_Utility_Spec_List,0),2),"")</f>
        <v/>
      </c>
      <c r="K29" s="474"/>
      <c r="L29" s="453" t="str">
        <f>IF($D29=INDEX(Yes_No_Choice[],1),INDEX(Equipment_Utitliy_Specs_Units[],MATCH($K$5,Equipment_Utility_Spec_List,0),2),"")</f>
        <v/>
      </c>
      <c r="M29" s="474"/>
      <c r="N29" s="453" t="str">
        <f>IF($D29=INDEX(Yes_No_Choice[],1),INDEX(Equipment_Utitliy_Specs_Units[],MATCH($M$5,Equipment_Utility_Spec_List,0),2),"")</f>
        <v/>
      </c>
      <c r="O29" s="475"/>
      <c r="P29" s="453" t="str">
        <f>IF($D29=INDEX(Yes_No_Choice[],1),INDEX(Equipment_Utitliy_Specs_Units[],MATCH($O$5,Equipment_Utility_Spec_List,0),2),"")</f>
        <v/>
      </c>
      <c r="Q29" s="237"/>
      <c r="R29" s="474" t="s">
        <v>445</v>
      </c>
      <c r="S29" s="476">
        <f>0.1*0.2</f>
        <v>2.0000000000000004E-2</v>
      </c>
      <c r="T29" s="477">
        <v>0.7</v>
      </c>
      <c r="U29" s="461">
        <f>IFERROR(T29/(INDEX(Settings_Currency_Table[],MATCH(General_Currency_Selection,Settings_Currency,0),2)),0)</f>
        <v>0.7</v>
      </c>
      <c r="V29" s="804">
        <v>5</v>
      </c>
      <c r="W29" s="461">
        <f>U29*'1.0-General input'!$E$111</f>
        <v>0</v>
      </c>
      <c r="X29" s="461">
        <f>IFERROR(('2.2-Equipment input'!$U29-W29)/V29,)</f>
        <v>0.13999999999999999</v>
      </c>
      <c r="Y29" s="824"/>
      <c r="Z29" s="473">
        <f>IF(General_EquipmentQuant_Auto="Yes",'2.2-Equipment input'!G29,'2.2-Equipment input'!H29)</f>
        <v>1</v>
      </c>
      <c r="AA29" s="826">
        <v>0</v>
      </c>
      <c r="AB29" s="827">
        <v>0</v>
      </c>
      <c r="AC29" s="827">
        <v>0</v>
      </c>
      <c r="AD29" s="827">
        <v>0.5</v>
      </c>
      <c r="AE29" s="827">
        <v>0.5</v>
      </c>
      <c r="AF29" s="827">
        <v>0</v>
      </c>
      <c r="AG29" s="827">
        <v>0</v>
      </c>
      <c r="AH29" s="827">
        <v>0</v>
      </c>
      <c r="AI29" s="827">
        <v>0</v>
      </c>
      <c r="AJ29" s="466">
        <f t="shared" si="0"/>
        <v>1</v>
      </c>
      <c r="AK29" s="501"/>
    </row>
    <row r="30" spans="2:37">
      <c r="B30" s="467" t="s">
        <v>42</v>
      </c>
      <c r="C30" s="804" t="s">
        <v>696</v>
      </c>
      <c r="D30" s="804" t="s">
        <v>445</v>
      </c>
      <c r="E30" s="806">
        <v>10</v>
      </c>
      <c r="F30" s="804" t="s">
        <v>697</v>
      </c>
      <c r="G30" s="455">
        <f>G22*E30</f>
        <v>200</v>
      </c>
      <c r="H30" s="811"/>
      <c r="I30" s="475"/>
      <c r="J30" s="453" t="str">
        <f>IF($D30=INDEX(Yes_No_Choice[],1),INDEX(Equipment_Utitliy_Specs_Units[],MATCH($I$5,Equipment_Utility_Spec_List,0),2),"")</f>
        <v/>
      </c>
      <c r="K30" s="474"/>
      <c r="L30" s="453" t="str">
        <f>IF($D30=INDEX(Yes_No_Choice[],1),INDEX(Equipment_Utitliy_Specs_Units[],MATCH($K$5,Equipment_Utility_Spec_List,0),2),"")</f>
        <v/>
      </c>
      <c r="M30" s="474"/>
      <c r="N30" s="453" t="str">
        <f>IF($D30=INDEX(Yes_No_Choice[],1),INDEX(Equipment_Utitliy_Specs_Units[],MATCH($M$5,Equipment_Utility_Spec_List,0),2),"")</f>
        <v/>
      </c>
      <c r="O30" s="475"/>
      <c r="P30" s="453" t="str">
        <f>IF($D30=INDEX(Yes_No_Choice[],1),INDEX(Equipment_Utitliy_Specs_Units[],MATCH($O$5,Equipment_Utility_Spec_List,0),2),"")</f>
        <v/>
      </c>
      <c r="Q30" s="237"/>
      <c r="R30" s="474" t="s">
        <v>445</v>
      </c>
      <c r="S30" s="476"/>
      <c r="T30" s="477">
        <v>0.7</v>
      </c>
      <c r="U30" s="461">
        <f>IFERROR(T30/(INDEX(Settings_Currency_Table[],MATCH(General_Currency_Selection,Settings_Currency,0),2)),0)</f>
        <v>0.7</v>
      </c>
      <c r="V30" s="804">
        <v>5</v>
      </c>
      <c r="W30" s="461">
        <f>U30*'1.0-General input'!$E$111</f>
        <v>0</v>
      </c>
      <c r="X30" s="461">
        <f>IFERROR(('2.2-Equipment input'!$U30-W30)/V30,)</f>
        <v>0.13999999999999999</v>
      </c>
      <c r="Y30" s="824"/>
      <c r="Z30" s="473">
        <f>IF(General_EquipmentQuant_Auto="Yes",'2.2-Equipment input'!G30,'2.2-Equipment input'!H30)</f>
        <v>200</v>
      </c>
      <c r="AA30" s="826">
        <v>0</v>
      </c>
      <c r="AB30" s="827">
        <v>0</v>
      </c>
      <c r="AC30" s="827">
        <v>0</v>
      </c>
      <c r="AD30" s="827">
        <v>0.5</v>
      </c>
      <c r="AE30" s="827">
        <v>0.5</v>
      </c>
      <c r="AF30" s="827">
        <v>0</v>
      </c>
      <c r="AG30" s="827">
        <v>0</v>
      </c>
      <c r="AH30" s="827">
        <v>0</v>
      </c>
      <c r="AI30" s="827">
        <v>0</v>
      </c>
      <c r="AJ30" s="466">
        <f t="shared" si="0"/>
        <v>1</v>
      </c>
      <c r="AK30" s="501"/>
    </row>
    <row r="31" spans="2:37">
      <c r="B31" s="451" t="s">
        <v>43</v>
      </c>
      <c r="C31" s="804" t="s">
        <v>16</v>
      </c>
      <c r="D31" s="804" t="s">
        <v>445</v>
      </c>
      <c r="E31" s="806">
        <v>1</v>
      </c>
      <c r="F31" s="804" t="s">
        <v>254</v>
      </c>
      <c r="G31" s="455">
        <f>ROUNDUP(G28/E31,0)</f>
        <v>1</v>
      </c>
      <c r="H31" s="811"/>
      <c r="I31" s="475"/>
      <c r="J31" s="453" t="str">
        <f>IF($D31=INDEX(Yes_No_Choice[],1),INDEX(Equipment_Utitliy_Specs_Units[],MATCH($I$5,Equipment_Utility_Spec_List,0),2),"")</f>
        <v/>
      </c>
      <c r="K31" s="474"/>
      <c r="L31" s="453" t="str">
        <f>IF($D31=INDEX(Yes_No_Choice[],1),INDEX(Equipment_Utitliy_Specs_Units[],MATCH($K$5,Equipment_Utility_Spec_List,0),2),"")</f>
        <v/>
      </c>
      <c r="M31" s="474"/>
      <c r="N31" s="453" t="str">
        <f>IF($D31=INDEX(Yes_No_Choice[],1),INDEX(Equipment_Utitliy_Specs_Units[],MATCH($M$5,Equipment_Utility_Spec_List,0),2),"")</f>
        <v/>
      </c>
      <c r="O31" s="475"/>
      <c r="P31" s="453" t="str">
        <f>IF($D31=INDEX(Yes_No_Choice[],1),INDEX(Equipment_Utitliy_Specs_Units[],MATCH($O$5,Equipment_Utility_Spec_List,0),2),"")</f>
        <v/>
      </c>
      <c r="Q31" s="237"/>
      <c r="R31" s="804" t="s">
        <v>444</v>
      </c>
      <c r="S31" s="807">
        <f>1.6*0.6</f>
        <v>0.96</v>
      </c>
      <c r="T31" s="817">
        <v>174.99999999999997</v>
      </c>
      <c r="U31" s="461">
        <f>IFERROR(T31/(INDEX(Settings_Currency_Table[],MATCH(General_Currency_Selection,Settings_Currency,0),2)),0)</f>
        <v>174.99999999999997</v>
      </c>
      <c r="V31" s="804">
        <v>5</v>
      </c>
      <c r="W31" s="461">
        <f>U31*'1.0-General input'!$E$111</f>
        <v>0</v>
      </c>
      <c r="X31" s="461">
        <f>IFERROR(('2.2-Equipment input'!$U31-W31)/V31,)</f>
        <v>34.999999999999993</v>
      </c>
      <c r="Y31" s="824"/>
      <c r="Z31" s="473">
        <f>IF(General_EquipmentQuant_Auto="Yes",'2.2-Equipment input'!G31,'2.2-Equipment input'!H31)</f>
        <v>1</v>
      </c>
      <c r="AA31" s="826">
        <v>0</v>
      </c>
      <c r="AB31" s="827">
        <v>0</v>
      </c>
      <c r="AC31" s="827">
        <v>0</v>
      </c>
      <c r="AD31" s="827">
        <v>0.5</v>
      </c>
      <c r="AE31" s="827">
        <v>0.5</v>
      </c>
      <c r="AF31" s="827">
        <v>0</v>
      </c>
      <c r="AG31" s="827">
        <v>0</v>
      </c>
      <c r="AH31" s="827">
        <v>0</v>
      </c>
      <c r="AI31" s="827">
        <v>0</v>
      </c>
      <c r="AJ31" s="466">
        <f t="shared" si="0"/>
        <v>1</v>
      </c>
      <c r="AK31" s="501"/>
    </row>
    <row r="32" spans="2:37">
      <c r="B32" s="467" t="s">
        <v>44</v>
      </c>
      <c r="C32" s="804" t="s">
        <v>17</v>
      </c>
      <c r="D32" s="804" t="s">
        <v>445</v>
      </c>
      <c r="E32" s="806">
        <v>10000</v>
      </c>
      <c r="F32" s="804" t="s">
        <v>255</v>
      </c>
      <c r="G32" s="455">
        <f>ROUNDUP('4.1-Settings Database'!$M$15*'4.1-Settings Database'!$J$24/'2.2-Equipment input'!E32,0)</f>
        <v>68</v>
      </c>
      <c r="H32" s="811"/>
      <c r="I32" s="475"/>
      <c r="J32" s="453" t="str">
        <f>IF($D32=INDEX(Yes_No_Choice[],1),INDEX(Equipment_Utitliy_Specs_Units[],MATCH($I$5,Equipment_Utility_Spec_List,0),2),"")</f>
        <v/>
      </c>
      <c r="K32" s="474"/>
      <c r="L32" s="453" t="str">
        <f>IF($D32=INDEX(Yes_No_Choice[],1),INDEX(Equipment_Utitliy_Specs_Units[],MATCH($K$5,Equipment_Utility_Spec_List,0),2),"")</f>
        <v/>
      </c>
      <c r="M32" s="474"/>
      <c r="N32" s="453" t="str">
        <f>IF($D32=INDEX(Yes_No_Choice[],1),INDEX(Equipment_Utitliy_Specs_Units[],MATCH($M$5,Equipment_Utility_Spec_List,0),2),"")</f>
        <v/>
      </c>
      <c r="O32" s="475"/>
      <c r="P32" s="453" t="str">
        <f>IF($D32=INDEX(Yes_No_Choice[],1),INDEX(Equipment_Utitliy_Specs_Units[],MATCH($O$5,Equipment_Utility_Spec_List,0),2),"")</f>
        <v/>
      </c>
      <c r="Q32" s="237"/>
      <c r="R32" s="804" t="s">
        <v>445</v>
      </c>
      <c r="S32" s="807"/>
      <c r="T32" s="817">
        <v>3.4999999999999996</v>
      </c>
      <c r="U32" s="461">
        <f>IFERROR(T32/(INDEX(Settings_Currency_Table[],MATCH(General_Currency_Selection,Settings_Currency,0),2)),0)</f>
        <v>3.4999999999999996</v>
      </c>
      <c r="V32" s="804">
        <v>5</v>
      </c>
      <c r="W32" s="461">
        <f>U32*'1.0-General input'!$E$111</f>
        <v>0</v>
      </c>
      <c r="X32" s="461">
        <f>IFERROR(('2.2-Equipment input'!$U32-W32)/V32,)</f>
        <v>0.7</v>
      </c>
      <c r="Y32" s="824"/>
      <c r="Z32" s="473">
        <f>IF(General_EquipmentQuant_Auto="Yes",'2.2-Equipment input'!G32,'2.2-Equipment input'!H32)</f>
        <v>68</v>
      </c>
      <c r="AA32" s="826">
        <v>0</v>
      </c>
      <c r="AB32" s="827">
        <v>0</v>
      </c>
      <c r="AC32" s="827">
        <v>0</v>
      </c>
      <c r="AD32" s="827">
        <v>1</v>
      </c>
      <c r="AE32" s="827">
        <v>0</v>
      </c>
      <c r="AF32" s="827">
        <v>0</v>
      </c>
      <c r="AG32" s="827">
        <v>0</v>
      </c>
      <c r="AH32" s="827">
        <v>0</v>
      </c>
      <c r="AI32" s="827">
        <v>0</v>
      </c>
      <c r="AJ32" s="466">
        <f t="shared" si="0"/>
        <v>1</v>
      </c>
      <c r="AK32" s="501"/>
    </row>
    <row r="33" spans="2:37">
      <c r="B33" s="451" t="s">
        <v>45</v>
      </c>
      <c r="C33" s="804"/>
      <c r="D33" s="804" t="s">
        <v>445</v>
      </c>
      <c r="E33" s="804"/>
      <c r="F33" s="804"/>
      <c r="G33" s="455"/>
      <c r="H33" s="811"/>
      <c r="I33" s="475"/>
      <c r="J33" s="453" t="str">
        <f>IF($D33=INDEX(Yes_No_Choice[],1),INDEX(Equipment_Utitliy_Specs_Units[],MATCH($I$5,Equipment_Utility_Spec_List,0),2),"")</f>
        <v/>
      </c>
      <c r="K33" s="474"/>
      <c r="L33" s="453" t="str">
        <f>IF($D33=INDEX(Yes_No_Choice[],1),INDEX(Equipment_Utitliy_Specs_Units[],MATCH($K$5,Equipment_Utility_Spec_List,0),2),"")</f>
        <v/>
      </c>
      <c r="M33" s="474"/>
      <c r="N33" s="453" t="str">
        <f>IF($D33=INDEX(Yes_No_Choice[],1),INDEX(Equipment_Utitliy_Specs_Units[],MATCH($M$5,Equipment_Utility_Spec_List,0),2),"")</f>
        <v/>
      </c>
      <c r="O33" s="475"/>
      <c r="P33" s="453" t="str">
        <f>IF($D33=INDEX(Yes_No_Choice[],1),INDEX(Equipment_Utitliy_Specs_Units[],MATCH($O$5,Equipment_Utility_Spec_List,0),2),"")</f>
        <v/>
      </c>
      <c r="Q33" s="237"/>
      <c r="R33" s="804" t="s">
        <v>445</v>
      </c>
      <c r="S33" s="807"/>
      <c r="T33" s="817">
        <v>0</v>
      </c>
      <c r="U33" s="461">
        <f>IFERROR(T33/(INDEX(Settings_Currency_Table[],MATCH(General_Currency_Selection,Settings_Currency,0),2)),0)</f>
        <v>0</v>
      </c>
      <c r="V33" s="804"/>
      <c r="W33" s="461">
        <f>U33*'1.0-General input'!$E$111</f>
        <v>0</v>
      </c>
      <c r="X33" s="461">
        <f>IFERROR(('2.2-Equipment input'!$U33-W33)/V33,)</f>
        <v>0</v>
      </c>
      <c r="Y33" s="824"/>
      <c r="Z33" s="473">
        <f>IF(General_EquipmentQuant_Auto="Yes",'2.2-Equipment input'!G33,'2.2-Equipment input'!H33)</f>
        <v>0</v>
      </c>
      <c r="AA33" s="826">
        <v>0</v>
      </c>
      <c r="AB33" s="827">
        <v>0</v>
      </c>
      <c r="AC33" s="827">
        <v>0</v>
      </c>
      <c r="AD33" s="827">
        <v>0</v>
      </c>
      <c r="AE33" s="827">
        <v>0</v>
      </c>
      <c r="AF33" s="827">
        <v>0</v>
      </c>
      <c r="AG33" s="827">
        <v>0</v>
      </c>
      <c r="AH33" s="827">
        <v>0</v>
      </c>
      <c r="AI33" s="827">
        <v>0</v>
      </c>
      <c r="AJ33" s="466">
        <f t="shared" si="0"/>
        <v>0</v>
      </c>
      <c r="AK33" s="501"/>
    </row>
    <row r="34" spans="2:37">
      <c r="B34" s="467" t="s">
        <v>46</v>
      </c>
      <c r="C34" s="804" t="s">
        <v>698</v>
      </c>
      <c r="D34" s="804" t="s">
        <v>445</v>
      </c>
      <c r="E34" s="806">
        <v>1</v>
      </c>
      <c r="F34" s="804" t="s">
        <v>699</v>
      </c>
      <c r="G34" s="455">
        <f>ROUNDUP(G32/E34,0)</f>
        <v>68</v>
      </c>
      <c r="H34" s="811"/>
      <c r="I34" s="475"/>
      <c r="J34" s="453" t="str">
        <f>IF($D34=INDEX(Yes_No_Choice[],1),INDEX(Equipment_Utitliy_Specs_Units[],MATCH($I$5,Equipment_Utility_Spec_List,0),2),"")</f>
        <v/>
      </c>
      <c r="K34" s="474"/>
      <c r="L34" s="453" t="str">
        <f>IF($D34=INDEX(Yes_No_Choice[],1),INDEX(Equipment_Utitliy_Specs_Units[],MATCH($K$5,Equipment_Utility_Spec_List,0),2),"")</f>
        <v/>
      </c>
      <c r="M34" s="474"/>
      <c r="N34" s="453" t="str">
        <f>IF($D34=INDEX(Yes_No_Choice[],1),INDEX(Equipment_Utitliy_Specs_Units[],MATCH($M$5,Equipment_Utility_Spec_List,0),2),"")</f>
        <v/>
      </c>
      <c r="O34" s="475"/>
      <c r="P34" s="453" t="str">
        <f>IF($D34=INDEX(Yes_No_Choice[],1),INDEX(Equipment_Utitliy_Specs_Units[],MATCH($O$5,Equipment_Utility_Spec_List,0),2),"")</f>
        <v/>
      </c>
      <c r="Q34" s="237"/>
      <c r="R34" s="804" t="s">
        <v>445</v>
      </c>
      <c r="S34" s="807"/>
      <c r="T34" s="817">
        <v>5.2499999999999991</v>
      </c>
      <c r="U34" s="461">
        <f>IFERROR(T34/(INDEX(Settings_Currency_Table[],MATCH(General_Currency_Selection,Settings_Currency,0),2)),0)</f>
        <v>5.2499999999999991</v>
      </c>
      <c r="V34" s="804">
        <v>5</v>
      </c>
      <c r="W34" s="461">
        <f>U34*'1.0-General input'!$E$111</f>
        <v>0</v>
      </c>
      <c r="X34" s="461">
        <f>IFERROR(('2.2-Equipment input'!$U34-W34)/V34,)</f>
        <v>1.0499999999999998</v>
      </c>
      <c r="Y34" s="824"/>
      <c r="Z34" s="473">
        <f>IF(General_EquipmentQuant_Auto="Yes",'2.2-Equipment input'!G34,'2.2-Equipment input'!H34)</f>
        <v>68</v>
      </c>
      <c r="AA34" s="826">
        <v>0</v>
      </c>
      <c r="AB34" s="827">
        <v>0</v>
      </c>
      <c r="AC34" s="827">
        <v>0</v>
      </c>
      <c r="AD34" s="827">
        <v>1</v>
      </c>
      <c r="AE34" s="827">
        <v>0</v>
      </c>
      <c r="AF34" s="827">
        <v>0</v>
      </c>
      <c r="AG34" s="827">
        <v>0</v>
      </c>
      <c r="AH34" s="827">
        <v>0</v>
      </c>
      <c r="AI34" s="827">
        <v>0</v>
      </c>
      <c r="AJ34" s="466">
        <f t="shared" si="0"/>
        <v>1</v>
      </c>
      <c r="AK34" s="501"/>
    </row>
    <row r="35" spans="2:37">
      <c r="B35" s="451" t="s">
        <v>47</v>
      </c>
      <c r="C35" s="804" t="s">
        <v>18</v>
      </c>
      <c r="D35" s="804" t="s">
        <v>445</v>
      </c>
      <c r="E35" s="806">
        <v>6</v>
      </c>
      <c r="F35" s="804" t="s">
        <v>256</v>
      </c>
      <c r="G35" s="455">
        <f>ROUNDUP(G32/E35,0)</f>
        <v>12</v>
      </c>
      <c r="H35" s="811"/>
      <c r="I35" s="475"/>
      <c r="J35" s="453" t="str">
        <f>IF($D35=INDEX(Yes_No_Choice[],1),INDEX(Equipment_Utitliy_Specs_Units[],MATCH($I$5,Equipment_Utility_Spec_List,0),2),"")</f>
        <v/>
      </c>
      <c r="K35" s="474"/>
      <c r="L35" s="453" t="str">
        <f>IF($D35=INDEX(Yes_No_Choice[],1),INDEX(Equipment_Utitliy_Specs_Units[],MATCH($K$5,Equipment_Utility_Spec_List,0),2),"")</f>
        <v/>
      </c>
      <c r="M35" s="474"/>
      <c r="N35" s="453" t="str">
        <f>IF($D35=INDEX(Yes_No_Choice[],1),INDEX(Equipment_Utitliy_Specs_Units[],MATCH($M$5,Equipment_Utility_Spec_List,0),2),"")</f>
        <v/>
      </c>
      <c r="O35" s="475"/>
      <c r="P35" s="453" t="str">
        <f>IF($D35=INDEX(Yes_No_Choice[],1),INDEX(Equipment_Utitliy_Specs_Units[],MATCH($O$5,Equipment_Utility_Spec_List,0),2),"")</f>
        <v/>
      </c>
      <c r="Q35" s="237"/>
      <c r="R35" s="804" t="s">
        <v>445</v>
      </c>
      <c r="S35" s="807"/>
      <c r="T35" s="817">
        <v>104.99999999999999</v>
      </c>
      <c r="U35" s="461">
        <f>IFERROR(T35/(INDEX(Settings_Currency_Table[],MATCH(General_Currency_Selection,Settings_Currency,0),2)),0)</f>
        <v>104.99999999999999</v>
      </c>
      <c r="V35" s="804">
        <v>5</v>
      </c>
      <c r="W35" s="461">
        <f>U35*'1.0-General input'!$E$111</f>
        <v>0</v>
      </c>
      <c r="X35" s="461">
        <f>IFERROR(('2.2-Equipment input'!$U35-W35)/V35,)</f>
        <v>20.999999999999996</v>
      </c>
      <c r="Y35" s="824"/>
      <c r="Z35" s="473">
        <f>IF(General_EquipmentQuant_Auto="Yes",'2.2-Equipment input'!G35,'2.2-Equipment input'!H35)</f>
        <v>12</v>
      </c>
      <c r="AA35" s="826">
        <v>0</v>
      </c>
      <c r="AB35" s="827">
        <v>0</v>
      </c>
      <c r="AC35" s="827">
        <v>0</v>
      </c>
      <c r="AD35" s="827">
        <v>1</v>
      </c>
      <c r="AE35" s="827">
        <v>0</v>
      </c>
      <c r="AF35" s="827">
        <v>0</v>
      </c>
      <c r="AG35" s="827">
        <v>0</v>
      </c>
      <c r="AH35" s="827">
        <v>0</v>
      </c>
      <c r="AI35" s="827">
        <v>0</v>
      </c>
      <c r="AJ35" s="466">
        <f t="shared" si="0"/>
        <v>1</v>
      </c>
      <c r="AK35" s="501"/>
    </row>
    <row r="36" spans="2:37">
      <c r="B36" s="467" t="s">
        <v>48</v>
      </c>
      <c r="C36" s="804" t="s">
        <v>125</v>
      </c>
      <c r="D36" s="804" t="s">
        <v>444</v>
      </c>
      <c r="E36" s="806">
        <v>2000</v>
      </c>
      <c r="F36" s="804" t="s">
        <v>664</v>
      </c>
      <c r="G36" s="455">
        <f>ROUNDUP('1.0-General input'!$E$15*1000/Staff_Days_Operation/E36,0)</f>
        <v>3</v>
      </c>
      <c r="H36" s="811"/>
      <c r="I36" s="813">
        <v>0</v>
      </c>
      <c r="J36" s="453" t="str">
        <f>IF($D36=INDEX(Yes_No_Choice[],1),INDEX(Equipment_Utitliy_Specs_Units[],MATCH($I$5,Equipment_Utility_Spec_List,0),2),"")</f>
        <v>h</v>
      </c>
      <c r="K36" s="804"/>
      <c r="L36" s="453" t="str">
        <f>IF($D36=INDEX(Yes_No_Choice[],1),INDEX(Equipment_Utitliy_Specs_Units[],MATCH($K$5,Equipment_Utility_Spec_List,0),2),"")</f>
        <v>m3/h</v>
      </c>
      <c r="M36" s="804"/>
      <c r="N36" s="453" t="str">
        <f>IF($D36=INDEX(Yes_No_Choice[],1),INDEX(Equipment_Utitliy_Specs_Units[],MATCH($M$5,Equipment_Utility_Spec_List,0),2),"")</f>
        <v>kW</v>
      </c>
      <c r="O36" s="813"/>
      <c r="P36" s="453" t="str">
        <f>IF($D36=INDEX(Yes_No_Choice[],1),INDEX(Equipment_Utitliy_Specs_Units[],MATCH($O$5,Equipment_Utility_Spec_List,0),2),"")</f>
        <v>kg/h</v>
      </c>
      <c r="Q36" s="783"/>
      <c r="R36" s="804" t="s">
        <v>445</v>
      </c>
      <c r="S36" s="807">
        <f>0.5*0.8</f>
        <v>0.4</v>
      </c>
      <c r="T36" s="817">
        <v>174.99999999999997</v>
      </c>
      <c r="U36" s="461">
        <f>IFERROR(T36/(INDEX(Settings_Currency_Table[],MATCH(General_Currency_Selection,Settings_Currency,0),2)),0)</f>
        <v>174.99999999999997</v>
      </c>
      <c r="V36" s="804">
        <v>5</v>
      </c>
      <c r="W36" s="461">
        <f>U36*'1.0-General input'!$E$111</f>
        <v>0</v>
      </c>
      <c r="X36" s="461">
        <f>IFERROR(('2.2-Equipment input'!$U36-W36)/V36,)</f>
        <v>34.999999999999993</v>
      </c>
      <c r="Y36" s="824"/>
      <c r="Z36" s="473">
        <f>IF(General_EquipmentQuant_Auto="Yes",'2.2-Equipment input'!G36,'2.2-Equipment input'!H36)</f>
        <v>3</v>
      </c>
      <c r="AA36" s="826">
        <v>0.2</v>
      </c>
      <c r="AB36" s="827">
        <v>0.2</v>
      </c>
      <c r="AC36" s="827">
        <v>0.2</v>
      </c>
      <c r="AD36" s="827">
        <v>0</v>
      </c>
      <c r="AE36" s="827">
        <v>0</v>
      </c>
      <c r="AF36" s="827">
        <v>0</v>
      </c>
      <c r="AG36" s="827">
        <v>0.2</v>
      </c>
      <c r="AH36" s="827">
        <v>0.2</v>
      </c>
      <c r="AI36" s="827">
        <v>0</v>
      </c>
      <c r="AJ36" s="466">
        <f t="shared" si="0"/>
        <v>1</v>
      </c>
      <c r="AK36" s="501"/>
    </row>
    <row r="37" spans="2:37">
      <c r="B37" s="451" t="s">
        <v>54</v>
      </c>
      <c r="C37" s="804"/>
      <c r="D37" s="804" t="s">
        <v>445</v>
      </c>
      <c r="E37" s="806"/>
      <c r="F37" s="804"/>
      <c r="G37" s="455"/>
      <c r="H37" s="811"/>
      <c r="I37" s="475"/>
      <c r="J37" s="453" t="str">
        <f>IF($D37=INDEX(Yes_No_Choice[],1),INDEX(Equipment_Utitliy_Specs_Units[],MATCH($I$5,Equipment_Utility_Spec_List,0),2),"")</f>
        <v/>
      </c>
      <c r="K37" s="474"/>
      <c r="L37" s="453" t="str">
        <f>IF($D37=INDEX(Yes_No_Choice[],1),INDEX(Equipment_Utitliy_Specs_Units[],MATCH($K$5,Equipment_Utility_Spec_List,0),2),"")</f>
        <v/>
      </c>
      <c r="M37" s="474"/>
      <c r="N37" s="453" t="str">
        <f>IF($D37=INDEX(Yes_No_Choice[],1),INDEX(Equipment_Utitliy_Specs_Units[],MATCH($M$5,Equipment_Utility_Spec_List,0),2),"")</f>
        <v/>
      </c>
      <c r="O37" s="475"/>
      <c r="P37" s="453" t="str">
        <f>IF($D37=INDEX(Yes_No_Choice[],1),INDEX(Equipment_Utitliy_Specs_Units[],MATCH($O$5,Equipment_Utility_Spec_List,0),2),"")</f>
        <v/>
      </c>
      <c r="Q37" s="237"/>
      <c r="R37" s="804" t="s">
        <v>445</v>
      </c>
      <c r="S37" s="807"/>
      <c r="T37" s="817">
        <v>0</v>
      </c>
      <c r="U37" s="461">
        <f>IFERROR(T37/(INDEX(Settings_Currency_Table[],MATCH(General_Currency_Selection,Settings_Currency,0),2)),0)</f>
        <v>0</v>
      </c>
      <c r="V37" s="804"/>
      <c r="W37" s="461">
        <f>U37*'1.0-General input'!$E$111</f>
        <v>0</v>
      </c>
      <c r="X37" s="461">
        <f>IFERROR(('2.2-Equipment input'!$U37-W37)/V37,)</f>
        <v>0</v>
      </c>
      <c r="Y37" s="824"/>
      <c r="Z37" s="473">
        <f>IF(General_EquipmentQuant_Auto="Yes",'2.2-Equipment input'!G37,'2.2-Equipment input'!H37)</f>
        <v>0</v>
      </c>
      <c r="AA37" s="826">
        <v>0</v>
      </c>
      <c r="AB37" s="827">
        <v>0</v>
      </c>
      <c r="AC37" s="827">
        <v>0</v>
      </c>
      <c r="AD37" s="827">
        <v>0</v>
      </c>
      <c r="AE37" s="827">
        <v>0</v>
      </c>
      <c r="AF37" s="827">
        <v>0</v>
      </c>
      <c r="AG37" s="827">
        <v>0</v>
      </c>
      <c r="AH37" s="827">
        <v>0</v>
      </c>
      <c r="AI37" s="827">
        <v>0</v>
      </c>
      <c r="AJ37" s="466">
        <f t="shared" si="0"/>
        <v>0</v>
      </c>
      <c r="AK37" s="501"/>
    </row>
    <row r="38" spans="2:37">
      <c r="B38" s="467" t="s">
        <v>55</v>
      </c>
      <c r="C38" s="804" t="s">
        <v>700</v>
      </c>
      <c r="D38" s="804" t="s">
        <v>444</v>
      </c>
      <c r="E38" s="806">
        <v>2000</v>
      </c>
      <c r="F38" s="804" t="s">
        <v>664</v>
      </c>
      <c r="G38" s="455">
        <f>ROUNDUP('1.0-General input'!$E$15*1000/Staff_Days_Operation/E38,0)</f>
        <v>3</v>
      </c>
      <c r="H38" s="811"/>
      <c r="I38" s="813">
        <v>0</v>
      </c>
      <c r="J38" s="453" t="str">
        <f>IF($D38=INDEX(Yes_No_Choice[],1),INDEX(Equipment_Utitliy_Specs_Units[],MATCH($I$5,Equipment_Utility_Spec_List,0),2),"")</f>
        <v>h</v>
      </c>
      <c r="K38" s="804"/>
      <c r="L38" s="453" t="str">
        <f>IF($D38=INDEX(Yes_No_Choice[],1),INDEX(Equipment_Utitliy_Specs_Units[],MATCH($K$5,Equipment_Utility_Spec_List,0),2),"")</f>
        <v>m3/h</v>
      </c>
      <c r="M38" s="804"/>
      <c r="N38" s="453" t="str">
        <f>IF($D38=INDEX(Yes_No_Choice[],1),INDEX(Equipment_Utitliy_Specs_Units[],MATCH($M$5,Equipment_Utility_Spec_List,0),2),"")</f>
        <v>kW</v>
      </c>
      <c r="O38" s="813"/>
      <c r="P38" s="453" t="str">
        <f>IF($D38=INDEX(Yes_No_Choice[],1),INDEX(Equipment_Utitliy_Specs_Units[],MATCH($O$5,Equipment_Utility_Spec_List,0),2),"")</f>
        <v>kg/h</v>
      </c>
      <c r="Q38" s="783"/>
      <c r="R38" s="804" t="s">
        <v>445</v>
      </c>
      <c r="S38" s="807">
        <f>0.3*0.3</f>
        <v>0.09</v>
      </c>
      <c r="T38" s="817">
        <v>349.99999999999994</v>
      </c>
      <c r="U38" s="461">
        <f>IFERROR(T38/(INDEX(Settings_Currency_Table[],MATCH(General_Currency_Selection,Settings_Currency,0),2)),0)</f>
        <v>349.99999999999994</v>
      </c>
      <c r="V38" s="804">
        <v>5</v>
      </c>
      <c r="W38" s="461">
        <f>U38*'1.0-General input'!$E$111</f>
        <v>0</v>
      </c>
      <c r="X38" s="461">
        <f>IFERROR(('2.2-Equipment input'!$U38-W38)/V38,)</f>
        <v>69.999999999999986</v>
      </c>
      <c r="Y38" s="824"/>
      <c r="Z38" s="473">
        <f>IF(General_EquipmentQuant_Auto="Yes",'2.2-Equipment input'!G38,'2.2-Equipment input'!H38)</f>
        <v>3</v>
      </c>
      <c r="AA38" s="826">
        <v>0.2</v>
      </c>
      <c r="AB38" s="827">
        <v>0.2</v>
      </c>
      <c r="AC38" s="827">
        <v>0.2</v>
      </c>
      <c r="AD38" s="827">
        <v>0.1</v>
      </c>
      <c r="AE38" s="827">
        <v>0.1</v>
      </c>
      <c r="AF38" s="827">
        <v>0</v>
      </c>
      <c r="AG38" s="827">
        <v>0.2</v>
      </c>
      <c r="AH38" s="827">
        <v>0</v>
      </c>
      <c r="AI38" s="827">
        <v>0</v>
      </c>
      <c r="AJ38" s="466">
        <f t="shared" si="0"/>
        <v>1</v>
      </c>
      <c r="AK38" s="501"/>
    </row>
    <row r="39" spans="2:37">
      <c r="B39" s="451" t="s">
        <v>56</v>
      </c>
      <c r="C39" s="804" t="s">
        <v>701</v>
      </c>
      <c r="D39" s="804" t="s">
        <v>444</v>
      </c>
      <c r="E39" s="806">
        <v>2000</v>
      </c>
      <c r="F39" s="804" t="s">
        <v>664</v>
      </c>
      <c r="G39" s="455">
        <f>ROUNDUP('1.0-General input'!$E$15*1000/Staff_Days_Operation/E39,0)</f>
        <v>3</v>
      </c>
      <c r="H39" s="811"/>
      <c r="I39" s="813">
        <v>0</v>
      </c>
      <c r="J39" s="453" t="str">
        <f>IF($D39=INDEX(Yes_No_Choice[],1),INDEX(Equipment_Utitliy_Specs_Units[],MATCH($I$5,Equipment_Utility_Spec_List,0),2),"")</f>
        <v>h</v>
      </c>
      <c r="K39" s="804"/>
      <c r="L39" s="453" t="str">
        <f>IF($D39=INDEX(Yes_No_Choice[],1),INDEX(Equipment_Utitliy_Specs_Units[],MATCH($K$5,Equipment_Utility_Spec_List,0),2),"")</f>
        <v>m3/h</v>
      </c>
      <c r="M39" s="804"/>
      <c r="N39" s="453" t="str">
        <f>IF($D39=INDEX(Yes_No_Choice[],1),INDEX(Equipment_Utitliy_Specs_Units[],MATCH($M$5,Equipment_Utility_Spec_List,0),2),"")</f>
        <v>kW</v>
      </c>
      <c r="O39" s="813"/>
      <c r="P39" s="453" t="str">
        <f>IF($D39=INDEX(Yes_No_Choice[],1),INDEX(Equipment_Utitliy_Specs_Units[],MATCH($O$5,Equipment_Utility_Spec_List,0),2),"")</f>
        <v>kg/h</v>
      </c>
      <c r="Q39" s="783"/>
      <c r="R39" s="804" t="s">
        <v>445</v>
      </c>
      <c r="S39" s="807">
        <f>0.25*0.15</f>
        <v>3.7499999999999999E-2</v>
      </c>
      <c r="T39" s="817">
        <v>209.99999999999997</v>
      </c>
      <c r="U39" s="461">
        <f>IFERROR(T39/(INDEX(Settings_Currency_Table[],MATCH(General_Currency_Selection,Settings_Currency,0),2)),0)</f>
        <v>209.99999999999997</v>
      </c>
      <c r="V39" s="804">
        <v>5</v>
      </c>
      <c r="W39" s="461">
        <f>U39*'1.0-General input'!$E$111</f>
        <v>0</v>
      </c>
      <c r="X39" s="461">
        <f>IFERROR(('2.2-Equipment input'!$U39-W39)/V39,)</f>
        <v>41.999999999999993</v>
      </c>
      <c r="Y39" s="824"/>
      <c r="Z39" s="473">
        <f>IF(General_EquipmentQuant_Auto="Yes",'2.2-Equipment input'!G39,'2.2-Equipment input'!H39)</f>
        <v>3</v>
      </c>
      <c r="AA39" s="826">
        <v>0</v>
      </c>
      <c r="AB39" s="827">
        <v>0</v>
      </c>
      <c r="AC39" s="827">
        <v>0</v>
      </c>
      <c r="AD39" s="827">
        <v>0.5</v>
      </c>
      <c r="AE39" s="827">
        <v>0.5</v>
      </c>
      <c r="AF39" s="827">
        <v>0</v>
      </c>
      <c r="AG39" s="827">
        <v>0</v>
      </c>
      <c r="AH39" s="827">
        <v>0</v>
      </c>
      <c r="AI39" s="827">
        <v>0</v>
      </c>
      <c r="AJ39" s="466">
        <f t="shared" si="0"/>
        <v>1</v>
      </c>
      <c r="AK39" s="501"/>
    </row>
    <row r="40" spans="2:37">
      <c r="B40" s="467" t="s">
        <v>57</v>
      </c>
      <c r="C40" s="804" t="s">
        <v>126</v>
      </c>
      <c r="D40" s="804" t="s">
        <v>444</v>
      </c>
      <c r="E40" s="806">
        <v>16</v>
      </c>
      <c r="F40" s="804" t="s">
        <v>702</v>
      </c>
      <c r="G40" s="455">
        <f>ROUNDUP(G22/E40,0)</f>
        <v>2</v>
      </c>
      <c r="H40" s="811"/>
      <c r="I40" s="813">
        <f>IFERROR(G22/4,0)</f>
        <v>5</v>
      </c>
      <c r="J40" s="453" t="str">
        <f>IF($D40=INDEX(Yes_No_Choice[],1),INDEX(Equipment_Utitliy_Specs_Units[],MATCH($I$5,Equipment_Utility_Spec_List,0),2),"")</f>
        <v>h</v>
      </c>
      <c r="K40" s="804"/>
      <c r="L40" s="453" t="str">
        <f>IF($D40=INDEX(Yes_No_Choice[],1),INDEX(Equipment_Utitliy_Specs_Units[],MATCH($K$5,Equipment_Utility_Spec_List,0),2),"")</f>
        <v>m3/h</v>
      </c>
      <c r="M40" s="804">
        <v>1.7</v>
      </c>
      <c r="N40" s="453" t="str">
        <f>IF($D40=INDEX(Yes_No_Choice[],1),INDEX(Equipment_Utitliy_Specs_Units[],MATCH($M$5,Equipment_Utility_Spec_List,0),2),"")</f>
        <v>kW</v>
      </c>
      <c r="O40" s="813"/>
      <c r="P40" s="453" t="str">
        <f>IF($D40=INDEX(Yes_No_Choice[],1),INDEX(Equipment_Utitliy_Specs_Units[],MATCH($O$5,Equipment_Utility_Spec_List,0),2),"")</f>
        <v>kg/h</v>
      </c>
      <c r="Q40" s="783"/>
      <c r="R40" s="804" t="s">
        <v>445</v>
      </c>
      <c r="S40" s="807"/>
      <c r="T40" s="817">
        <v>181.99999999999997</v>
      </c>
      <c r="U40" s="461">
        <f>IFERROR(T40/(INDEX(Settings_Currency_Table[],MATCH(General_Currency_Selection,Settings_Currency,0),2)),0)</f>
        <v>181.99999999999997</v>
      </c>
      <c r="V40" s="804">
        <v>3</v>
      </c>
      <c r="W40" s="461">
        <f>U40*'1.0-General input'!$E$111</f>
        <v>0</v>
      </c>
      <c r="X40" s="461">
        <f>IFERROR(('2.2-Equipment input'!$U40-W40)/V40,)</f>
        <v>60.666666666666657</v>
      </c>
      <c r="Y40" s="824"/>
      <c r="Z40" s="473">
        <f>IF(General_EquipmentQuant_Auto="Yes",'2.2-Equipment input'!G40,'2.2-Equipment input'!H40)</f>
        <v>2</v>
      </c>
      <c r="AA40" s="826">
        <v>0</v>
      </c>
      <c r="AB40" s="827">
        <v>0</v>
      </c>
      <c r="AC40" s="827">
        <v>0</v>
      </c>
      <c r="AD40" s="827">
        <v>1</v>
      </c>
      <c r="AE40" s="827">
        <v>0</v>
      </c>
      <c r="AF40" s="827">
        <v>0</v>
      </c>
      <c r="AG40" s="827">
        <v>0</v>
      </c>
      <c r="AH40" s="827">
        <v>0</v>
      </c>
      <c r="AI40" s="827">
        <v>0</v>
      </c>
      <c r="AJ40" s="466">
        <f t="shared" si="0"/>
        <v>1</v>
      </c>
      <c r="AK40" s="501"/>
    </row>
    <row r="41" spans="2:37">
      <c r="B41" s="451" t="s">
        <v>58</v>
      </c>
      <c r="C41" s="804" t="s">
        <v>200</v>
      </c>
      <c r="D41" s="804" t="s">
        <v>444</v>
      </c>
      <c r="E41" s="806">
        <v>512</v>
      </c>
      <c r="F41" s="804" t="s">
        <v>665</v>
      </c>
      <c r="G41" s="455">
        <f>ROUNDUP(G19/E41,0)</f>
        <v>1</v>
      </c>
      <c r="H41" s="811"/>
      <c r="I41" s="814">
        <f>IFERROR($G$9/E41/8*G41,0)</f>
        <v>1.220703125</v>
      </c>
      <c r="J41" s="453" t="str">
        <f>IF($D41=INDEX(Yes_No_Choice[],1),INDEX(Equipment_Utitliy_Specs_Units[],MATCH($I$5,Equipment_Utility_Spec_List,0),2),"")</f>
        <v>h</v>
      </c>
      <c r="K41" s="804"/>
      <c r="L41" s="453" t="str">
        <f>IF($D41=INDEX(Yes_No_Choice[],1),INDEX(Equipment_Utitliy_Specs_Units[],MATCH($K$5,Equipment_Utility_Spec_List,0),2),"")</f>
        <v>m3/h</v>
      </c>
      <c r="M41" s="804">
        <v>5.5</v>
      </c>
      <c r="N41" s="453" t="str">
        <f>IF($D41=INDEX(Yes_No_Choice[],1),INDEX(Equipment_Utitliy_Specs_Units[],MATCH($M$5,Equipment_Utility_Spec_List,0),2),"")</f>
        <v>kW</v>
      </c>
      <c r="O41" s="813"/>
      <c r="P41" s="453" t="str">
        <f>IF($D41=INDEX(Yes_No_Choice[],1),INDEX(Equipment_Utitliy_Specs_Units[],MATCH($O$5,Equipment_Utility_Spec_List,0),2),"")</f>
        <v>kg/h</v>
      </c>
      <c r="Q41" s="783"/>
      <c r="R41" s="804" t="s">
        <v>444</v>
      </c>
      <c r="S41" s="807">
        <f>2*2</f>
        <v>4</v>
      </c>
      <c r="T41" s="817">
        <v>560</v>
      </c>
      <c r="U41" s="461">
        <f>IFERROR(T41/(INDEX(Settings_Currency_Table[],MATCH(General_Currency_Selection,Settings_Currency,0),2)),0)</f>
        <v>560</v>
      </c>
      <c r="V41" s="804">
        <v>5</v>
      </c>
      <c r="W41" s="461">
        <f>U41*'1.0-General input'!$E$111</f>
        <v>0</v>
      </c>
      <c r="X41" s="461">
        <f>IFERROR(('2.2-Equipment input'!$U41-W41)/V41,)</f>
        <v>112</v>
      </c>
      <c r="Y41" s="824"/>
      <c r="Z41" s="473">
        <f>IF(General_EquipmentQuant_Auto="Yes",'2.2-Equipment input'!G41,'2.2-Equipment input'!H41)</f>
        <v>1</v>
      </c>
      <c r="AA41" s="826">
        <v>0</v>
      </c>
      <c r="AB41" s="827">
        <v>0</v>
      </c>
      <c r="AC41" s="827">
        <v>0</v>
      </c>
      <c r="AD41" s="827">
        <v>0.5</v>
      </c>
      <c r="AE41" s="827">
        <v>0.5</v>
      </c>
      <c r="AF41" s="827">
        <v>0</v>
      </c>
      <c r="AG41" s="827">
        <v>0</v>
      </c>
      <c r="AH41" s="827">
        <v>0</v>
      </c>
      <c r="AI41" s="827">
        <v>0</v>
      </c>
      <c r="AJ41" s="466">
        <f t="shared" ref="AJ41:AJ70" si="1">SUM(AA41:AI41)</f>
        <v>1</v>
      </c>
      <c r="AK41" s="501"/>
    </row>
    <row r="42" spans="2:37">
      <c r="B42" s="467" t="s">
        <v>59</v>
      </c>
      <c r="C42" s="804" t="s">
        <v>625</v>
      </c>
      <c r="D42" s="804" t="s">
        <v>444</v>
      </c>
      <c r="E42" s="806">
        <v>6</v>
      </c>
      <c r="F42" s="807" t="s">
        <v>711</v>
      </c>
      <c r="G42" s="455">
        <f>'5.3-Unit SG&amp;A'!D39/E42</f>
        <v>19.898611111111109</v>
      </c>
      <c r="H42" s="811"/>
      <c r="I42" s="813">
        <v>4</v>
      </c>
      <c r="J42" s="453" t="str">
        <f>IF($D42=INDEX(Yes_No_Choice[],1),INDEX(Equipment_Utitliy_Specs_Units[],MATCH($I$5,Equipment_Utility_Spec_List,0),2),"")</f>
        <v>h</v>
      </c>
      <c r="K42" s="804"/>
      <c r="L42" s="453" t="str">
        <f>IF($D42=INDEX(Yes_No_Choice[],1),INDEX(Equipment_Utitliy_Specs_Units[],MATCH($K$5,Equipment_Utility_Spec_List,0),2),"")</f>
        <v>m3/h</v>
      </c>
      <c r="M42" s="804">
        <v>0.24</v>
      </c>
      <c r="N42" s="453" t="str">
        <f>IF($D42=INDEX(Yes_No_Choice[],1),INDEX(Equipment_Utitliy_Specs_Units[],MATCH($M$5,Equipment_Utility_Spec_List,0),2),"")</f>
        <v>kW</v>
      </c>
      <c r="O42" s="813"/>
      <c r="P42" s="453" t="str">
        <f>IF($D42=INDEX(Yes_No_Choice[],1),INDEX(Equipment_Utitliy_Specs_Units[],MATCH($O$5,Equipment_Utility_Spec_List,0),2),"")</f>
        <v>kg/h</v>
      </c>
      <c r="Q42" s="783"/>
      <c r="R42" s="804" t="s">
        <v>445</v>
      </c>
      <c r="S42" s="807"/>
      <c r="T42" s="817">
        <v>0</v>
      </c>
      <c r="U42" s="461">
        <f>IFERROR(T42/(INDEX(Settings_Currency_Table[],MATCH(General_Currency_Selection,Settings_Currency,0),2)),0)</f>
        <v>0</v>
      </c>
      <c r="V42" s="804"/>
      <c r="W42" s="461">
        <f>U42*'1.0-General input'!$E$111</f>
        <v>0</v>
      </c>
      <c r="X42" s="461">
        <f>IFERROR(('2.2-Equipment input'!$U42-W42)/V42,)</f>
        <v>0</v>
      </c>
      <c r="Y42" s="824"/>
      <c r="Z42" s="473">
        <f>IF(General_EquipmentQuant_Auto="Yes",'2.2-Equipment input'!G42,'2.2-Equipment input'!H42)</f>
        <v>19.898611111111109</v>
      </c>
      <c r="AA42" s="826">
        <v>0</v>
      </c>
      <c r="AB42" s="827">
        <v>0</v>
      </c>
      <c r="AC42" s="827">
        <v>0</v>
      </c>
      <c r="AD42" s="827">
        <v>0.5</v>
      </c>
      <c r="AE42" s="827">
        <v>0.5</v>
      </c>
      <c r="AF42" s="827">
        <v>0</v>
      </c>
      <c r="AG42" s="827">
        <v>0</v>
      </c>
      <c r="AH42" s="827">
        <v>0</v>
      </c>
      <c r="AI42" s="827">
        <v>0</v>
      </c>
      <c r="AJ42" s="466">
        <f t="shared" si="1"/>
        <v>1</v>
      </c>
      <c r="AK42" s="501"/>
    </row>
    <row r="43" spans="2:37">
      <c r="B43" s="451" t="s">
        <v>60</v>
      </c>
      <c r="C43" s="804"/>
      <c r="D43" s="804" t="s">
        <v>445</v>
      </c>
      <c r="E43" s="806"/>
      <c r="F43" s="804"/>
      <c r="G43" s="455"/>
      <c r="H43" s="811"/>
      <c r="I43" s="475"/>
      <c r="J43" s="453" t="str">
        <f>IF($D43=INDEX(Yes_No_Choice[],1),INDEX(Equipment_Utitliy_Specs_Units[],MATCH($I$5,Equipment_Utility_Spec_List,0),2),"")</f>
        <v/>
      </c>
      <c r="K43" s="474"/>
      <c r="L43" s="453" t="str">
        <f>IF($D43=INDEX(Yes_No_Choice[],1),INDEX(Equipment_Utitliy_Specs_Units[],MATCH($K$5,Equipment_Utility_Spec_List,0),2),"")</f>
        <v/>
      </c>
      <c r="M43" s="474"/>
      <c r="N43" s="453" t="str">
        <f>IF($D43=INDEX(Yes_No_Choice[],1),INDEX(Equipment_Utitliy_Specs_Units[],MATCH($M$5,Equipment_Utility_Spec_List,0),2),"")</f>
        <v/>
      </c>
      <c r="O43" s="475"/>
      <c r="P43" s="453" t="str">
        <f>IF($D43=INDEX(Yes_No_Choice[],1),INDEX(Equipment_Utitliy_Specs_Units[],MATCH($O$5,Equipment_Utility_Spec_List,0),2),"")</f>
        <v/>
      </c>
      <c r="Q43" s="237"/>
      <c r="R43" s="804" t="s">
        <v>445</v>
      </c>
      <c r="S43" s="806"/>
      <c r="T43" s="817">
        <v>0</v>
      </c>
      <c r="U43" s="461">
        <f>IFERROR(T43/(INDEX(Settings_Currency_Table[],MATCH(General_Currency_Selection,Settings_Currency,0),2)),0)</f>
        <v>0</v>
      </c>
      <c r="V43" s="804"/>
      <c r="W43" s="461">
        <f>U43*'1.0-General input'!$E$111</f>
        <v>0</v>
      </c>
      <c r="X43" s="461">
        <f>IFERROR(('2.2-Equipment input'!$U43-W43)/V43,)</f>
        <v>0</v>
      </c>
      <c r="Y43" s="824"/>
      <c r="Z43" s="473">
        <v>0</v>
      </c>
      <c r="AA43" s="826">
        <v>0</v>
      </c>
      <c r="AB43" s="827">
        <v>0</v>
      </c>
      <c r="AC43" s="827">
        <v>0</v>
      </c>
      <c r="AD43" s="827">
        <v>0</v>
      </c>
      <c r="AE43" s="827">
        <v>0</v>
      </c>
      <c r="AF43" s="827">
        <v>0</v>
      </c>
      <c r="AG43" s="827">
        <v>0</v>
      </c>
      <c r="AH43" s="827">
        <v>0</v>
      </c>
      <c r="AI43" s="827">
        <v>0</v>
      </c>
      <c r="AJ43" s="466">
        <f t="shared" si="1"/>
        <v>0</v>
      </c>
      <c r="AK43" s="501"/>
    </row>
    <row r="44" spans="2:37">
      <c r="B44" s="467" t="s">
        <v>61</v>
      </c>
      <c r="C44" s="804" t="s">
        <v>557</v>
      </c>
      <c r="D44" s="808" t="s">
        <v>444</v>
      </c>
      <c r="E44" s="808">
        <v>320</v>
      </c>
      <c r="F44" s="804" t="s">
        <v>1035</v>
      </c>
      <c r="G44" s="455">
        <f>IF('1.0-General input'!$E$22&gt;0,ROUNDUP((General_FreshLarvae_Postproc*1000*('1.0-General input'!$E$22+'1.0-General input'!$E$23))/Staff_Days_Operation/'2.2-Equipment input'!E44,0),IF('1.0-General input'!$E$23&gt;0,ROUNDUP((General_FreshLarvae_Postproc*1000/Staff_Days_Operation*'1.0-General input'!$E$23)/'2.2-Equipment input'!E44,0),0))</f>
        <v>0</v>
      </c>
      <c r="H44" s="811"/>
      <c r="I44" s="814">
        <f>IFERROR(('1.0-General input'!$D$51*('1.0-General input'!$E$22+'1.0-General input'!$E$23)*1000/Staff_Days_Operation)/(E44/8*G44),0)</f>
        <v>0</v>
      </c>
      <c r="J44" s="453" t="str">
        <f>IF($D44=INDEX(Yes_No_Choice[],1),INDEX(Equipment_Utitliy_Specs_Units[],MATCH($I$5,Equipment_Utility_Spec_List,0),2),"")</f>
        <v>h</v>
      </c>
      <c r="K44" s="804">
        <v>0.09</v>
      </c>
      <c r="L44" s="453" t="str">
        <f>IF($D44=INDEX(Yes_No_Choice[],1),INDEX(Equipment_Utitliy_Specs_Units[],MATCH($K$5,Equipment_Utility_Spec_List,0),2),"")</f>
        <v>m3/h</v>
      </c>
      <c r="M44" s="804"/>
      <c r="N44" s="453" t="str">
        <f>IF($D44=INDEX(Yes_No_Choice[],1),INDEX(Equipment_Utitliy_Specs_Units[],MATCH($M$5,Equipment_Utility_Spec_List,0),2),"")</f>
        <v>kW</v>
      </c>
      <c r="O44" s="816">
        <v>0.5</v>
      </c>
      <c r="P44" s="453" t="str">
        <f>IF($D44=INDEX(Yes_No_Choice[],1),INDEX(Equipment_Utitliy_Specs_Units[],MATCH($O$5,Equipment_Utility_Spec_List,0),2),"")</f>
        <v>kg/h</v>
      </c>
      <c r="Q44" s="783" t="s">
        <v>522</v>
      </c>
      <c r="R44" s="804" t="s">
        <v>444</v>
      </c>
      <c r="S44" s="806">
        <f>1*1</f>
        <v>1</v>
      </c>
      <c r="T44" s="818">
        <v>47.879999999999995</v>
      </c>
      <c r="U44" s="461">
        <f>IFERROR(T44/(INDEX(Settings_Currency_Table[],MATCH(General_Currency_Selection,Settings_Currency,0),2)),0)</f>
        <v>47.879999999999995</v>
      </c>
      <c r="V44" s="804">
        <v>2</v>
      </c>
      <c r="W44" s="461">
        <f>U44*'1.0-General input'!$E$111</f>
        <v>0</v>
      </c>
      <c r="X44" s="461">
        <f>IFERROR(('2.2-Equipment input'!$U44-W44)/V44,)</f>
        <v>23.939999999999998</v>
      </c>
      <c r="Y44" s="824"/>
      <c r="Z44" s="473">
        <f>IF(General_EquipmentQuant_Auto="Yes",'2.2-Equipment input'!G44,'2.2-Equipment input'!H44)</f>
        <v>0</v>
      </c>
      <c r="AA44" s="826">
        <v>0</v>
      </c>
      <c r="AB44" s="827">
        <v>0</v>
      </c>
      <c r="AC44" s="827">
        <v>0</v>
      </c>
      <c r="AD44" s="827">
        <v>0</v>
      </c>
      <c r="AE44" s="827">
        <v>0</v>
      </c>
      <c r="AF44" s="827">
        <v>0</v>
      </c>
      <c r="AG44" s="827">
        <v>1</v>
      </c>
      <c r="AH44" s="827">
        <v>0</v>
      </c>
      <c r="AI44" s="827">
        <v>0</v>
      </c>
      <c r="AJ44" s="466">
        <f t="shared" si="1"/>
        <v>1</v>
      </c>
      <c r="AK44" s="501"/>
    </row>
    <row r="45" spans="2:37">
      <c r="B45" s="451" t="s">
        <v>124</v>
      </c>
      <c r="C45" s="804" t="s">
        <v>737</v>
      </c>
      <c r="D45" s="804" t="s">
        <v>444</v>
      </c>
      <c r="E45" s="804">
        <v>210</v>
      </c>
      <c r="F45" s="804" t="s">
        <v>738</v>
      </c>
      <c r="G45" s="455">
        <f>IF('1.0-General input'!$E$22&gt;0,ROUNDUP((General_FreshLarvae_Postproc*1000*('1.0-General input'!$E$22+'1.0-General input'!$E$23))/Staff_Days_Operation/'2.2-Equipment input'!E45,0),IF('1.0-General input'!$E$23&gt;0,ROUNDUP((General_FreshLarvae_Postproc*1000/Staff_Days_Operation*'1.0-General input'!$E$23)/'2.2-Equipment input'!E45,0),0))</f>
        <v>0</v>
      </c>
      <c r="H45" s="811"/>
      <c r="I45" s="814">
        <f>IFERROR(('1.0-General input'!$D$51*('1.0-General input'!$E$22+'1.0-General input'!$E$23)*1000/Staff_Days_Operation)/(E45/8*G45),0)</f>
        <v>0</v>
      </c>
      <c r="J45" s="453" t="str">
        <f>IF($D45=INDEX(Yes_No_Choice[],1),INDEX(Equipment_Utitliy_Specs_Units[],MATCH($I$5,Equipment_Utility_Spec_List,0),2),"")</f>
        <v>h</v>
      </c>
      <c r="K45" s="804"/>
      <c r="L45" s="453" t="str">
        <f>IF($D45=INDEX(Yes_No_Choice[],1),INDEX(Equipment_Utitliy_Specs_Units[],MATCH($K$5,Equipment_Utility_Spec_List,0),2),"")</f>
        <v>m3/h</v>
      </c>
      <c r="M45" s="804">
        <v>30</v>
      </c>
      <c r="N45" s="453" t="str">
        <f>IF($D45=INDEX(Yes_No_Choice[],1),INDEX(Equipment_Utitliy_Specs_Units[],MATCH($M$5,Equipment_Utility_Spec_List,0),2),"")</f>
        <v>kW</v>
      </c>
      <c r="O45" s="804"/>
      <c r="P45" s="453" t="str">
        <f>IF($D45=INDEX(Yes_No_Choice[],1),INDEX(Equipment_Utitliy_Specs_Units[],MATCH($O$5,Equipment_Utility_Spec_List,0),2),"")</f>
        <v>kg/h</v>
      </c>
      <c r="Q45" s="783"/>
      <c r="R45" s="804" t="s">
        <v>444</v>
      </c>
      <c r="S45" s="807">
        <f>1.92*1.32</f>
        <v>2.5344000000000002</v>
      </c>
      <c r="T45" s="819">
        <v>12949.999999999998</v>
      </c>
      <c r="U45" s="461">
        <f>IFERROR(T45/(INDEX(Settings_Currency_Table[],MATCH(General_Currency_Selection,Settings_Currency,0),2)),0)</f>
        <v>12949.999999999998</v>
      </c>
      <c r="V45" s="804">
        <v>5</v>
      </c>
      <c r="W45" s="461">
        <f>U45*'1.0-General input'!$E$111</f>
        <v>0</v>
      </c>
      <c r="X45" s="461">
        <f>IFERROR(('2.2-Equipment input'!$U45-W45)/V45,)</f>
        <v>2589.9999999999995</v>
      </c>
      <c r="Y45" s="825"/>
      <c r="Z45" s="473">
        <f>IF(General_EquipmentQuant_Auto="Yes",'2.2-Equipment input'!G45,'2.2-Equipment input'!H45)</f>
        <v>0</v>
      </c>
      <c r="AA45" s="826">
        <v>0</v>
      </c>
      <c r="AB45" s="827">
        <v>0</v>
      </c>
      <c r="AC45" s="827">
        <v>0</v>
      </c>
      <c r="AD45" s="827">
        <v>0</v>
      </c>
      <c r="AE45" s="827">
        <v>0</v>
      </c>
      <c r="AF45" s="827">
        <v>0</v>
      </c>
      <c r="AG45" s="827">
        <v>1</v>
      </c>
      <c r="AH45" s="827">
        <v>0</v>
      </c>
      <c r="AI45" s="827">
        <v>0</v>
      </c>
      <c r="AJ45" s="466">
        <f t="shared" si="1"/>
        <v>1</v>
      </c>
      <c r="AK45" s="501"/>
    </row>
    <row r="46" spans="2:37">
      <c r="B46" s="467" t="s">
        <v>453</v>
      </c>
      <c r="C46" s="804" t="s">
        <v>586</v>
      </c>
      <c r="D46" s="804" t="s">
        <v>444</v>
      </c>
      <c r="E46" s="804">
        <v>160</v>
      </c>
      <c r="F46" s="804" t="s">
        <v>779</v>
      </c>
      <c r="G46" s="455">
        <f>IF('1.0-General input'!$E$23&gt;0,ROUNDUP(('1.0-General input'!$D$51*1000/Staff_Days_Operation*'1.0-General input'!E23)/'2.2-Equipment input'!E46,0),0)</f>
        <v>0</v>
      </c>
      <c r="H46" s="811"/>
      <c r="I46" s="814">
        <f>IFERROR(('1.0-General input'!$D$51*'1.0-General input'!$E$23*1000/Staff_Days_Operation)/(E46/8*G46),0)</f>
        <v>0</v>
      </c>
      <c r="J46" s="453" t="str">
        <f>IF($D46=INDEX(Yes_No_Choice[],1),INDEX(Equipment_Utitliy_Specs_Units[],MATCH($I$5,Equipment_Utility_Spec_List,0),2),"")</f>
        <v>h</v>
      </c>
      <c r="K46" s="804"/>
      <c r="L46" s="453" t="str">
        <f>IF($D46=INDEX(Yes_No_Choice[],1),INDEX(Equipment_Utitliy_Specs_Units[],MATCH($K$5,Equipment_Utility_Spec_List,0),2),"")</f>
        <v>m3/h</v>
      </c>
      <c r="M46" s="804">
        <v>5.5</v>
      </c>
      <c r="N46" s="453" t="str">
        <f>IF($D46=INDEX(Yes_No_Choice[],1),INDEX(Equipment_Utitliy_Specs_Units[],MATCH($M$5,Equipment_Utility_Spec_List,0),2),"")</f>
        <v>kW</v>
      </c>
      <c r="O46" s="804"/>
      <c r="P46" s="453" t="str">
        <f>IF($D46=INDEX(Yes_No_Choice[],1),INDEX(Equipment_Utitliy_Specs_Units[],MATCH($O$5,Equipment_Utility_Spec_List,0),2),"")</f>
        <v>kg/h</v>
      </c>
      <c r="Q46" s="783"/>
      <c r="R46" s="804" t="s">
        <v>444</v>
      </c>
      <c r="S46" s="806">
        <f>1.5*1.3</f>
        <v>1.9500000000000002</v>
      </c>
      <c r="T46" s="819">
        <v>2939.9999999999995</v>
      </c>
      <c r="U46" s="461">
        <f>IFERROR(T46/(INDEX(Settings_Currency_Table[],MATCH(General_Currency_Selection,Settings_Currency,0),2)),0)</f>
        <v>2939.9999999999995</v>
      </c>
      <c r="V46" s="804">
        <v>5</v>
      </c>
      <c r="W46" s="461">
        <f>U46*'1.0-General input'!$E$111</f>
        <v>0</v>
      </c>
      <c r="X46" s="461">
        <f>IFERROR(('2.2-Equipment input'!$U46-W46)/V46,)</f>
        <v>587.99999999999989</v>
      </c>
      <c r="Y46" s="824"/>
      <c r="Z46" s="473">
        <f>IF(General_EquipmentQuant_Auto="Yes",'2.2-Equipment input'!G46,'2.2-Equipment input'!H46)</f>
        <v>0</v>
      </c>
      <c r="AA46" s="826">
        <v>0</v>
      </c>
      <c r="AB46" s="827">
        <v>0</v>
      </c>
      <c r="AC46" s="827">
        <v>0</v>
      </c>
      <c r="AD46" s="827">
        <v>0</v>
      </c>
      <c r="AE46" s="827">
        <v>0</v>
      </c>
      <c r="AF46" s="827">
        <v>0</v>
      </c>
      <c r="AG46" s="827">
        <v>1</v>
      </c>
      <c r="AH46" s="827">
        <v>0</v>
      </c>
      <c r="AI46" s="827">
        <v>0</v>
      </c>
      <c r="AJ46" s="466">
        <f t="shared" si="1"/>
        <v>1</v>
      </c>
      <c r="AK46" s="501"/>
    </row>
    <row r="47" spans="2:37">
      <c r="B47" s="451" t="s">
        <v>454</v>
      </c>
      <c r="C47" s="804" t="s">
        <v>587</v>
      </c>
      <c r="D47" s="804" t="s">
        <v>444</v>
      </c>
      <c r="E47" s="804">
        <v>135</v>
      </c>
      <c r="F47" s="804" t="s">
        <v>740</v>
      </c>
      <c r="G47" s="455">
        <f>IF('1.0-General input'!$E$23&gt;0,ROUNDUP(('1.0-General input'!D51*1000/Staff_Days_Operation*'1.0-General input'!E23*'4.1-Settings Database'!J40)/'2.2-Equipment input'!E47,0),0)</f>
        <v>0</v>
      </c>
      <c r="H47" s="811"/>
      <c r="I47" s="815">
        <f>IFERROR(('1.0-General input'!$D$51*1000/Staff_Days_Operation*'1.0-General input'!$E$23*'4.1-Settings Database'!$J$40)/(E47/8*G47),0)</f>
        <v>0</v>
      </c>
      <c r="J47" s="453" t="str">
        <f>IF($D47=INDEX(Yes_No_Choice[],1),INDEX(Equipment_Utitliy_Specs_Units[],MATCH($I$5,Equipment_Utility_Spec_List,0),2),"")</f>
        <v>h</v>
      </c>
      <c r="K47" s="804"/>
      <c r="L47" s="453" t="str">
        <f>IF($D47=INDEX(Yes_No_Choice[],1),INDEX(Equipment_Utitliy_Specs_Units[],MATCH($K$5,Equipment_Utility_Spec_List,0),2),"")</f>
        <v>m3/h</v>
      </c>
      <c r="M47" s="804">
        <v>1.8</v>
      </c>
      <c r="N47" s="453" t="str">
        <f>IF($D47=INDEX(Yes_No_Choice[],1),INDEX(Equipment_Utitliy_Specs_Units[],MATCH($M$5,Equipment_Utility_Spec_List,0),2),"")</f>
        <v>kW</v>
      </c>
      <c r="O47" s="804"/>
      <c r="P47" s="453" t="str">
        <f>IF($D47=INDEX(Yes_No_Choice[],1),INDEX(Equipment_Utitliy_Specs_Units[],MATCH($O$5,Equipment_Utility_Spec_List,0),2),"")</f>
        <v>kg/h</v>
      </c>
      <c r="Q47" s="783"/>
      <c r="R47" s="804" t="s">
        <v>444</v>
      </c>
      <c r="S47" s="806">
        <f>0.58*0.52</f>
        <v>0.30159999999999998</v>
      </c>
      <c r="T47" s="819">
        <v>328.99999999999994</v>
      </c>
      <c r="U47" s="461">
        <f>IFERROR(T47/(INDEX(Settings_Currency_Table[],MATCH(General_Currency_Selection,Settings_Currency,0),2)),0)</f>
        <v>328.99999999999994</v>
      </c>
      <c r="V47" s="804">
        <v>5</v>
      </c>
      <c r="W47" s="461">
        <f>U47*'1.0-General input'!$E$111</f>
        <v>0</v>
      </c>
      <c r="X47" s="461">
        <f>IFERROR(('2.2-Equipment input'!$U47-W47)/V47,)</f>
        <v>65.799999999999983</v>
      </c>
      <c r="Y47" s="824"/>
      <c r="Z47" s="473">
        <f>IF(General_EquipmentQuant_Auto="Yes",'2.2-Equipment input'!G47,'2.2-Equipment input'!H47)</f>
        <v>0</v>
      </c>
      <c r="AA47" s="826">
        <v>0</v>
      </c>
      <c r="AB47" s="827">
        <v>0</v>
      </c>
      <c r="AC47" s="827">
        <v>0</v>
      </c>
      <c r="AD47" s="827">
        <v>0</v>
      </c>
      <c r="AE47" s="827">
        <v>0</v>
      </c>
      <c r="AF47" s="827">
        <v>0</v>
      </c>
      <c r="AG47" s="827">
        <v>1</v>
      </c>
      <c r="AH47" s="827">
        <v>0</v>
      </c>
      <c r="AI47" s="827">
        <v>0</v>
      </c>
      <c r="AJ47" s="466">
        <f t="shared" si="1"/>
        <v>1</v>
      </c>
      <c r="AK47" s="501"/>
    </row>
    <row r="48" spans="2:37">
      <c r="B48" s="467" t="s">
        <v>455</v>
      </c>
      <c r="C48" s="804" t="s">
        <v>588</v>
      </c>
      <c r="D48" s="804" t="s">
        <v>444</v>
      </c>
      <c r="E48" s="804">
        <v>0</v>
      </c>
      <c r="F48" s="804" t="s">
        <v>739</v>
      </c>
      <c r="G48" s="455">
        <f>IFERROR(IF('1.0-General input'!$E$22&gt;0,ROUNDUP('1.0-General input'!$D$51*('1.0-General input'!$E$22+'1.0-General input'!$E$23)*1000/Staff_Days_Operation/'2.2-Equipment input'!E48,0),IF('1.0-General input'!$E$23&gt;0,ROUNDUP('1.0-General input'!$D$51*'1.0-General input'!$E$23*1000/Staff_Days_Operation/'2.2-Equipment input'!E48,0),0)),0)</f>
        <v>0</v>
      </c>
      <c r="H48" s="811"/>
      <c r="I48" s="814">
        <f>IFERROR(('1.0-General input'!$D$51*('1.0-General input'!$E$22+'1.0-General input'!$E$23)*1000/Staff_Days_Operation)/(E48/8*G48),0)</f>
        <v>0</v>
      </c>
      <c r="J48" s="453" t="str">
        <f>IF($D48=INDEX(Yes_No_Choice[],1),INDEX(Equipment_Utitliy_Specs_Units[],MATCH($I$5,Equipment_Utility_Spec_List,0),2),"")</f>
        <v>h</v>
      </c>
      <c r="K48" s="804"/>
      <c r="L48" s="453" t="str">
        <f>IF($D48=INDEX(Yes_No_Choice[],1),INDEX(Equipment_Utitliy_Specs_Units[],MATCH($K$5,Equipment_Utility_Spec_List,0),2),"")</f>
        <v>m3/h</v>
      </c>
      <c r="M48" s="804">
        <v>0.3</v>
      </c>
      <c r="N48" s="453" t="str">
        <f>IF($D48=INDEX(Yes_No_Choice[],1),INDEX(Equipment_Utitliy_Specs_Units[],MATCH($M$5,Equipment_Utility_Spec_List,0),2),"")</f>
        <v>kW</v>
      </c>
      <c r="O48" s="804">
        <v>1.5</v>
      </c>
      <c r="P48" s="453" t="str">
        <f>IF($D48=INDEX(Yes_No_Choice[],1),INDEX(Equipment_Utitliy_Specs_Units[],MATCH($O$5,Equipment_Utility_Spec_List,0),2),"")</f>
        <v>kg/h</v>
      </c>
      <c r="Q48" s="783" t="s">
        <v>522</v>
      </c>
      <c r="R48" s="804" t="s">
        <v>444</v>
      </c>
      <c r="S48" s="806">
        <f>3*2</f>
        <v>6</v>
      </c>
      <c r="T48" s="819">
        <v>1399.9999999999998</v>
      </c>
      <c r="U48" s="461">
        <f>IFERROR(T48/(INDEX(Settings_Currency_Table[],MATCH(General_Currency_Selection,Settings_Currency,0),2)),0)</f>
        <v>1399.9999999999998</v>
      </c>
      <c r="V48" s="804">
        <v>5</v>
      </c>
      <c r="W48" s="461">
        <f>U48*'1.0-General input'!$E$111</f>
        <v>0</v>
      </c>
      <c r="X48" s="461">
        <f>IFERROR(('2.2-Equipment input'!$U48-W48)/V48,)</f>
        <v>279.99999999999994</v>
      </c>
      <c r="Y48" s="824"/>
      <c r="Z48" s="473">
        <f>IF(General_EquipmentQuant_Auto="Yes",'2.2-Equipment input'!G48,'2.2-Equipment input'!H48)</f>
        <v>0</v>
      </c>
      <c r="AA48" s="826">
        <v>0</v>
      </c>
      <c r="AB48" s="827">
        <v>0</v>
      </c>
      <c r="AC48" s="827">
        <v>0</v>
      </c>
      <c r="AD48" s="827">
        <v>0</v>
      </c>
      <c r="AE48" s="827">
        <v>0</v>
      </c>
      <c r="AF48" s="827">
        <v>0</v>
      </c>
      <c r="AG48" s="827">
        <v>1</v>
      </c>
      <c r="AH48" s="827">
        <v>0</v>
      </c>
      <c r="AI48" s="827">
        <v>0</v>
      </c>
      <c r="AJ48" s="466">
        <f t="shared" si="1"/>
        <v>1</v>
      </c>
      <c r="AK48" s="501"/>
    </row>
    <row r="49" spans="2:37" ht="15" customHeight="1">
      <c r="B49" s="451" t="s">
        <v>456</v>
      </c>
      <c r="C49" s="804" t="s">
        <v>558</v>
      </c>
      <c r="D49" s="804" t="s">
        <v>444</v>
      </c>
      <c r="E49" s="804">
        <v>0</v>
      </c>
      <c r="F49" s="804" t="s">
        <v>585</v>
      </c>
      <c r="G49" s="455">
        <f>IFERROR(IF('1.0-General input'!E23&gt;0,ROUNDUP(General_FreshLarvae_Postproc*1000/('2.2-Equipment input'!E49*'1.0-General input'!$E$124*'1.0-General input'!$E$121)*'1.0-General input'!E23,0),0),0)</f>
        <v>0</v>
      </c>
      <c r="H49" s="811"/>
      <c r="I49" s="804">
        <v>0.13</v>
      </c>
      <c r="J49" s="453" t="str">
        <f>IF($D49=INDEX(Yes_No_Choice[],1),INDEX(Equipment_Utitliy_Specs_Units[],MATCH($I$5,Equipment_Utility_Spec_List,0),2),"")</f>
        <v>h</v>
      </c>
      <c r="K49" s="804"/>
      <c r="L49" s="453" t="str">
        <f>IF($D49=INDEX(Yes_No_Choice[],1),INDEX(Equipment_Utitliy_Specs_Units[],MATCH($K$5,Equipment_Utility_Spec_List,0),2),"")</f>
        <v>m3/h</v>
      </c>
      <c r="M49" s="804">
        <v>1.5</v>
      </c>
      <c r="N49" s="453" t="str">
        <f>IF($D49=INDEX(Yes_No_Choice[],1),INDEX(Equipment_Utitliy_Specs_Units[],MATCH($M$5,Equipment_Utility_Spec_List,0),2),"")</f>
        <v>kW</v>
      </c>
      <c r="O49" s="804"/>
      <c r="P49" s="453" t="str">
        <f>IF($D49=INDEX(Yes_No_Choice[],1),INDEX(Equipment_Utitliy_Specs_Units[],MATCH($O$5,Equipment_Utility_Spec_List,0),2),"")</f>
        <v>kg/h</v>
      </c>
      <c r="Q49" s="783"/>
      <c r="R49" s="804" t="s">
        <v>445</v>
      </c>
      <c r="S49" s="806"/>
      <c r="T49" s="819">
        <v>595</v>
      </c>
      <c r="U49" s="461">
        <f>IFERROR(T49/(INDEX(Settings_Currency_Table[],MATCH(General_Currency_Selection,Settings_Currency,0),2)),0)</f>
        <v>595</v>
      </c>
      <c r="V49" s="804">
        <v>10</v>
      </c>
      <c r="W49" s="461">
        <f>U49*'1.0-General input'!$E$111</f>
        <v>0</v>
      </c>
      <c r="X49" s="461">
        <f>IFERROR(('2.2-Equipment input'!$U49-W49)/V49,)</f>
        <v>59.5</v>
      </c>
      <c r="Y49" s="824"/>
      <c r="Z49" s="473">
        <f>IF(General_EquipmentQuant_Auto="Yes",'2.2-Equipment input'!G49,'2.2-Equipment input'!H49)</f>
        <v>0</v>
      </c>
      <c r="AA49" s="826">
        <v>0</v>
      </c>
      <c r="AB49" s="827">
        <v>0</v>
      </c>
      <c r="AC49" s="827">
        <v>0</v>
      </c>
      <c r="AD49" s="827">
        <v>0</v>
      </c>
      <c r="AE49" s="827">
        <v>0</v>
      </c>
      <c r="AF49" s="827">
        <v>0</v>
      </c>
      <c r="AG49" s="827">
        <v>1</v>
      </c>
      <c r="AH49" s="827">
        <v>0</v>
      </c>
      <c r="AI49" s="827">
        <v>0</v>
      </c>
      <c r="AJ49" s="466">
        <f t="shared" si="1"/>
        <v>1</v>
      </c>
      <c r="AK49" s="501"/>
    </row>
    <row r="50" spans="2:37">
      <c r="B50" s="467" t="s">
        <v>457</v>
      </c>
      <c r="C50" s="804" t="s">
        <v>559</v>
      </c>
      <c r="D50" s="804" t="s">
        <v>444</v>
      </c>
      <c r="E50" s="804">
        <v>26.221875000000001</v>
      </c>
      <c r="F50" s="804" t="s">
        <v>585</v>
      </c>
      <c r="G50" s="455">
        <f>ROUNDUP(General_FreshLarvae_Postproc*1000/('2.2-Equipment input'!E50*'1.0-General input'!$E$124*'1.0-General input'!$E$121),0)</f>
        <v>4</v>
      </c>
      <c r="H50" s="811"/>
      <c r="I50" s="804">
        <v>0.25</v>
      </c>
      <c r="J50" s="453" t="str">
        <f>IF($D50=INDEX(Yes_No_Choice[],1),INDEX(Equipment_Utitliy_Specs_Units[],MATCH($I$5,Equipment_Utility_Spec_List,0),2),"")</f>
        <v>h</v>
      </c>
      <c r="K50" s="804"/>
      <c r="L50" s="453" t="str">
        <f>IF($D50=INDEX(Yes_No_Choice[],1),INDEX(Equipment_Utitliy_Specs_Units[],MATCH($K$5,Equipment_Utility_Spec_List,0),2),"")</f>
        <v>m3/h</v>
      </c>
      <c r="M50" s="804">
        <v>0</v>
      </c>
      <c r="N50" s="453" t="str">
        <f>IF($D50=INDEX(Yes_No_Choice[],1),INDEX(Equipment_Utitliy_Specs_Units[],MATCH($M$5,Equipment_Utility_Spec_List,0),2),"")</f>
        <v>kW</v>
      </c>
      <c r="O50" s="804"/>
      <c r="P50" s="453" t="str">
        <f>IF($D50=INDEX(Yes_No_Choice[],1),INDEX(Equipment_Utitliy_Specs_Units[],MATCH($O$5,Equipment_Utility_Spec_List,0),2),"")</f>
        <v>kg/h</v>
      </c>
      <c r="Q50" s="783"/>
      <c r="R50" s="804" t="s">
        <v>445</v>
      </c>
      <c r="S50" s="806"/>
      <c r="T50" s="819">
        <v>437.49999999999994</v>
      </c>
      <c r="U50" s="461">
        <f>IFERROR(T50/(INDEX(Settings_Currency_Table[],MATCH(General_Currency_Selection,Settings_Currency,0),2)),0)</f>
        <v>437.49999999999994</v>
      </c>
      <c r="V50" s="804">
        <v>5</v>
      </c>
      <c r="W50" s="461">
        <f>U50*'1.0-General input'!$E$111</f>
        <v>0</v>
      </c>
      <c r="X50" s="461">
        <f>IFERROR(('2.2-Equipment input'!$U50-W50)/V50,)</f>
        <v>87.499999999999986</v>
      </c>
      <c r="Y50" s="824"/>
      <c r="Z50" s="473">
        <f>IF(General_EquipmentQuant_Auto="Yes",'2.2-Equipment input'!G50,'2.2-Equipment input'!H50)</f>
        <v>4</v>
      </c>
      <c r="AA50" s="826">
        <v>0</v>
      </c>
      <c r="AB50" s="827">
        <v>0</v>
      </c>
      <c r="AC50" s="827">
        <v>0</v>
      </c>
      <c r="AD50" s="827">
        <v>0</v>
      </c>
      <c r="AE50" s="827">
        <v>0</v>
      </c>
      <c r="AF50" s="827">
        <v>0</v>
      </c>
      <c r="AG50" s="827">
        <v>1</v>
      </c>
      <c r="AH50" s="827">
        <v>0</v>
      </c>
      <c r="AI50" s="827">
        <v>0</v>
      </c>
      <c r="AJ50" s="466">
        <f t="shared" si="1"/>
        <v>1</v>
      </c>
      <c r="AK50" s="501"/>
    </row>
    <row r="51" spans="2:37">
      <c r="B51" s="451" t="s">
        <v>458</v>
      </c>
      <c r="C51" s="804" t="s">
        <v>560</v>
      </c>
      <c r="D51" s="804" t="s">
        <v>444</v>
      </c>
      <c r="E51" s="804">
        <v>10.416666666666666</v>
      </c>
      <c r="F51" s="804" t="s">
        <v>585</v>
      </c>
      <c r="G51" s="455">
        <f>IF(OR('1.0-General input'!E23&gt;0,'1.0-General input'!E22&gt;0),ROUNDUP(General_FreshLarvae_Postproc*1000/('2.2-Equipment input'!E51*'1.0-General input'!$E$124*'1.0-General input'!$E$121),0),0)</f>
        <v>0</v>
      </c>
      <c r="H51" s="811"/>
      <c r="I51" s="804">
        <v>24</v>
      </c>
      <c r="J51" s="453" t="str">
        <f>IF($D51=INDEX(Yes_No_Choice[],1),INDEX(Equipment_Utitliy_Specs_Units[],MATCH($I$5,Equipment_Utility_Spec_List,0),2),"")</f>
        <v>h</v>
      </c>
      <c r="K51" s="804"/>
      <c r="L51" s="453" t="str">
        <f>IF($D51=INDEX(Yes_No_Choice[],1),INDEX(Equipment_Utitliy_Specs_Units[],MATCH($K$5,Equipment_Utility_Spec_List,0),2),"")</f>
        <v>m3/h</v>
      </c>
      <c r="M51" s="804">
        <v>0.33</v>
      </c>
      <c r="N51" s="453" t="str">
        <f>IF($D51=INDEX(Yes_No_Choice[],1),INDEX(Equipment_Utitliy_Specs_Units[],MATCH($M$5,Equipment_Utility_Spec_List,0),2),"")</f>
        <v>kW</v>
      </c>
      <c r="O51" s="804"/>
      <c r="P51" s="453" t="str">
        <f>IF($D51=INDEX(Yes_No_Choice[],1),INDEX(Equipment_Utitliy_Specs_Units[],MATCH($O$5,Equipment_Utility_Spec_List,0),2),"")</f>
        <v>kg/h</v>
      </c>
      <c r="Q51" s="783"/>
      <c r="R51" s="804" t="s">
        <v>445</v>
      </c>
      <c r="S51" s="806"/>
      <c r="T51" s="819">
        <v>195.92999999999998</v>
      </c>
      <c r="U51" s="461">
        <f>IFERROR(T51/(INDEX(Settings_Currency_Table[],MATCH(General_Currency_Selection,Settings_Currency,0),2)),0)</f>
        <v>195.92999999999998</v>
      </c>
      <c r="V51" s="804">
        <v>5</v>
      </c>
      <c r="W51" s="461">
        <f>U51*'1.0-General input'!$E$111</f>
        <v>0</v>
      </c>
      <c r="X51" s="461">
        <f>IFERROR(('2.2-Equipment input'!$U51-W51)/V51,)</f>
        <v>39.185999999999993</v>
      </c>
      <c r="Y51" s="824"/>
      <c r="Z51" s="473">
        <f>IF(General_EquipmentQuant_Auto="Yes",'2.2-Equipment input'!G51,'2.2-Equipment input'!H51)</f>
        <v>0</v>
      </c>
      <c r="AA51" s="826">
        <v>0</v>
      </c>
      <c r="AB51" s="827">
        <v>0</v>
      </c>
      <c r="AC51" s="827">
        <v>0</v>
      </c>
      <c r="AD51" s="827">
        <v>0</v>
      </c>
      <c r="AE51" s="827">
        <v>0</v>
      </c>
      <c r="AF51" s="827">
        <v>0</v>
      </c>
      <c r="AG51" s="827">
        <v>1</v>
      </c>
      <c r="AH51" s="827">
        <v>0</v>
      </c>
      <c r="AI51" s="827">
        <v>0</v>
      </c>
      <c r="AJ51" s="466">
        <f t="shared" si="1"/>
        <v>1</v>
      </c>
      <c r="AK51" s="501"/>
    </row>
    <row r="52" spans="2:37">
      <c r="B52" s="467" t="s">
        <v>459</v>
      </c>
      <c r="C52" s="804" t="s">
        <v>561</v>
      </c>
      <c r="D52" s="804" t="s">
        <v>444</v>
      </c>
      <c r="E52" s="804">
        <v>10.416666666666666</v>
      </c>
      <c r="F52" s="804" t="s">
        <v>585</v>
      </c>
      <c r="G52" s="455">
        <f>IF(OR('1.0-General input'!E23&gt;0,'1.0-General input'!E22&gt;0),ROUNDUP(General_FreshLarvae_Postproc*1000/('2.2-Equipment input'!E52*'1.0-General input'!$E$124*'1.0-General input'!$E$121),0),0)</f>
        <v>0</v>
      </c>
      <c r="H52" s="811"/>
      <c r="I52" s="804">
        <v>24</v>
      </c>
      <c r="J52" s="453" t="str">
        <f>IF($D52=INDEX(Yes_No_Choice[],1),INDEX(Equipment_Utitliy_Specs_Units[],MATCH($I$5,Equipment_Utility_Spec_List,0),2),"")</f>
        <v>h</v>
      </c>
      <c r="K52" s="804"/>
      <c r="L52" s="453" t="str">
        <f>IF($D52=INDEX(Yes_No_Choice[],1),INDEX(Equipment_Utitliy_Specs_Units[],MATCH($K$5,Equipment_Utility_Spec_List,0),2),"")</f>
        <v>m3/h</v>
      </c>
      <c r="M52" s="804">
        <v>0.25</v>
      </c>
      <c r="N52" s="453" t="str">
        <f>IF($D52=INDEX(Yes_No_Choice[],1),INDEX(Equipment_Utitliy_Specs_Units[],MATCH($M$5,Equipment_Utility_Spec_List,0),2),"")</f>
        <v>kW</v>
      </c>
      <c r="O52" s="807">
        <f>0.1/24</f>
        <v>4.1666666666666666E-3</v>
      </c>
      <c r="P52" s="453" t="str">
        <f>IF($D52=INDEX(Yes_No_Choice[],1),INDEX(Equipment_Utitliy_Specs_Units[],MATCH($O$5,Equipment_Utility_Spec_List,0),2),"")</f>
        <v>kg/h</v>
      </c>
      <c r="Q52" s="783" t="s">
        <v>522</v>
      </c>
      <c r="R52" s="804" t="s">
        <v>445</v>
      </c>
      <c r="S52" s="806"/>
      <c r="T52" s="819">
        <v>41.999999999999993</v>
      </c>
      <c r="U52" s="461">
        <f>IFERROR(T52/(INDEX(Settings_Currency_Table[],MATCH(General_Currency_Selection,Settings_Currency,0),2)),0)</f>
        <v>41.999999999999993</v>
      </c>
      <c r="V52" s="804">
        <v>2</v>
      </c>
      <c r="W52" s="461">
        <f>U52*'1.0-General input'!$E$111</f>
        <v>0</v>
      </c>
      <c r="X52" s="461">
        <f>IFERROR(('2.2-Equipment input'!$U52-W52)/V52,)</f>
        <v>20.999999999999996</v>
      </c>
      <c r="Y52" s="824"/>
      <c r="Z52" s="473">
        <f>IF(General_EquipmentQuant_Auto="Yes",'2.2-Equipment input'!G52,'2.2-Equipment input'!H52)</f>
        <v>0</v>
      </c>
      <c r="AA52" s="826">
        <v>0</v>
      </c>
      <c r="AB52" s="827">
        <v>0</v>
      </c>
      <c r="AC52" s="827">
        <v>0</v>
      </c>
      <c r="AD52" s="827">
        <v>0</v>
      </c>
      <c r="AE52" s="827">
        <v>0</v>
      </c>
      <c r="AF52" s="827">
        <v>0</v>
      </c>
      <c r="AG52" s="827">
        <v>1</v>
      </c>
      <c r="AH52" s="827">
        <v>0</v>
      </c>
      <c r="AI52" s="827">
        <v>0</v>
      </c>
      <c r="AJ52" s="466">
        <f t="shared" si="1"/>
        <v>1</v>
      </c>
      <c r="AK52" s="501"/>
    </row>
    <row r="53" spans="2:37">
      <c r="B53" s="451" t="s">
        <v>460</v>
      </c>
      <c r="C53" s="804"/>
      <c r="D53" s="804" t="s">
        <v>445</v>
      </c>
      <c r="E53" s="804"/>
      <c r="F53" s="804"/>
      <c r="G53" s="455"/>
      <c r="H53" s="811"/>
      <c r="I53" s="474"/>
      <c r="J53" s="453" t="str">
        <f>IF($D53=INDEX(Yes_No_Choice[],1),INDEX(Equipment_Utitliy_Specs_Units[],MATCH($I$5,Equipment_Utility_Spec_List,0),2),"")</f>
        <v/>
      </c>
      <c r="K53" s="474"/>
      <c r="L53" s="453" t="str">
        <f>IF($D53=INDEX(Yes_No_Choice[],1),INDEX(Equipment_Utitliy_Specs_Units[],MATCH($K$5,Equipment_Utility_Spec_List,0),2),"")</f>
        <v/>
      </c>
      <c r="M53" s="474"/>
      <c r="N53" s="453" t="str">
        <f>IF($D53=INDEX(Yes_No_Choice[],1),INDEX(Equipment_Utitliy_Specs_Units[],MATCH($M$5,Equipment_Utility_Spec_List,0),2),"")</f>
        <v/>
      </c>
      <c r="O53" s="474"/>
      <c r="P53" s="453" t="str">
        <f>IF($D53=INDEX(Yes_No_Choice[],1),INDEX(Equipment_Utitliy_Specs_Units[],MATCH($O$5,Equipment_Utility_Spec_List,0),2),"")</f>
        <v/>
      </c>
      <c r="Q53" s="237"/>
      <c r="R53" s="804" t="s">
        <v>444</v>
      </c>
      <c r="S53" s="806"/>
      <c r="T53" s="819"/>
      <c r="U53" s="461">
        <f>IFERROR(T53/(INDEX(Settings_Currency_Table[],MATCH(General_Currency_Selection,Settings_Currency,0),2)),0)</f>
        <v>0</v>
      </c>
      <c r="V53" s="804"/>
      <c r="W53" s="461">
        <f>U53*'1.0-General input'!$E$111</f>
        <v>0</v>
      </c>
      <c r="X53" s="461">
        <f>IFERROR(('2.2-Equipment input'!$U53-W53)/V53,)</f>
        <v>0</v>
      </c>
      <c r="Y53" s="824"/>
      <c r="Z53" s="473">
        <f>IF(General_EquipmentQuant_Auto="Yes",'2.2-Equipment input'!G53,'2.2-Equipment input'!H53)</f>
        <v>0</v>
      </c>
      <c r="AA53" s="826">
        <v>0</v>
      </c>
      <c r="AB53" s="827">
        <v>0</v>
      </c>
      <c r="AC53" s="827">
        <v>0</v>
      </c>
      <c r="AD53" s="827">
        <v>0</v>
      </c>
      <c r="AE53" s="827">
        <v>0</v>
      </c>
      <c r="AF53" s="827">
        <v>0</v>
      </c>
      <c r="AG53" s="827">
        <v>0</v>
      </c>
      <c r="AH53" s="827">
        <v>0</v>
      </c>
      <c r="AI53" s="827">
        <v>0</v>
      </c>
      <c r="AJ53" s="466">
        <f t="shared" si="1"/>
        <v>0</v>
      </c>
      <c r="AK53" s="501"/>
    </row>
    <row r="54" spans="2:37">
      <c r="B54" s="467" t="s">
        <v>461</v>
      </c>
      <c r="C54" s="804"/>
      <c r="D54" s="804" t="s">
        <v>445</v>
      </c>
      <c r="E54" s="804"/>
      <c r="F54" s="804"/>
      <c r="G54" s="455"/>
      <c r="H54" s="811"/>
      <c r="I54" s="474"/>
      <c r="J54" s="453"/>
      <c r="K54" s="474"/>
      <c r="L54" s="453"/>
      <c r="M54" s="474"/>
      <c r="N54" s="453"/>
      <c r="O54" s="474"/>
      <c r="P54" s="453"/>
      <c r="Q54" s="237"/>
      <c r="R54" s="804" t="s">
        <v>445</v>
      </c>
      <c r="S54" s="806"/>
      <c r="T54" s="819"/>
      <c r="U54" s="461">
        <f>IFERROR(T54/(INDEX(Settings_Currency_Table[],MATCH(General_Currency_Selection,Settings_Currency,0),2)),0)</f>
        <v>0</v>
      </c>
      <c r="V54" s="804"/>
      <c r="W54" s="461">
        <f>U54*'1.0-General input'!$E$111</f>
        <v>0</v>
      </c>
      <c r="X54" s="461">
        <f>IFERROR(('2.2-Equipment input'!$U54-W54)/V54,)</f>
        <v>0</v>
      </c>
      <c r="Y54" s="824"/>
      <c r="Z54" s="473">
        <f>IF(General_EquipmentQuant_Auto="Yes",'2.2-Equipment input'!G54,'2.2-Equipment input'!H54)</f>
        <v>0</v>
      </c>
      <c r="AA54" s="826">
        <v>0</v>
      </c>
      <c r="AB54" s="827">
        <v>0</v>
      </c>
      <c r="AC54" s="827">
        <v>0</v>
      </c>
      <c r="AD54" s="827">
        <v>0</v>
      </c>
      <c r="AE54" s="827">
        <v>0</v>
      </c>
      <c r="AF54" s="827">
        <v>0</v>
      </c>
      <c r="AG54" s="827">
        <v>0</v>
      </c>
      <c r="AH54" s="827">
        <v>0</v>
      </c>
      <c r="AI54" s="827">
        <v>0</v>
      </c>
      <c r="AJ54" s="466">
        <f t="shared" si="1"/>
        <v>0</v>
      </c>
      <c r="AK54" s="501"/>
    </row>
    <row r="55" spans="2:37">
      <c r="B55" s="451" t="s">
        <v>462</v>
      </c>
      <c r="C55" s="804"/>
      <c r="D55" s="804" t="s">
        <v>445</v>
      </c>
      <c r="E55" s="804"/>
      <c r="F55" s="804"/>
      <c r="G55" s="455"/>
      <c r="H55" s="811"/>
      <c r="I55" s="474"/>
      <c r="J55" s="453"/>
      <c r="K55" s="474"/>
      <c r="L55" s="453"/>
      <c r="M55" s="474"/>
      <c r="N55" s="453"/>
      <c r="O55" s="474"/>
      <c r="P55" s="453"/>
      <c r="Q55" s="237"/>
      <c r="R55" s="804" t="s">
        <v>445</v>
      </c>
      <c r="S55" s="806"/>
      <c r="T55" s="819"/>
      <c r="U55" s="461">
        <f>IFERROR(T55/(INDEX(Settings_Currency_Table[],MATCH(General_Currency_Selection,Settings_Currency,0),2)),0)</f>
        <v>0</v>
      </c>
      <c r="V55" s="804"/>
      <c r="W55" s="461">
        <f>U55*'1.0-General input'!$E$111</f>
        <v>0</v>
      </c>
      <c r="X55" s="461">
        <f>IFERROR(('2.2-Equipment input'!$U55-W55)/V55,)</f>
        <v>0</v>
      </c>
      <c r="Y55" s="824"/>
      <c r="Z55" s="473">
        <f>IF(General_EquipmentQuant_Auto="Yes",'2.2-Equipment input'!G55,'2.2-Equipment input'!H55)</f>
        <v>0</v>
      </c>
      <c r="AA55" s="826"/>
      <c r="AB55" s="827"/>
      <c r="AC55" s="827"/>
      <c r="AD55" s="827"/>
      <c r="AE55" s="827"/>
      <c r="AF55" s="827"/>
      <c r="AG55" s="827"/>
      <c r="AH55" s="827"/>
      <c r="AI55" s="827"/>
      <c r="AJ55" s="466">
        <f t="shared" si="1"/>
        <v>0</v>
      </c>
      <c r="AK55" s="501"/>
    </row>
    <row r="56" spans="2:37">
      <c r="B56" s="467" t="s">
        <v>463</v>
      </c>
      <c r="C56" s="804"/>
      <c r="D56" s="804" t="s">
        <v>445</v>
      </c>
      <c r="E56" s="804"/>
      <c r="F56" s="804"/>
      <c r="G56" s="455"/>
      <c r="H56" s="811"/>
      <c r="I56" s="474"/>
      <c r="J56" s="453"/>
      <c r="K56" s="474"/>
      <c r="L56" s="453"/>
      <c r="M56" s="474"/>
      <c r="N56" s="453"/>
      <c r="O56" s="474"/>
      <c r="P56" s="453"/>
      <c r="Q56" s="237"/>
      <c r="R56" s="804" t="s">
        <v>445</v>
      </c>
      <c r="S56" s="806"/>
      <c r="T56" s="819"/>
      <c r="U56" s="461">
        <f>IFERROR(T56/(INDEX(Settings_Currency_Table[],MATCH(General_Currency_Selection,Settings_Currency,0),2)),0)</f>
        <v>0</v>
      </c>
      <c r="V56" s="804"/>
      <c r="W56" s="461">
        <f>U56*'1.0-General input'!$E$111</f>
        <v>0</v>
      </c>
      <c r="X56" s="461">
        <f>IFERROR(('2.2-Equipment input'!$U56-W56)/V56,)</f>
        <v>0</v>
      </c>
      <c r="Y56" s="824"/>
      <c r="Z56" s="473">
        <f>IF(General_EquipmentQuant_Auto="Yes",'2.2-Equipment input'!G56,'2.2-Equipment input'!H56)</f>
        <v>0</v>
      </c>
      <c r="AA56" s="826"/>
      <c r="AB56" s="827"/>
      <c r="AC56" s="827"/>
      <c r="AD56" s="827"/>
      <c r="AE56" s="827"/>
      <c r="AF56" s="827"/>
      <c r="AG56" s="827"/>
      <c r="AH56" s="827"/>
      <c r="AI56" s="827"/>
      <c r="AJ56" s="466">
        <f t="shared" si="1"/>
        <v>0</v>
      </c>
    </row>
    <row r="57" spans="2:37">
      <c r="B57" s="451" t="s">
        <v>464</v>
      </c>
      <c r="C57" s="804"/>
      <c r="D57" s="804" t="s">
        <v>445</v>
      </c>
      <c r="E57" s="804"/>
      <c r="F57" s="804"/>
      <c r="G57" s="455"/>
      <c r="H57" s="811"/>
      <c r="I57" s="474"/>
      <c r="J57" s="453"/>
      <c r="K57" s="474"/>
      <c r="L57" s="453"/>
      <c r="M57" s="474"/>
      <c r="N57" s="453"/>
      <c r="O57" s="474"/>
      <c r="P57" s="453"/>
      <c r="Q57" s="237"/>
      <c r="R57" s="804" t="s">
        <v>445</v>
      </c>
      <c r="S57" s="806"/>
      <c r="T57" s="819"/>
      <c r="U57" s="461">
        <f>IFERROR(T57/(INDEX(Settings_Currency_Table[],MATCH(General_Currency_Selection,Settings_Currency,0),2)),0)</f>
        <v>0</v>
      </c>
      <c r="V57" s="804"/>
      <c r="W57" s="461">
        <f>U57*'1.0-General input'!$E$111</f>
        <v>0</v>
      </c>
      <c r="X57" s="461">
        <f>IFERROR(('2.2-Equipment input'!$U57-W57)/V57,)</f>
        <v>0</v>
      </c>
      <c r="Y57" s="824"/>
      <c r="Z57" s="473">
        <f>IF(General_EquipmentQuant_Auto="Yes",'2.2-Equipment input'!G57,'2.2-Equipment input'!H57)</f>
        <v>0</v>
      </c>
      <c r="AA57" s="826"/>
      <c r="AB57" s="827"/>
      <c r="AC57" s="827"/>
      <c r="AD57" s="827"/>
      <c r="AE57" s="827"/>
      <c r="AF57" s="827"/>
      <c r="AG57" s="827"/>
      <c r="AH57" s="827"/>
      <c r="AI57" s="827"/>
      <c r="AJ57" s="466">
        <f t="shared" si="1"/>
        <v>0</v>
      </c>
    </row>
    <row r="58" spans="2:37">
      <c r="B58" s="467" t="s">
        <v>465</v>
      </c>
      <c r="C58" s="804"/>
      <c r="D58" s="804" t="s">
        <v>445</v>
      </c>
      <c r="E58" s="804"/>
      <c r="F58" s="804"/>
      <c r="G58" s="455"/>
      <c r="H58" s="811"/>
      <c r="I58" s="474"/>
      <c r="J58" s="453"/>
      <c r="K58" s="474"/>
      <c r="L58" s="453"/>
      <c r="M58" s="474"/>
      <c r="N58" s="453"/>
      <c r="O58" s="474"/>
      <c r="P58" s="453"/>
      <c r="Q58" s="237"/>
      <c r="R58" s="804" t="s">
        <v>445</v>
      </c>
      <c r="S58" s="806"/>
      <c r="T58" s="819"/>
      <c r="U58" s="461">
        <f>IFERROR(T58/(INDEX(Settings_Currency_Table[],MATCH(General_Currency_Selection,Settings_Currency,0),2)),0)</f>
        <v>0</v>
      </c>
      <c r="V58" s="804"/>
      <c r="W58" s="461">
        <f>U58*'1.0-General input'!$E$111</f>
        <v>0</v>
      </c>
      <c r="X58" s="461">
        <f>IFERROR(('2.2-Equipment input'!$U58-W58)/V58,)</f>
        <v>0</v>
      </c>
      <c r="Y58" s="824"/>
      <c r="Z58" s="473">
        <f>IF(General_EquipmentQuant_Auto="Yes",'2.2-Equipment input'!G58,'2.2-Equipment input'!H58)</f>
        <v>0</v>
      </c>
      <c r="AA58" s="826"/>
      <c r="AB58" s="827"/>
      <c r="AC58" s="827"/>
      <c r="AD58" s="827"/>
      <c r="AE58" s="827"/>
      <c r="AF58" s="827"/>
      <c r="AG58" s="827"/>
      <c r="AH58" s="827"/>
      <c r="AI58" s="827"/>
      <c r="AJ58" s="466">
        <f t="shared" si="1"/>
        <v>0</v>
      </c>
    </row>
    <row r="59" spans="2:37">
      <c r="B59" s="451" t="s">
        <v>466</v>
      </c>
      <c r="C59" s="804"/>
      <c r="D59" s="804" t="s">
        <v>445</v>
      </c>
      <c r="E59" s="804"/>
      <c r="F59" s="804"/>
      <c r="G59" s="455"/>
      <c r="H59" s="811"/>
      <c r="I59" s="474"/>
      <c r="J59" s="453"/>
      <c r="K59" s="474"/>
      <c r="L59" s="453"/>
      <c r="M59" s="474"/>
      <c r="N59" s="453"/>
      <c r="O59" s="474"/>
      <c r="P59" s="453"/>
      <c r="Q59" s="237"/>
      <c r="R59" s="804" t="s">
        <v>445</v>
      </c>
      <c r="S59" s="806"/>
      <c r="T59" s="819"/>
      <c r="U59" s="461">
        <f>IFERROR(T59/(INDEX(Settings_Currency_Table[],MATCH(General_Currency_Selection,Settings_Currency,0),2)),0)</f>
        <v>0</v>
      </c>
      <c r="V59" s="804"/>
      <c r="W59" s="461">
        <f>U59*'1.0-General input'!$E$111</f>
        <v>0</v>
      </c>
      <c r="X59" s="461">
        <f>IFERROR(('2.2-Equipment input'!$U59-W59)/V59,)</f>
        <v>0</v>
      </c>
      <c r="Y59" s="824"/>
      <c r="Z59" s="473">
        <f>IF(General_EquipmentQuant_Auto="Yes",'2.2-Equipment input'!G59,'2.2-Equipment input'!H59)</f>
        <v>0</v>
      </c>
      <c r="AA59" s="826"/>
      <c r="AB59" s="827"/>
      <c r="AC59" s="827"/>
      <c r="AD59" s="827"/>
      <c r="AE59" s="827"/>
      <c r="AF59" s="827"/>
      <c r="AG59" s="827"/>
      <c r="AH59" s="827"/>
      <c r="AI59" s="827"/>
      <c r="AJ59" s="466">
        <f t="shared" si="1"/>
        <v>0</v>
      </c>
    </row>
    <row r="60" spans="2:37">
      <c r="B60" s="467" t="s">
        <v>467</v>
      </c>
      <c r="C60" s="804"/>
      <c r="D60" s="804" t="s">
        <v>445</v>
      </c>
      <c r="E60" s="804"/>
      <c r="F60" s="804"/>
      <c r="G60" s="455"/>
      <c r="H60" s="811"/>
      <c r="I60" s="474"/>
      <c r="J60" s="453"/>
      <c r="K60" s="474"/>
      <c r="L60" s="453"/>
      <c r="M60" s="474"/>
      <c r="N60" s="453"/>
      <c r="O60" s="474"/>
      <c r="P60" s="453"/>
      <c r="Q60" s="237"/>
      <c r="R60" s="804" t="s">
        <v>445</v>
      </c>
      <c r="S60" s="806"/>
      <c r="T60" s="819"/>
      <c r="U60" s="461">
        <f>IFERROR(T60/(INDEX(Settings_Currency_Table[],MATCH(General_Currency_Selection,Settings_Currency,0),2)),0)</f>
        <v>0</v>
      </c>
      <c r="V60" s="804"/>
      <c r="W60" s="461">
        <f>U60*'1.0-General input'!$E$111</f>
        <v>0</v>
      </c>
      <c r="X60" s="461">
        <f>IFERROR(('2.2-Equipment input'!$U60-W60)/V60,)</f>
        <v>0</v>
      </c>
      <c r="Y60" s="824"/>
      <c r="Z60" s="473">
        <f>IF(General_EquipmentQuant_Auto="Yes",'2.2-Equipment input'!G60,'2.2-Equipment input'!H60)</f>
        <v>0</v>
      </c>
      <c r="AA60" s="826"/>
      <c r="AB60" s="827"/>
      <c r="AC60" s="827"/>
      <c r="AD60" s="827"/>
      <c r="AE60" s="827"/>
      <c r="AF60" s="827"/>
      <c r="AG60" s="827"/>
      <c r="AH60" s="827"/>
      <c r="AI60" s="827"/>
      <c r="AJ60" s="466">
        <f t="shared" si="1"/>
        <v>0</v>
      </c>
    </row>
    <row r="61" spans="2:37">
      <c r="B61" s="451" t="s">
        <v>468</v>
      </c>
      <c r="C61" s="804"/>
      <c r="D61" s="804" t="s">
        <v>445</v>
      </c>
      <c r="E61" s="804"/>
      <c r="F61" s="804"/>
      <c r="G61" s="455"/>
      <c r="H61" s="811"/>
      <c r="I61" s="474"/>
      <c r="J61" s="453"/>
      <c r="K61" s="474"/>
      <c r="L61" s="453"/>
      <c r="M61" s="474"/>
      <c r="N61" s="453"/>
      <c r="O61" s="476"/>
      <c r="P61" s="453"/>
      <c r="Q61" s="237"/>
      <c r="R61" s="804" t="s">
        <v>445</v>
      </c>
      <c r="S61" s="806"/>
      <c r="T61" s="819"/>
      <c r="U61" s="461">
        <f>IFERROR(T61/(INDEX(Settings_Currency_Table[],MATCH(General_Currency_Selection,Settings_Currency,0),2)),0)</f>
        <v>0</v>
      </c>
      <c r="V61" s="804"/>
      <c r="W61" s="461">
        <f>U61*'1.0-General input'!$E$111</f>
        <v>0</v>
      </c>
      <c r="X61" s="461">
        <f>IFERROR(('2.2-Equipment input'!$U61-W61)/V61,)</f>
        <v>0</v>
      </c>
      <c r="Y61" s="824"/>
      <c r="Z61" s="473">
        <f>IF(General_EquipmentQuant_Auto="Yes",'2.2-Equipment input'!G61,'2.2-Equipment input'!H61)</f>
        <v>0</v>
      </c>
      <c r="AA61" s="826"/>
      <c r="AB61" s="827"/>
      <c r="AC61" s="827"/>
      <c r="AD61" s="827"/>
      <c r="AE61" s="827"/>
      <c r="AF61" s="827"/>
      <c r="AG61" s="827"/>
      <c r="AH61" s="827"/>
      <c r="AI61" s="827"/>
      <c r="AJ61" s="466">
        <f t="shared" si="1"/>
        <v>0</v>
      </c>
    </row>
    <row r="62" spans="2:37">
      <c r="B62" s="467" t="s">
        <v>469</v>
      </c>
      <c r="C62" s="804"/>
      <c r="D62" s="804" t="s">
        <v>445</v>
      </c>
      <c r="E62" s="804"/>
      <c r="F62" s="804"/>
      <c r="G62" s="455"/>
      <c r="H62" s="811"/>
      <c r="I62" s="474"/>
      <c r="J62" s="453"/>
      <c r="K62" s="474"/>
      <c r="L62" s="453"/>
      <c r="M62" s="474"/>
      <c r="N62" s="453"/>
      <c r="O62" s="474"/>
      <c r="P62" s="453"/>
      <c r="Q62" s="237"/>
      <c r="R62" s="804" t="s">
        <v>445</v>
      </c>
      <c r="S62" s="806"/>
      <c r="T62" s="819"/>
      <c r="U62" s="461">
        <f>IFERROR(T62/(INDEX(Settings_Currency_Table[],MATCH(General_Currency_Selection,Settings_Currency,0),2)),0)</f>
        <v>0</v>
      </c>
      <c r="V62" s="804"/>
      <c r="W62" s="461">
        <f>U62*'1.0-General input'!$E$111</f>
        <v>0</v>
      </c>
      <c r="X62" s="461">
        <f>IFERROR(('2.2-Equipment input'!$U62-W62)/V62,)</f>
        <v>0</v>
      </c>
      <c r="Y62" s="824"/>
      <c r="Z62" s="473">
        <f>IF(General_EquipmentQuant_Auto="Yes",'2.2-Equipment input'!G62,'2.2-Equipment input'!H62)</f>
        <v>0</v>
      </c>
      <c r="AA62" s="826"/>
      <c r="AB62" s="827"/>
      <c r="AC62" s="827"/>
      <c r="AD62" s="827"/>
      <c r="AE62" s="827"/>
      <c r="AF62" s="827"/>
      <c r="AG62" s="827"/>
      <c r="AH62" s="827"/>
      <c r="AI62" s="827"/>
      <c r="AJ62" s="466">
        <f t="shared" si="1"/>
        <v>0</v>
      </c>
    </row>
    <row r="63" spans="2:37">
      <c r="B63" s="451" t="s">
        <v>470</v>
      </c>
      <c r="C63" s="804"/>
      <c r="D63" s="804" t="s">
        <v>445</v>
      </c>
      <c r="E63" s="804"/>
      <c r="F63" s="804"/>
      <c r="G63" s="455"/>
      <c r="H63" s="811"/>
      <c r="I63" s="474"/>
      <c r="J63" s="453"/>
      <c r="K63" s="474"/>
      <c r="L63" s="453"/>
      <c r="M63" s="474"/>
      <c r="N63" s="453"/>
      <c r="O63" s="474"/>
      <c r="P63" s="453"/>
      <c r="Q63" s="237"/>
      <c r="R63" s="804" t="s">
        <v>445</v>
      </c>
      <c r="S63" s="806"/>
      <c r="T63" s="819"/>
      <c r="U63" s="461">
        <f>IFERROR(T63/(INDEX(Settings_Currency_Table[],MATCH(General_Currency_Selection,Settings_Currency,0),2)),0)</f>
        <v>0</v>
      </c>
      <c r="V63" s="804"/>
      <c r="W63" s="461">
        <f>U63*'1.0-General input'!$E$111</f>
        <v>0</v>
      </c>
      <c r="X63" s="461">
        <f>IFERROR(('2.2-Equipment input'!$U63-W63)/V63,)</f>
        <v>0</v>
      </c>
      <c r="Y63" s="824"/>
      <c r="Z63" s="473">
        <f>IF(General_EquipmentQuant_Auto="Yes",'2.2-Equipment input'!G63,'2.2-Equipment input'!H63)</f>
        <v>0</v>
      </c>
      <c r="AA63" s="826"/>
      <c r="AB63" s="827"/>
      <c r="AC63" s="827"/>
      <c r="AD63" s="827"/>
      <c r="AE63" s="827"/>
      <c r="AF63" s="827"/>
      <c r="AG63" s="827"/>
      <c r="AH63" s="827"/>
      <c r="AI63" s="827"/>
      <c r="AJ63" s="466">
        <f t="shared" si="1"/>
        <v>0</v>
      </c>
    </row>
    <row r="64" spans="2:37">
      <c r="B64" s="467" t="s">
        <v>471</v>
      </c>
      <c r="C64" s="804"/>
      <c r="D64" s="804" t="s">
        <v>445</v>
      </c>
      <c r="E64" s="806"/>
      <c r="F64" s="804"/>
      <c r="G64" s="455"/>
      <c r="H64" s="811"/>
      <c r="I64" s="474"/>
      <c r="J64" s="453" t="str">
        <f>IF($D64=INDEX(Yes_No_Choice[],1),INDEX(Equipment_Utitliy_Specs_Units[],MATCH($I$5,Equipment_Utility_Spec_List,0),2),"")</f>
        <v/>
      </c>
      <c r="K64" s="474"/>
      <c r="L64" s="453" t="str">
        <f>IF($D64=INDEX(Yes_No_Choice[],1),INDEX(Equipment_Utitliy_Specs_Units[],MATCH($K$5,Equipment_Utility_Spec_List,0),2),"")</f>
        <v/>
      </c>
      <c r="M64" s="474"/>
      <c r="N64" s="453" t="str">
        <f>IF($D64=INDEX(Yes_No_Choice[],1),INDEX(Equipment_Utitliy_Specs_Units[],MATCH($M$5,Equipment_Utility_Spec_List,0),2),"")</f>
        <v/>
      </c>
      <c r="O64" s="474"/>
      <c r="P64" s="453" t="str">
        <f>IF($D64=INDEX(Yes_No_Choice[],1),INDEX(Equipment_Utitliy_Specs_Units[],MATCH($O$5,Equipment_Utility_Spec_List,0),2),"")</f>
        <v/>
      </c>
      <c r="Q64" s="237"/>
      <c r="R64" s="804" t="s">
        <v>445</v>
      </c>
      <c r="S64" s="806"/>
      <c r="T64" s="819"/>
      <c r="U64" s="461">
        <f>IFERROR(T64/(INDEX(Settings_Currency_Table[],MATCH(General_Currency_Selection,Settings_Currency,0),2)),0)</f>
        <v>0</v>
      </c>
      <c r="V64" s="804"/>
      <c r="W64" s="461">
        <f>U64*'1.0-General input'!$E$111</f>
        <v>0</v>
      </c>
      <c r="X64" s="461">
        <f>IFERROR(('2.2-Equipment input'!$U64-W64)/V64,)</f>
        <v>0</v>
      </c>
      <c r="Y64" s="824"/>
      <c r="Z64" s="473">
        <f>IF(General_EquipmentQuant_Auto="Yes",'2.2-Equipment input'!G64,'2.2-Equipment input'!H64)</f>
        <v>0</v>
      </c>
      <c r="AA64" s="826"/>
      <c r="AB64" s="827"/>
      <c r="AC64" s="827"/>
      <c r="AD64" s="827"/>
      <c r="AE64" s="827"/>
      <c r="AF64" s="827"/>
      <c r="AG64" s="827"/>
      <c r="AH64" s="827"/>
      <c r="AI64" s="827"/>
      <c r="AJ64" s="466">
        <f t="shared" si="1"/>
        <v>0</v>
      </c>
    </row>
    <row r="65" spans="2:36">
      <c r="B65" s="451" t="s">
        <v>472</v>
      </c>
      <c r="C65" s="804"/>
      <c r="D65" s="804" t="s">
        <v>445</v>
      </c>
      <c r="E65" s="806"/>
      <c r="F65" s="804"/>
      <c r="G65" s="455"/>
      <c r="H65" s="811"/>
      <c r="I65" s="474"/>
      <c r="J65" s="453" t="str">
        <f>IF($D65=INDEX(Yes_No_Choice[],1),INDEX(Equipment_Utitliy_Specs_Units[],MATCH($I$5,Equipment_Utility_Spec_List,0),2),"")</f>
        <v/>
      </c>
      <c r="K65" s="474"/>
      <c r="L65" s="453" t="str">
        <f>IF($D65=INDEX(Yes_No_Choice[],1),INDEX(Equipment_Utitliy_Specs_Units[],MATCH($K$5,Equipment_Utility_Spec_List,0),2),"")</f>
        <v/>
      </c>
      <c r="M65" s="474"/>
      <c r="N65" s="453" t="str">
        <f>IF($D65=INDEX(Yes_No_Choice[],1),INDEX(Equipment_Utitliy_Specs_Units[],MATCH($M$5,Equipment_Utility_Spec_List,0),2),"")</f>
        <v/>
      </c>
      <c r="O65" s="474"/>
      <c r="P65" s="453" t="str">
        <f>IF($D65=INDEX(Yes_No_Choice[],1),INDEX(Equipment_Utitliy_Specs_Units[],MATCH($O$5,Equipment_Utility_Spec_List,0),2),"")</f>
        <v/>
      </c>
      <c r="Q65" s="237"/>
      <c r="R65" s="804" t="s">
        <v>445</v>
      </c>
      <c r="S65" s="806"/>
      <c r="T65" s="819"/>
      <c r="U65" s="461">
        <f>IFERROR(T65/(INDEX(Settings_Currency_Table[],MATCH(General_Currency_Selection,Settings_Currency,0),2)),0)</f>
        <v>0</v>
      </c>
      <c r="V65" s="804"/>
      <c r="W65" s="461">
        <f>U65*'1.0-General input'!$E$111</f>
        <v>0</v>
      </c>
      <c r="X65" s="461">
        <f>IFERROR(('2.2-Equipment input'!$U65-W65)/V65,)</f>
        <v>0</v>
      </c>
      <c r="Y65" s="824"/>
      <c r="Z65" s="473">
        <f>IF(General_EquipmentQuant_Auto="Yes",'2.2-Equipment input'!G65,'2.2-Equipment input'!H65)</f>
        <v>0</v>
      </c>
      <c r="AA65" s="826"/>
      <c r="AB65" s="827"/>
      <c r="AC65" s="827"/>
      <c r="AD65" s="827"/>
      <c r="AE65" s="827"/>
      <c r="AF65" s="827"/>
      <c r="AG65" s="827"/>
      <c r="AH65" s="827"/>
      <c r="AI65" s="827"/>
      <c r="AJ65" s="466">
        <f t="shared" si="1"/>
        <v>0</v>
      </c>
    </row>
    <row r="66" spans="2:36">
      <c r="B66" s="467" t="s">
        <v>473</v>
      </c>
      <c r="C66" s="804"/>
      <c r="D66" s="804" t="s">
        <v>445</v>
      </c>
      <c r="E66" s="806"/>
      <c r="F66" s="804"/>
      <c r="G66" s="455"/>
      <c r="H66" s="811"/>
      <c r="I66" s="474"/>
      <c r="J66" s="453" t="str">
        <f>IF($D66=INDEX(Yes_No_Choice[],1),INDEX(Equipment_Utitliy_Specs_Units[],MATCH($I$5,Equipment_Utility_Spec_List,0),2),"")</f>
        <v/>
      </c>
      <c r="K66" s="474"/>
      <c r="L66" s="453" t="str">
        <f>IF($D66=INDEX(Yes_No_Choice[],1),INDEX(Equipment_Utitliy_Specs_Units[],MATCH($K$5,Equipment_Utility_Spec_List,0),2),"")</f>
        <v/>
      </c>
      <c r="M66" s="474"/>
      <c r="N66" s="453" t="str">
        <f>IF($D66=INDEX(Yes_No_Choice[],1),INDEX(Equipment_Utitliy_Specs_Units[],MATCH($M$5,Equipment_Utility_Spec_List,0),2),"")</f>
        <v/>
      </c>
      <c r="O66" s="474"/>
      <c r="P66" s="453" t="str">
        <f>IF($D66=INDEX(Yes_No_Choice[],1),INDEX(Equipment_Utitliy_Specs_Units[],MATCH($O$5,Equipment_Utility_Spec_List,0),2),"")</f>
        <v/>
      </c>
      <c r="Q66" s="237"/>
      <c r="R66" s="804" t="s">
        <v>445</v>
      </c>
      <c r="S66" s="806"/>
      <c r="T66" s="819"/>
      <c r="U66" s="461">
        <f>IFERROR(T66/(INDEX(Settings_Currency_Table[],MATCH(General_Currency_Selection,Settings_Currency,0),2)),0)</f>
        <v>0</v>
      </c>
      <c r="V66" s="804"/>
      <c r="W66" s="461">
        <f>U66*'1.0-General input'!$E$111</f>
        <v>0</v>
      </c>
      <c r="X66" s="461">
        <f>IFERROR(('2.2-Equipment input'!$U66-W66)/V66,)</f>
        <v>0</v>
      </c>
      <c r="Y66" s="824"/>
      <c r="Z66" s="473">
        <f>IF(General_EquipmentQuant_Auto="Yes",'2.2-Equipment input'!G66,'2.2-Equipment input'!H66)</f>
        <v>0</v>
      </c>
      <c r="AA66" s="826"/>
      <c r="AB66" s="827"/>
      <c r="AC66" s="827"/>
      <c r="AD66" s="827"/>
      <c r="AE66" s="827"/>
      <c r="AF66" s="827"/>
      <c r="AG66" s="827"/>
      <c r="AH66" s="827"/>
      <c r="AI66" s="827"/>
      <c r="AJ66" s="466">
        <f t="shared" si="1"/>
        <v>0</v>
      </c>
    </row>
    <row r="67" spans="2:36">
      <c r="B67" s="451" t="s">
        <v>474</v>
      </c>
      <c r="C67" s="804"/>
      <c r="D67" s="804" t="s">
        <v>445</v>
      </c>
      <c r="E67" s="806"/>
      <c r="F67" s="804"/>
      <c r="G67" s="455"/>
      <c r="H67" s="811"/>
      <c r="I67" s="474"/>
      <c r="J67" s="453" t="str">
        <f>IF($D67=INDEX(Yes_No_Choice[],1),INDEX(Equipment_Utitliy_Specs_Units[],MATCH($I$5,Equipment_Utility_Spec_List,0),2),"")</f>
        <v/>
      </c>
      <c r="K67" s="474"/>
      <c r="L67" s="453" t="str">
        <f>IF($D67=INDEX(Yes_No_Choice[],1),INDEX(Equipment_Utitliy_Specs_Units[],MATCH($K$5,Equipment_Utility_Spec_List,0),2),"")</f>
        <v/>
      </c>
      <c r="M67" s="474"/>
      <c r="N67" s="453" t="str">
        <f>IF($D67=INDEX(Yes_No_Choice[],1),INDEX(Equipment_Utitliy_Specs_Units[],MATCH($M$5,Equipment_Utility_Spec_List,0),2),"")</f>
        <v/>
      </c>
      <c r="O67" s="474"/>
      <c r="P67" s="453" t="str">
        <f>IF($D67=INDEX(Yes_No_Choice[],1),INDEX(Equipment_Utitliy_Specs_Units[],MATCH($O$5,Equipment_Utility_Spec_List,0),2),"")</f>
        <v/>
      </c>
      <c r="Q67" s="237"/>
      <c r="R67" s="804" t="s">
        <v>445</v>
      </c>
      <c r="S67" s="806"/>
      <c r="T67" s="819"/>
      <c r="U67" s="461">
        <f>IFERROR(T67/(INDEX(Settings_Currency_Table[],MATCH(General_Currency_Selection,Settings_Currency,0),2)),0)</f>
        <v>0</v>
      </c>
      <c r="V67" s="804"/>
      <c r="W67" s="461">
        <f>U67*'1.0-General input'!$E$111</f>
        <v>0</v>
      </c>
      <c r="X67" s="461">
        <f>IFERROR(('2.2-Equipment input'!$U67-W67)/V67,)</f>
        <v>0</v>
      </c>
      <c r="Y67" s="824"/>
      <c r="Z67" s="473">
        <f>IF(General_EquipmentQuant_Auto="Yes",'2.2-Equipment input'!G67,'2.2-Equipment input'!H67)</f>
        <v>0</v>
      </c>
      <c r="AA67" s="826"/>
      <c r="AB67" s="827"/>
      <c r="AC67" s="827"/>
      <c r="AD67" s="827"/>
      <c r="AE67" s="827"/>
      <c r="AF67" s="827"/>
      <c r="AG67" s="827"/>
      <c r="AH67" s="827"/>
      <c r="AI67" s="827"/>
      <c r="AJ67" s="466">
        <f t="shared" si="1"/>
        <v>0</v>
      </c>
    </row>
    <row r="68" spans="2:36">
      <c r="B68" s="467" t="s">
        <v>475</v>
      </c>
      <c r="C68" s="804"/>
      <c r="D68" s="804" t="s">
        <v>445</v>
      </c>
      <c r="E68" s="806"/>
      <c r="F68" s="804"/>
      <c r="G68" s="455"/>
      <c r="H68" s="811"/>
      <c r="I68" s="474"/>
      <c r="J68" s="453" t="str">
        <f>IF($D68=INDEX(Yes_No_Choice[],1),INDEX(Equipment_Utitliy_Specs_Units[],MATCH($I$5,Equipment_Utility_Spec_List,0),2),"")</f>
        <v/>
      </c>
      <c r="K68" s="474"/>
      <c r="L68" s="453" t="str">
        <f>IF($D68=INDEX(Yes_No_Choice[],1),INDEX(Equipment_Utitliy_Specs_Units[],MATCH($K$5,Equipment_Utility_Spec_List,0),2),"")</f>
        <v/>
      </c>
      <c r="M68" s="474"/>
      <c r="N68" s="453" t="str">
        <f>IF($D68=INDEX(Yes_No_Choice[],1),INDEX(Equipment_Utitliy_Specs_Units[],MATCH($M$5,Equipment_Utility_Spec_List,0),2),"")</f>
        <v/>
      </c>
      <c r="O68" s="474"/>
      <c r="P68" s="453" t="str">
        <f>IF($D68=INDEX(Yes_No_Choice[],1),INDEX(Equipment_Utitliy_Specs_Units[],MATCH($O$5,Equipment_Utility_Spec_List,0),2),"")</f>
        <v/>
      </c>
      <c r="Q68" s="237"/>
      <c r="R68" s="804" t="s">
        <v>445</v>
      </c>
      <c r="S68" s="806"/>
      <c r="T68" s="819"/>
      <c r="U68" s="461">
        <f>IFERROR(T68/(INDEX(Settings_Currency_Table[],MATCH(General_Currency_Selection,Settings_Currency,0),2)),0)</f>
        <v>0</v>
      </c>
      <c r="V68" s="804"/>
      <c r="W68" s="461">
        <f>U68*'1.0-General input'!$E$111</f>
        <v>0</v>
      </c>
      <c r="X68" s="461">
        <f>IFERROR(('2.2-Equipment input'!$U68-W68)/V68,)</f>
        <v>0</v>
      </c>
      <c r="Y68" s="824"/>
      <c r="Z68" s="473">
        <f>IF(General_EquipmentQuant_Auto="Yes",'2.2-Equipment input'!G68,'2.2-Equipment input'!H68)</f>
        <v>0</v>
      </c>
      <c r="AA68" s="826"/>
      <c r="AB68" s="827"/>
      <c r="AC68" s="827"/>
      <c r="AD68" s="827"/>
      <c r="AE68" s="827"/>
      <c r="AF68" s="827"/>
      <c r="AG68" s="827"/>
      <c r="AH68" s="827"/>
      <c r="AI68" s="827"/>
      <c r="AJ68" s="466">
        <f t="shared" si="1"/>
        <v>0</v>
      </c>
    </row>
    <row r="69" spans="2:36">
      <c r="B69" s="451" t="s">
        <v>476</v>
      </c>
      <c r="C69" s="804"/>
      <c r="D69" s="804" t="s">
        <v>445</v>
      </c>
      <c r="E69" s="806"/>
      <c r="F69" s="804"/>
      <c r="G69" s="455"/>
      <c r="H69" s="811"/>
      <c r="I69" s="474"/>
      <c r="J69" s="453" t="str">
        <f>IF($D69=INDEX(Yes_No_Choice[],1),INDEX(Equipment_Utitliy_Specs_Units[],MATCH($I$5,Equipment_Utility_Spec_List,0),2),"")</f>
        <v/>
      </c>
      <c r="K69" s="474"/>
      <c r="L69" s="453" t="str">
        <f>IF($D69=INDEX(Yes_No_Choice[],1),INDEX(Equipment_Utitliy_Specs_Units[],MATCH($K$5,Equipment_Utility_Spec_List,0),2),"")</f>
        <v/>
      </c>
      <c r="M69" s="474"/>
      <c r="N69" s="453" t="str">
        <f>IF($D69=INDEX(Yes_No_Choice[],1),INDEX(Equipment_Utitliy_Specs_Units[],MATCH($M$5,Equipment_Utility_Spec_List,0),2),"")</f>
        <v/>
      </c>
      <c r="O69" s="474"/>
      <c r="P69" s="453" t="str">
        <f>IF($D69=INDEX(Yes_No_Choice[],1),INDEX(Equipment_Utitliy_Specs_Units[],MATCH($O$5,Equipment_Utility_Spec_List,0),2),"")</f>
        <v/>
      </c>
      <c r="Q69" s="237"/>
      <c r="R69" s="804" t="s">
        <v>445</v>
      </c>
      <c r="S69" s="806"/>
      <c r="T69" s="819"/>
      <c r="U69" s="461">
        <f>IFERROR(T69/(INDEX(Settings_Currency_Table[],MATCH(General_Currency_Selection,Settings_Currency,0),2)),0)</f>
        <v>0</v>
      </c>
      <c r="V69" s="804"/>
      <c r="W69" s="461">
        <f>U69*'1.0-General input'!$E$111</f>
        <v>0</v>
      </c>
      <c r="X69" s="461">
        <f>IFERROR(('2.2-Equipment input'!$U69-W69)/V69,)</f>
        <v>0</v>
      </c>
      <c r="Y69" s="824"/>
      <c r="Z69" s="473">
        <f>IF(General_EquipmentQuant_Auto="Yes",'2.2-Equipment input'!G69,'2.2-Equipment input'!H69)</f>
        <v>0</v>
      </c>
      <c r="AA69" s="826"/>
      <c r="AB69" s="827"/>
      <c r="AC69" s="827"/>
      <c r="AD69" s="827"/>
      <c r="AE69" s="827"/>
      <c r="AF69" s="827"/>
      <c r="AG69" s="827"/>
      <c r="AH69" s="827"/>
      <c r="AI69" s="827"/>
      <c r="AJ69" s="466">
        <f t="shared" si="1"/>
        <v>0</v>
      </c>
    </row>
    <row r="70" spans="2:36">
      <c r="B70" s="467" t="s">
        <v>477</v>
      </c>
      <c r="C70" s="804"/>
      <c r="D70" s="804" t="s">
        <v>445</v>
      </c>
      <c r="E70" s="806"/>
      <c r="F70" s="804"/>
      <c r="G70" s="455"/>
      <c r="H70" s="811"/>
      <c r="I70" s="474"/>
      <c r="J70" s="453" t="str">
        <f>IF($D70=INDEX(Yes_No_Choice[],1),INDEX(Equipment_Utitliy_Specs_Units[],MATCH($I$5,Equipment_Utility_Spec_List,0),2),"")</f>
        <v/>
      </c>
      <c r="K70" s="474"/>
      <c r="L70" s="453" t="str">
        <f>IF($D70=INDEX(Yes_No_Choice[],1),INDEX(Equipment_Utitliy_Specs_Units[],MATCH($K$5,Equipment_Utility_Spec_List,0),2),"")</f>
        <v/>
      </c>
      <c r="M70" s="474"/>
      <c r="N70" s="453" t="str">
        <f>IF($D70=INDEX(Yes_No_Choice[],1),INDEX(Equipment_Utitliy_Specs_Units[],MATCH($M$5,Equipment_Utility_Spec_List,0),2),"")</f>
        <v/>
      </c>
      <c r="O70" s="474"/>
      <c r="P70" s="453" t="str">
        <f>IF($D70=INDEX(Yes_No_Choice[],1),INDEX(Equipment_Utitliy_Specs_Units[],MATCH($O$5,Equipment_Utility_Spec_List,0),2),"")</f>
        <v/>
      </c>
      <c r="Q70" s="237"/>
      <c r="R70" s="804" t="s">
        <v>445</v>
      </c>
      <c r="S70" s="806"/>
      <c r="T70" s="819"/>
      <c r="U70" s="461">
        <f>IFERROR(T70/(INDEX(Settings_Currency_Table[],MATCH(General_Currency_Selection,Settings_Currency,0),2)),0)</f>
        <v>0</v>
      </c>
      <c r="V70" s="804"/>
      <c r="W70" s="461">
        <f>U70*'1.0-General input'!$E$111</f>
        <v>0</v>
      </c>
      <c r="X70" s="461">
        <f>IFERROR(('2.2-Equipment input'!$U70-W70)/V70,)</f>
        <v>0</v>
      </c>
      <c r="Y70" s="824"/>
      <c r="Z70" s="473">
        <f>IF(General_EquipmentQuant_Auto="Yes",'2.2-Equipment input'!G70,'2.2-Equipment input'!H70)</f>
        <v>0</v>
      </c>
      <c r="AA70" s="826"/>
      <c r="AB70" s="827"/>
      <c r="AC70" s="827"/>
      <c r="AD70" s="827"/>
      <c r="AE70" s="827"/>
      <c r="AF70" s="827"/>
      <c r="AG70" s="827"/>
      <c r="AH70" s="827"/>
      <c r="AI70" s="827"/>
      <c r="AJ70" s="466">
        <f t="shared" si="1"/>
        <v>0</v>
      </c>
    </row>
    <row r="71" spans="2:36">
      <c r="B71" s="451" t="s">
        <v>478</v>
      </c>
      <c r="C71" s="804"/>
      <c r="D71" s="804" t="s">
        <v>445</v>
      </c>
      <c r="E71" s="806"/>
      <c r="F71" s="804"/>
      <c r="G71" s="455"/>
      <c r="H71" s="811"/>
      <c r="I71" s="474"/>
      <c r="J71" s="453" t="str">
        <f>IF($D71=INDEX(Yes_No_Choice[],1),INDEX(Equipment_Utitliy_Specs_Units[],MATCH($I$5,Equipment_Utility_Spec_List,0),2),"")</f>
        <v/>
      </c>
      <c r="K71" s="474"/>
      <c r="L71" s="453" t="str">
        <f>IF($D71=INDEX(Yes_No_Choice[],1),INDEX(Equipment_Utitliy_Specs_Units[],MATCH($K$5,Equipment_Utility_Spec_List,0),2),"")</f>
        <v/>
      </c>
      <c r="M71" s="474"/>
      <c r="N71" s="453" t="str">
        <f>IF($D71=INDEX(Yes_No_Choice[],1),INDEX(Equipment_Utitliy_Specs_Units[],MATCH($M$5,Equipment_Utility_Spec_List,0),2),"")</f>
        <v/>
      </c>
      <c r="O71" s="474"/>
      <c r="P71" s="453" t="str">
        <f>IF($D71=INDEX(Yes_No_Choice[],1),INDEX(Equipment_Utitliy_Specs_Units[],MATCH($O$5,Equipment_Utility_Spec_List,0),2),"")</f>
        <v/>
      </c>
      <c r="Q71" s="237"/>
      <c r="R71" s="804" t="s">
        <v>445</v>
      </c>
      <c r="S71" s="806"/>
      <c r="T71" s="819"/>
      <c r="U71" s="461">
        <f>IFERROR(T71/(INDEX(Settings_Currency_Table[],MATCH(General_Currency_Selection,Settings_Currency,0),2)),0)</f>
        <v>0</v>
      </c>
      <c r="V71" s="804"/>
      <c r="W71" s="461">
        <f>U71*'1.0-General input'!$E$111</f>
        <v>0</v>
      </c>
      <c r="X71" s="461">
        <f>IFERROR(('2.2-Equipment input'!$U71-W71)/V71,)</f>
        <v>0</v>
      </c>
      <c r="Y71" s="824"/>
      <c r="Z71" s="473">
        <f>IF(General_EquipmentQuant_Auto="Yes",'2.2-Equipment input'!G71,'2.2-Equipment input'!H71)</f>
        <v>0</v>
      </c>
      <c r="AA71" s="826"/>
      <c r="AB71" s="827"/>
      <c r="AC71" s="827"/>
      <c r="AD71" s="827"/>
      <c r="AE71" s="827"/>
      <c r="AF71" s="827"/>
      <c r="AG71" s="827"/>
      <c r="AH71" s="827"/>
      <c r="AI71" s="827"/>
      <c r="AJ71" s="466">
        <f t="shared" ref="AJ71:AJ102" si="2">SUM(AA71:AI71)</f>
        <v>0</v>
      </c>
    </row>
    <row r="72" spans="2:36">
      <c r="B72" s="467" t="s">
        <v>479</v>
      </c>
      <c r="C72" s="804"/>
      <c r="D72" s="804" t="s">
        <v>445</v>
      </c>
      <c r="E72" s="806"/>
      <c r="F72" s="804"/>
      <c r="G72" s="455"/>
      <c r="H72" s="811"/>
      <c r="I72" s="474"/>
      <c r="J72" s="453" t="str">
        <f>IF($D72=INDEX(Yes_No_Choice[],1),INDEX(Equipment_Utitliy_Specs_Units[],MATCH($I$5,Equipment_Utility_Spec_List,0),2),"")</f>
        <v/>
      </c>
      <c r="K72" s="474"/>
      <c r="L72" s="453" t="str">
        <f>IF($D72=INDEX(Yes_No_Choice[],1),INDEX(Equipment_Utitliy_Specs_Units[],MATCH($K$5,Equipment_Utility_Spec_List,0),2),"")</f>
        <v/>
      </c>
      <c r="M72" s="474"/>
      <c r="N72" s="453" t="str">
        <f>IF($D72=INDEX(Yes_No_Choice[],1),INDEX(Equipment_Utitliy_Specs_Units[],MATCH($M$5,Equipment_Utility_Spec_List,0),2),"")</f>
        <v/>
      </c>
      <c r="O72" s="474"/>
      <c r="P72" s="453" t="str">
        <f>IF($D72=INDEX(Yes_No_Choice[],1),INDEX(Equipment_Utitliy_Specs_Units[],MATCH($O$5,Equipment_Utility_Spec_List,0),2),"")</f>
        <v/>
      </c>
      <c r="Q72" s="237"/>
      <c r="R72" s="804" t="s">
        <v>445</v>
      </c>
      <c r="S72" s="806"/>
      <c r="T72" s="819"/>
      <c r="U72" s="461">
        <f>IFERROR(T72/(INDEX(Settings_Currency_Table[],MATCH(General_Currency_Selection,Settings_Currency,0),2)),0)</f>
        <v>0</v>
      </c>
      <c r="V72" s="804"/>
      <c r="W72" s="461">
        <f>U72*'1.0-General input'!$E$111</f>
        <v>0</v>
      </c>
      <c r="X72" s="461">
        <f>IFERROR(('2.2-Equipment input'!$U72-W72)/V72,)</f>
        <v>0</v>
      </c>
      <c r="Y72" s="824"/>
      <c r="Z72" s="473">
        <f>IF(General_EquipmentQuant_Auto="Yes",'2.2-Equipment input'!G72,'2.2-Equipment input'!H72)</f>
        <v>0</v>
      </c>
      <c r="AA72" s="826"/>
      <c r="AB72" s="827"/>
      <c r="AC72" s="827"/>
      <c r="AD72" s="827"/>
      <c r="AE72" s="827"/>
      <c r="AF72" s="827"/>
      <c r="AG72" s="827"/>
      <c r="AH72" s="827"/>
      <c r="AI72" s="827"/>
      <c r="AJ72" s="466">
        <f t="shared" si="2"/>
        <v>0</v>
      </c>
    </row>
    <row r="73" spans="2:36">
      <c r="B73" s="451" t="s">
        <v>480</v>
      </c>
      <c r="C73" s="804"/>
      <c r="D73" s="804" t="s">
        <v>445</v>
      </c>
      <c r="E73" s="806"/>
      <c r="F73" s="804"/>
      <c r="G73" s="455"/>
      <c r="H73" s="811"/>
      <c r="I73" s="474"/>
      <c r="J73" s="453" t="str">
        <f>IF($D73=INDEX(Yes_No_Choice[],1),INDEX(Equipment_Utitliy_Specs_Units[],MATCH($I$5,Equipment_Utility_Spec_List,0),2),"")</f>
        <v/>
      </c>
      <c r="K73" s="474"/>
      <c r="L73" s="453" t="str">
        <f>IF($D73=INDEX(Yes_No_Choice[],1),INDEX(Equipment_Utitliy_Specs_Units[],MATCH($K$5,Equipment_Utility_Spec_List,0),2),"")</f>
        <v/>
      </c>
      <c r="M73" s="474"/>
      <c r="N73" s="453" t="str">
        <f>IF($D73=INDEX(Yes_No_Choice[],1),INDEX(Equipment_Utitliy_Specs_Units[],MATCH($M$5,Equipment_Utility_Spec_List,0),2),"")</f>
        <v/>
      </c>
      <c r="O73" s="474"/>
      <c r="P73" s="453" t="str">
        <f>IF($D73=INDEX(Yes_No_Choice[],1),INDEX(Equipment_Utitliy_Specs_Units[],MATCH($O$5,Equipment_Utility_Spec_List,0),2),"")</f>
        <v/>
      </c>
      <c r="Q73" s="237"/>
      <c r="R73" s="804" t="s">
        <v>445</v>
      </c>
      <c r="S73" s="806"/>
      <c r="T73" s="819"/>
      <c r="U73" s="461">
        <f>IFERROR(T73/(INDEX(Settings_Currency_Table[],MATCH(General_Currency_Selection,Settings_Currency,0),2)),0)</f>
        <v>0</v>
      </c>
      <c r="V73" s="804"/>
      <c r="W73" s="461">
        <f>U73*'1.0-General input'!$E$111</f>
        <v>0</v>
      </c>
      <c r="X73" s="461">
        <f>IFERROR(('2.2-Equipment input'!$U73-W73)/V73,)</f>
        <v>0</v>
      </c>
      <c r="Y73" s="824"/>
      <c r="Z73" s="473">
        <f>IF(General_EquipmentQuant_Auto="Yes",'2.2-Equipment input'!G73,'2.2-Equipment input'!H73)</f>
        <v>0</v>
      </c>
      <c r="AA73" s="826"/>
      <c r="AB73" s="827"/>
      <c r="AC73" s="827"/>
      <c r="AD73" s="827"/>
      <c r="AE73" s="827"/>
      <c r="AF73" s="827"/>
      <c r="AG73" s="827"/>
      <c r="AH73" s="827"/>
      <c r="AI73" s="827"/>
      <c r="AJ73" s="466">
        <f t="shared" si="2"/>
        <v>0</v>
      </c>
    </row>
    <row r="74" spans="2:36">
      <c r="B74" s="467" t="s">
        <v>481</v>
      </c>
      <c r="C74" s="804"/>
      <c r="D74" s="804" t="s">
        <v>445</v>
      </c>
      <c r="E74" s="806"/>
      <c r="F74" s="804"/>
      <c r="G74" s="455"/>
      <c r="H74" s="811"/>
      <c r="I74" s="474"/>
      <c r="J74" s="453" t="str">
        <f>IF($D74=INDEX(Yes_No_Choice[],1),INDEX(Equipment_Utitliy_Specs_Units[],MATCH($I$5,Equipment_Utility_Spec_List,0),2),"")</f>
        <v/>
      </c>
      <c r="K74" s="474"/>
      <c r="L74" s="453" t="str">
        <f>IF($D74=INDEX(Yes_No_Choice[],1),INDEX(Equipment_Utitliy_Specs_Units[],MATCH($K$5,Equipment_Utility_Spec_List,0),2),"")</f>
        <v/>
      </c>
      <c r="M74" s="474"/>
      <c r="N74" s="453" t="str">
        <f>IF($D74=INDEX(Yes_No_Choice[],1),INDEX(Equipment_Utitliy_Specs_Units[],MATCH($M$5,Equipment_Utility_Spec_List,0),2),"")</f>
        <v/>
      </c>
      <c r="O74" s="474"/>
      <c r="P74" s="453" t="str">
        <f>IF($D74=INDEX(Yes_No_Choice[],1),INDEX(Equipment_Utitliy_Specs_Units[],MATCH($O$5,Equipment_Utility_Spec_List,0),2),"")</f>
        <v/>
      </c>
      <c r="Q74" s="237"/>
      <c r="R74" s="804" t="s">
        <v>445</v>
      </c>
      <c r="S74" s="806"/>
      <c r="T74" s="819"/>
      <c r="U74" s="461">
        <f>IFERROR(T74/(INDEX(Settings_Currency_Table[],MATCH(General_Currency_Selection,Settings_Currency,0),2)),0)</f>
        <v>0</v>
      </c>
      <c r="V74" s="804"/>
      <c r="W74" s="461">
        <f>U74*'1.0-General input'!$E$111</f>
        <v>0</v>
      </c>
      <c r="X74" s="461">
        <f>IFERROR(('2.2-Equipment input'!$U74-W74)/V74,)</f>
        <v>0</v>
      </c>
      <c r="Y74" s="824"/>
      <c r="Z74" s="473">
        <f>IF(General_EquipmentQuant_Auto="Yes",'2.2-Equipment input'!G74,'2.2-Equipment input'!H74)</f>
        <v>0</v>
      </c>
      <c r="AA74" s="826"/>
      <c r="AB74" s="827"/>
      <c r="AC74" s="827"/>
      <c r="AD74" s="827"/>
      <c r="AE74" s="827"/>
      <c r="AF74" s="827"/>
      <c r="AG74" s="827"/>
      <c r="AH74" s="827"/>
      <c r="AI74" s="827"/>
      <c r="AJ74" s="466">
        <f t="shared" si="2"/>
        <v>0</v>
      </c>
    </row>
    <row r="75" spans="2:36">
      <c r="B75" s="451" t="s">
        <v>482</v>
      </c>
      <c r="C75" s="804"/>
      <c r="D75" s="804" t="s">
        <v>445</v>
      </c>
      <c r="E75" s="806"/>
      <c r="F75" s="804"/>
      <c r="G75" s="455"/>
      <c r="H75" s="811"/>
      <c r="I75" s="474"/>
      <c r="J75" s="453" t="str">
        <f>IF($D75=INDEX(Yes_No_Choice[],1),INDEX(Equipment_Utitliy_Specs_Units[],MATCH($I$5,Equipment_Utility_Spec_List,0),2),"")</f>
        <v/>
      </c>
      <c r="K75" s="474"/>
      <c r="L75" s="453" t="str">
        <f>IF($D75=INDEX(Yes_No_Choice[],1),INDEX(Equipment_Utitliy_Specs_Units[],MATCH($K$5,Equipment_Utility_Spec_List,0),2),"")</f>
        <v/>
      </c>
      <c r="M75" s="474"/>
      <c r="N75" s="453" t="str">
        <f>IF($D75=INDEX(Yes_No_Choice[],1),INDEX(Equipment_Utitliy_Specs_Units[],MATCH($M$5,Equipment_Utility_Spec_List,0),2),"")</f>
        <v/>
      </c>
      <c r="O75" s="474"/>
      <c r="P75" s="453" t="str">
        <f>IF($D75=INDEX(Yes_No_Choice[],1),INDEX(Equipment_Utitliy_Specs_Units[],MATCH($O$5,Equipment_Utility_Spec_List,0),2),"")</f>
        <v/>
      </c>
      <c r="Q75" s="237"/>
      <c r="R75" s="804" t="s">
        <v>445</v>
      </c>
      <c r="S75" s="806"/>
      <c r="T75" s="819"/>
      <c r="U75" s="461">
        <f>IFERROR(T75/(INDEX(Settings_Currency_Table[],MATCH(General_Currency_Selection,Settings_Currency,0),2)),0)</f>
        <v>0</v>
      </c>
      <c r="V75" s="804"/>
      <c r="W75" s="461">
        <f>U75*'1.0-General input'!$E$111</f>
        <v>0</v>
      </c>
      <c r="X75" s="461">
        <f>IFERROR(('2.2-Equipment input'!$U75-W75)/V75,)</f>
        <v>0</v>
      </c>
      <c r="Y75" s="824"/>
      <c r="Z75" s="473">
        <f>IF(General_EquipmentQuant_Auto="Yes",'2.2-Equipment input'!G75,'2.2-Equipment input'!H75)</f>
        <v>0</v>
      </c>
      <c r="AA75" s="826"/>
      <c r="AB75" s="827"/>
      <c r="AC75" s="827"/>
      <c r="AD75" s="827"/>
      <c r="AE75" s="827"/>
      <c r="AF75" s="827"/>
      <c r="AG75" s="827"/>
      <c r="AH75" s="827"/>
      <c r="AI75" s="827"/>
      <c r="AJ75" s="466">
        <f t="shared" si="2"/>
        <v>0</v>
      </c>
    </row>
    <row r="76" spans="2:36">
      <c r="B76" s="467" t="s">
        <v>483</v>
      </c>
      <c r="C76" s="804"/>
      <c r="D76" s="804" t="s">
        <v>445</v>
      </c>
      <c r="E76" s="806"/>
      <c r="F76" s="804"/>
      <c r="G76" s="455"/>
      <c r="H76" s="811"/>
      <c r="I76" s="474"/>
      <c r="J76" s="453" t="str">
        <f>IF($D76=INDEX(Yes_No_Choice[],1),INDEX(Equipment_Utitliy_Specs_Units[],MATCH($I$5,Equipment_Utility_Spec_List,0),2),"")</f>
        <v/>
      </c>
      <c r="K76" s="474"/>
      <c r="L76" s="453" t="str">
        <f>IF($D76=INDEX(Yes_No_Choice[],1),INDEX(Equipment_Utitliy_Specs_Units[],MATCH($K$5,Equipment_Utility_Spec_List,0),2),"")</f>
        <v/>
      </c>
      <c r="M76" s="474"/>
      <c r="N76" s="453" t="str">
        <f>IF($D76=INDEX(Yes_No_Choice[],1),INDEX(Equipment_Utitliy_Specs_Units[],MATCH($M$5,Equipment_Utility_Spec_List,0),2),"")</f>
        <v/>
      </c>
      <c r="O76" s="474"/>
      <c r="P76" s="453" t="str">
        <f>IF($D76=INDEX(Yes_No_Choice[],1),INDEX(Equipment_Utitliy_Specs_Units[],MATCH($O$5,Equipment_Utility_Spec_List,0),2),"")</f>
        <v/>
      </c>
      <c r="Q76" s="237"/>
      <c r="R76" s="804" t="s">
        <v>445</v>
      </c>
      <c r="S76" s="806"/>
      <c r="T76" s="819"/>
      <c r="U76" s="461">
        <f>IFERROR(T76/(INDEX(Settings_Currency_Table[],MATCH(General_Currency_Selection,Settings_Currency,0),2)),0)</f>
        <v>0</v>
      </c>
      <c r="V76" s="804"/>
      <c r="W76" s="461">
        <f>U76*'1.0-General input'!$E$111</f>
        <v>0</v>
      </c>
      <c r="X76" s="461">
        <f>IFERROR(('2.2-Equipment input'!$U76-W76)/V76,)</f>
        <v>0</v>
      </c>
      <c r="Y76" s="824"/>
      <c r="Z76" s="473">
        <f>IF(General_EquipmentQuant_Auto="Yes",'2.2-Equipment input'!G76,'2.2-Equipment input'!H76)</f>
        <v>0</v>
      </c>
      <c r="AA76" s="826"/>
      <c r="AB76" s="827"/>
      <c r="AC76" s="827"/>
      <c r="AD76" s="827"/>
      <c r="AE76" s="827"/>
      <c r="AF76" s="827"/>
      <c r="AG76" s="827"/>
      <c r="AH76" s="827"/>
      <c r="AI76" s="827"/>
      <c r="AJ76" s="466">
        <f t="shared" si="2"/>
        <v>0</v>
      </c>
    </row>
    <row r="77" spans="2:36">
      <c r="B77" s="451" t="s">
        <v>484</v>
      </c>
      <c r="C77" s="804"/>
      <c r="D77" s="804" t="s">
        <v>445</v>
      </c>
      <c r="E77" s="806"/>
      <c r="F77" s="804"/>
      <c r="G77" s="455"/>
      <c r="H77" s="811"/>
      <c r="I77" s="474"/>
      <c r="J77" s="453" t="str">
        <f>IF($D77=INDEX(Yes_No_Choice[],1),INDEX(Equipment_Utitliy_Specs_Units[],MATCH($I$5,Equipment_Utility_Spec_List,0),2),"")</f>
        <v/>
      </c>
      <c r="K77" s="474"/>
      <c r="L77" s="453" t="str">
        <f>IF($D77=INDEX(Yes_No_Choice[],1),INDEX(Equipment_Utitliy_Specs_Units[],MATCH($K$5,Equipment_Utility_Spec_List,0),2),"")</f>
        <v/>
      </c>
      <c r="M77" s="474"/>
      <c r="N77" s="453" t="str">
        <f>IF($D77=INDEX(Yes_No_Choice[],1),INDEX(Equipment_Utitliy_Specs_Units[],MATCH($M$5,Equipment_Utility_Spec_List,0),2),"")</f>
        <v/>
      </c>
      <c r="O77" s="474"/>
      <c r="P77" s="453" t="str">
        <f>IF($D77=INDEX(Yes_No_Choice[],1),INDEX(Equipment_Utitliy_Specs_Units[],MATCH($O$5,Equipment_Utility_Spec_List,0),2),"")</f>
        <v/>
      </c>
      <c r="Q77" s="237"/>
      <c r="R77" s="804" t="s">
        <v>445</v>
      </c>
      <c r="S77" s="806"/>
      <c r="T77" s="819"/>
      <c r="U77" s="461">
        <f>IFERROR(T77/(INDEX(Settings_Currency_Table[],MATCH(General_Currency_Selection,Settings_Currency,0),2)),0)</f>
        <v>0</v>
      </c>
      <c r="V77" s="804"/>
      <c r="W77" s="461">
        <f>U77*'1.0-General input'!$E$111</f>
        <v>0</v>
      </c>
      <c r="X77" s="461">
        <f>IFERROR(('2.2-Equipment input'!$U77-W77)/V77,)</f>
        <v>0</v>
      </c>
      <c r="Y77" s="824"/>
      <c r="Z77" s="473">
        <f>IF(General_EquipmentQuant_Auto="Yes",'2.2-Equipment input'!G77,'2.2-Equipment input'!H77)</f>
        <v>0</v>
      </c>
      <c r="AA77" s="826"/>
      <c r="AB77" s="827"/>
      <c r="AC77" s="827"/>
      <c r="AD77" s="827"/>
      <c r="AE77" s="827"/>
      <c r="AF77" s="827"/>
      <c r="AG77" s="827"/>
      <c r="AH77" s="827"/>
      <c r="AI77" s="827"/>
      <c r="AJ77" s="466">
        <f t="shared" si="2"/>
        <v>0</v>
      </c>
    </row>
    <row r="78" spans="2:36">
      <c r="B78" s="467" t="s">
        <v>485</v>
      </c>
      <c r="C78" s="804"/>
      <c r="D78" s="804" t="s">
        <v>445</v>
      </c>
      <c r="E78" s="806"/>
      <c r="F78" s="804"/>
      <c r="G78" s="455"/>
      <c r="H78" s="811"/>
      <c r="I78" s="474"/>
      <c r="J78" s="453" t="str">
        <f>IF($D78=INDEX(Yes_No_Choice[],1),INDEX(Equipment_Utitliy_Specs_Units[],MATCH($I$5,Equipment_Utility_Spec_List,0),2),"")</f>
        <v/>
      </c>
      <c r="K78" s="474"/>
      <c r="L78" s="453" t="str">
        <f>IF($D78=INDEX(Yes_No_Choice[],1),INDEX(Equipment_Utitliy_Specs_Units[],MATCH($K$5,Equipment_Utility_Spec_List,0),2),"")</f>
        <v/>
      </c>
      <c r="M78" s="474"/>
      <c r="N78" s="453" t="str">
        <f>IF($D78=INDEX(Yes_No_Choice[],1),INDEX(Equipment_Utitliy_Specs_Units[],MATCH($M$5,Equipment_Utility_Spec_List,0),2),"")</f>
        <v/>
      </c>
      <c r="O78" s="474"/>
      <c r="P78" s="453" t="str">
        <f>IF($D78=INDEX(Yes_No_Choice[],1),INDEX(Equipment_Utitliy_Specs_Units[],MATCH($O$5,Equipment_Utility_Spec_List,0),2),"")</f>
        <v/>
      </c>
      <c r="Q78" s="237"/>
      <c r="R78" s="804" t="s">
        <v>445</v>
      </c>
      <c r="S78" s="806"/>
      <c r="T78" s="819"/>
      <c r="U78" s="461">
        <f>IFERROR(T78/(INDEX(Settings_Currency_Table[],MATCH(General_Currency_Selection,Settings_Currency,0),2)),0)</f>
        <v>0</v>
      </c>
      <c r="V78" s="804"/>
      <c r="W78" s="461">
        <f>U78*'1.0-General input'!$E$111</f>
        <v>0</v>
      </c>
      <c r="X78" s="461">
        <f>IFERROR(('2.2-Equipment input'!$U78-W78)/V78,)</f>
        <v>0</v>
      </c>
      <c r="Y78" s="824"/>
      <c r="Z78" s="473">
        <f>IF(General_EquipmentQuant_Auto="Yes",'2.2-Equipment input'!G78,'2.2-Equipment input'!H78)</f>
        <v>0</v>
      </c>
      <c r="AA78" s="826"/>
      <c r="AB78" s="827"/>
      <c r="AC78" s="827"/>
      <c r="AD78" s="827"/>
      <c r="AE78" s="827"/>
      <c r="AF78" s="827"/>
      <c r="AG78" s="827"/>
      <c r="AH78" s="827"/>
      <c r="AI78" s="827"/>
      <c r="AJ78" s="466">
        <f t="shared" si="2"/>
        <v>0</v>
      </c>
    </row>
    <row r="79" spans="2:36">
      <c r="B79" s="451" t="s">
        <v>486</v>
      </c>
      <c r="C79" s="804"/>
      <c r="D79" s="804" t="s">
        <v>445</v>
      </c>
      <c r="E79" s="806"/>
      <c r="F79" s="804"/>
      <c r="G79" s="455"/>
      <c r="H79" s="811"/>
      <c r="I79" s="474"/>
      <c r="J79" s="453" t="str">
        <f>IF($D79=INDEX(Yes_No_Choice[],1),INDEX(Equipment_Utitliy_Specs_Units[],MATCH($I$5,Equipment_Utility_Spec_List,0),2),"")</f>
        <v/>
      </c>
      <c r="K79" s="474"/>
      <c r="L79" s="453" t="str">
        <f>IF($D79=INDEX(Yes_No_Choice[],1),INDEX(Equipment_Utitliy_Specs_Units[],MATCH($K$5,Equipment_Utility_Spec_List,0),2),"")</f>
        <v/>
      </c>
      <c r="M79" s="474"/>
      <c r="N79" s="453" t="str">
        <f>IF($D79=INDEX(Yes_No_Choice[],1),INDEX(Equipment_Utitliy_Specs_Units[],MATCH($M$5,Equipment_Utility_Spec_List,0),2),"")</f>
        <v/>
      </c>
      <c r="O79" s="474"/>
      <c r="P79" s="453" t="str">
        <f>IF($D79=INDEX(Yes_No_Choice[],1),INDEX(Equipment_Utitliy_Specs_Units[],MATCH($O$5,Equipment_Utility_Spec_List,0),2),"")</f>
        <v/>
      </c>
      <c r="Q79" s="237"/>
      <c r="R79" s="804" t="s">
        <v>445</v>
      </c>
      <c r="S79" s="806"/>
      <c r="T79" s="819"/>
      <c r="U79" s="461">
        <f>IFERROR(T79/(INDEX(Settings_Currency_Table[],MATCH(General_Currency_Selection,Settings_Currency,0),2)),0)</f>
        <v>0</v>
      </c>
      <c r="V79" s="804"/>
      <c r="W79" s="461">
        <f>U79*'1.0-General input'!$E$111</f>
        <v>0</v>
      </c>
      <c r="X79" s="461">
        <f>IFERROR(('2.2-Equipment input'!$U79-W79)/V79,)</f>
        <v>0</v>
      </c>
      <c r="Y79" s="824"/>
      <c r="Z79" s="473">
        <f>IF(General_EquipmentQuant_Auto="Yes",'2.2-Equipment input'!G79,'2.2-Equipment input'!H79)</f>
        <v>0</v>
      </c>
      <c r="AA79" s="826"/>
      <c r="AB79" s="827"/>
      <c r="AC79" s="827"/>
      <c r="AD79" s="827"/>
      <c r="AE79" s="827"/>
      <c r="AF79" s="827"/>
      <c r="AG79" s="827"/>
      <c r="AH79" s="827"/>
      <c r="AI79" s="827"/>
      <c r="AJ79" s="466">
        <f t="shared" si="2"/>
        <v>0</v>
      </c>
    </row>
    <row r="80" spans="2:36">
      <c r="B80" s="467" t="s">
        <v>487</v>
      </c>
      <c r="C80" s="804"/>
      <c r="D80" s="804" t="s">
        <v>445</v>
      </c>
      <c r="E80" s="806"/>
      <c r="F80" s="804"/>
      <c r="G80" s="455"/>
      <c r="H80" s="811"/>
      <c r="I80" s="474"/>
      <c r="J80" s="453" t="str">
        <f>IF($D80=INDEX(Yes_No_Choice[],1),INDEX(Equipment_Utitliy_Specs_Units[],MATCH($I$5,Equipment_Utility_Spec_List,0),2),"")</f>
        <v/>
      </c>
      <c r="K80" s="474"/>
      <c r="L80" s="453" t="str">
        <f>IF($D80=INDEX(Yes_No_Choice[],1),INDEX(Equipment_Utitliy_Specs_Units[],MATCH($K$5,Equipment_Utility_Spec_List,0),2),"")</f>
        <v/>
      </c>
      <c r="M80" s="474"/>
      <c r="N80" s="453" t="str">
        <f>IF($D80=INDEX(Yes_No_Choice[],1),INDEX(Equipment_Utitliy_Specs_Units[],MATCH($M$5,Equipment_Utility_Spec_List,0),2),"")</f>
        <v/>
      </c>
      <c r="O80" s="474"/>
      <c r="P80" s="453" t="str">
        <f>IF($D80=INDEX(Yes_No_Choice[],1),INDEX(Equipment_Utitliy_Specs_Units[],MATCH($O$5,Equipment_Utility_Spec_List,0),2),"")</f>
        <v/>
      </c>
      <c r="Q80" s="237"/>
      <c r="R80" s="804" t="s">
        <v>445</v>
      </c>
      <c r="S80" s="806"/>
      <c r="T80" s="819"/>
      <c r="U80" s="461">
        <f>IFERROR(T80/(INDEX(Settings_Currency_Table[],MATCH(General_Currency_Selection,Settings_Currency,0),2)),0)</f>
        <v>0</v>
      </c>
      <c r="V80" s="804"/>
      <c r="W80" s="461">
        <f>U80*'1.0-General input'!$E$111</f>
        <v>0</v>
      </c>
      <c r="X80" s="461">
        <f>IFERROR(('2.2-Equipment input'!$U80-W80)/V80,)</f>
        <v>0</v>
      </c>
      <c r="Y80" s="824"/>
      <c r="Z80" s="473">
        <f>IF(General_EquipmentQuant_Auto="Yes",'2.2-Equipment input'!G80,'2.2-Equipment input'!H80)</f>
        <v>0</v>
      </c>
      <c r="AA80" s="826"/>
      <c r="AB80" s="827"/>
      <c r="AC80" s="827"/>
      <c r="AD80" s="827"/>
      <c r="AE80" s="827"/>
      <c r="AF80" s="827"/>
      <c r="AG80" s="827"/>
      <c r="AH80" s="827"/>
      <c r="AI80" s="827"/>
      <c r="AJ80" s="466">
        <f t="shared" si="2"/>
        <v>0</v>
      </c>
    </row>
    <row r="81" spans="2:36">
      <c r="B81" s="451" t="s">
        <v>488</v>
      </c>
      <c r="C81" s="804"/>
      <c r="D81" s="804" t="s">
        <v>445</v>
      </c>
      <c r="E81" s="806"/>
      <c r="F81" s="804"/>
      <c r="G81" s="455"/>
      <c r="H81" s="811"/>
      <c r="I81" s="474"/>
      <c r="J81" s="453" t="str">
        <f>IF($D81=INDEX(Yes_No_Choice[],1),INDEX(Equipment_Utitliy_Specs_Units[],MATCH($I$5,Equipment_Utility_Spec_List,0),2),"")</f>
        <v/>
      </c>
      <c r="K81" s="474"/>
      <c r="L81" s="453" t="str">
        <f>IF($D81=INDEX(Yes_No_Choice[],1),INDEX(Equipment_Utitliy_Specs_Units[],MATCH($K$5,Equipment_Utility_Spec_List,0),2),"")</f>
        <v/>
      </c>
      <c r="M81" s="474"/>
      <c r="N81" s="453" t="str">
        <f>IF($D81=INDEX(Yes_No_Choice[],1),INDEX(Equipment_Utitliy_Specs_Units[],MATCH($M$5,Equipment_Utility_Spec_List,0),2),"")</f>
        <v/>
      </c>
      <c r="O81" s="474"/>
      <c r="P81" s="453" t="str">
        <f>IF($D81=INDEX(Yes_No_Choice[],1),INDEX(Equipment_Utitliy_Specs_Units[],MATCH($O$5,Equipment_Utility_Spec_List,0),2),"")</f>
        <v/>
      </c>
      <c r="Q81" s="237"/>
      <c r="R81" s="804" t="s">
        <v>445</v>
      </c>
      <c r="S81" s="806"/>
      <c r="T81" s="819"/>
      <c r="U81" s="461">
        <f>IFERROR(T81/(INDEX(Settings_Currency_Table[],MATCH(General_Currency_Selection,Settings_Currency,0),2)),0)</f>
        <v>0</v>
      </c>
      <c r="V81" s="804"/>
      <c r="W81" s="461">
        <f>U81*'1.0-General input'!$E$111</f>
        <v>0</v>
      </c>
      <c r="X81" s="461">
        <f>IFERROR(('2.2-Equipment input'!$U81-W81)/V81,)</f>
        <v>0</v>
      </c>
      <c r="Y81" s="824"/>
      <c r="Z81" s="473">
        <f>IF(General_EquipmentQuant_Auto="Yes",'2.2-Equipment input'!G81,'2.2-Equipment input'!H81)</f>
        <v>0</v>
      </c>
      <c r="AA81" s="826"/>
      <c r="AB81" s="827"/>
      <c r="AC81" s="827"/>
      <c r="AD81" s="827"/>
      <c r="AE81" s="827"/>
      <c r="AF81" s="827"/>
      <c r="AG81" s="827"/>
      <c r="AH81" s="827"/>
      <c r="AI81" s="827"/>
      <c r="AJ81" s="466">
        <f t="shared" si="2"/>
        <v>0</v>
      </c>
    </row>
    <row r="82" spans="2:36">
      <c r="B82" s="467" t="s">
        <v>489</v>
      </c>
      <c r="C82" s="804"/>
      <c r="D82" s="804" t="s">
        <v>445</v>
      </c>
      <c r="E82" s="806"/>
      <c r="F82" s="804"/>
      <c r="G82" s="455"/>
      <c r="H82" s="811"/>
      <c r="I82" s="474"/>
      <c r="J82" s="453" t="str">
        <f>IF($D82=INDEX(Yes_No_Choice[],1),INDEX(Equipment_Utitliy_Specs_Units[],MATCH($I$5,Equipment_Utility_Spec_List,0),2),"")</f>
        <v/>
      </c>
      <c r="K82" s="474"/>
      <c r="L82" s="453" t="str">
        <f>IF($D82=INDEX(Yes_No_Choice[],1),INDEX(Equipment_Utitliy_Specs_Units[],MATCH($K$5,Equipment_Utility_Spec_List,0),2),"")</f>
        <v/>
      </c>
      <c r="M82" s="474"/>
      <c r="N82" s="453" t="str">
        <f>IF($D82=INDEX(Yes_No_Choice[],1),INDEX(Equipment_Utitliy_Specs_Units[],MATCH($M$5,Equipment_Utility_Spec_List,0),2),"")</f>
        <v/>
      </c>
      <c r="O82" s="474"/>
      <c r="P82" s="453" t="str">
        <f>IF($D82=INDEX(Yes_No_Choice[],1),INDEX(Equipment_Utitliy_Specs_Units[],MATCH($O$5,Equipment_Utility_Spec_List,0),2),"")</f>
        <v/>
      </c>
      <c r="Q82" s="237"/>
      <c r="R82" s="804" t="s">
        <v>445</v>
      </c>
      <c r="S82" s="806"/>
      <c r="T82" s="819"/>
      <c r="U82" s="461">
        <f>IFERROR(T82/(INDEX(Settings_Currency_Table[],MATCH(General_Currency_Selection,Settings_Currency,0),2)),0)</f>
        <v>0</v>
      </c>
      <c r="V82" s="804"/>
      <c r="W82" s="461">
        <f>U82*'1.0-General input'!$E$111</f>
        <v>0</v>
      </c>
      <c r="X82" s="461">
        <f>IFERROR(('2.2-Equipment input'!$U82-W82)/V82,)</f>
        <v>0</v>
      </c>
      <c r="Y82" s="824"/>
      <c r="Z82" s="473">
        <f>IF(General_EquipmentQuant_Auto="Yes",'2.2-Equipment input'!G82,'2.2-Equipment input'!H82)</f>
        <v>0</v>
      </c>
      <c r="AA82" s="826"/>
      <c r="AB82" s="827"/>
      <c r="AC82" s="827"/>
      <c r="AD82" s="827"/>
      <c r="AE82" s="827"/>
      <c r="AF82" s="827"/>
      <c r="AG82" s="827"/>
      <c r="AH82" s="827"/>
      <c r="AI82" s="827"/>
      <c r="AJ82" s="466">
        <f t="shared" si="2"/>
        <v>0</v>
      </c>
    </row>
    <row r="83" spans="2:36">
      <c r="B83" s="451" t="s">
        <v>490</v>
      </c>
      <c r="C83" s="804"/>
      <c r="D83" s="804" t="s">
        <v>445</v>
      </c>
      <c r="E83" s="806"/>
      <c r="F83" s="804"/>
      <c r="G83" s="455"/>
      <c r="H83" s="811"/>
      <c r="I83" s="474"/>
      <c r="J83" s="453" t="str">
        <f>IF($D83=INDEX(Yes_No_Choice[],1),INDEX(Equipment_Utitliy_Specs_Units[],MATCH($I$5,Equipment_Utility_Spec_List,0),2),"")</f>
        <v/>
      </c>
      <c r="K83" s="474"/>
      <c r="L83" s="453" t="str">
        <f>IF($D83=INDEX(Yes_No_Choice[],1),INDEX(Equipment_Utitliy_Specs_Units[],MATCH($K$5,Equipment_Utility_Spec_List,0),2),"")</f>
        <v/>
      </c>
      <c r="M83" s="474"/>
      <c r="N83" s="453" t="str">
        <f>IF($D83=INDEX(Yes_No_Choice[],1),INDEX(Equipment_Utitliy_Specs_Units[],MATCH($M$5,Equipment_Utility_Spec_List,0),2),"")</f>
        <v/>
      </c>
      <c r="O83" s="474"/>
      <c r="P83" s="453" t="str">
        <f>IF($D83=INDEX(Yes_No_Choice[],1),INDEX(Equipment_Utitliy_Specs_Units[],MATCH($O$5,Equipment_Utility_Spec_List,0),2),"")</f>
        <v/>
      </c>
      <c r="Q83" s="237"/>
      <c r="R83" s="804" t="s">
        <v>445</v>
      </c>
      <c r="S83" s="806"/>
      <c r="T83" s="819"/>
      <c r="U83" s="461">
        <f>IFERROR(T83/(INDEX(Settings_Currency_Table[],MATCH(General_Currency_Selection,Settings_Currency,0),2)),0)</f>
        <v>0</v>
      </c>
      <c r="V83" s="804"/>
      <c r="W83" s="461">
        <f>U83*'1.0-General input'!$E$111</f>
        <v>0</v>
      </c>
      <c r="X83" s="461">
        <f>IFERROR(('2.2-Equipment input'!$U83-W83)/V83,)</f>
        <v>0</v>
      </c>
      <c r="Y83" s="824"/>
      <c r="Z83" s="473">
        <f>IF(General_EquipmentQuant_Auto="Yes",'2.2-Equipment input'!G83,'2.2-Equipment input'!H83)</f>
        <v>0</v>
      </c>
      <c r="AA83" s="826"/>
      <c r="AB83" s="827"/>
      <c r="AC83" s="827"/>
      <c r="AD83" s="827"/>
      <c r="AE83" s="827"/>
      <c r="AF83" s="827"/>
      <c r="AG83" s="827"/>
      <c r="AH83" s="827"/>
      <c r="AI83" s="827"/>
      <c r="AJ83" s="466">
        <f t="shared" si="2"/>
        <v>0</v>
      </c>
    </row>
    <row r="84" spans="2:36">
      <c r="B84" s="467" t="s">
        <v>491</v>
      </c>
      <c r="C84" s="804"/>
      <c r="D84" s="804" t="s">
        <v>445</v>
      </c>
      <c r="E84" s="806"/>
      <c r="F84" s="804"/>
      <c r="G84" s="455"/>
      <c r="H84" s="811"/>
      <c r="I84" s="474"/>
      <c r="J84" s="453" t="str">
        <f>IF($D84=INDEX(Yes_No_Choice[],1),INDEX(Equipment_Utitliy_Specs_Units[],MATCH($I$5,Equipment_Utility_Spec_List,0),2),"")</f>
        <v/>
      </c>
      <c r="K84" s="474"/>
      <c r="L84" s="453" t="str">
        <f>IF($D84=INDEX(Yes_No_Choice[],1),INDEX(Equipment_Utitliy_Specs_Units[],MATCH($K$5,Equipment_Utility_Spec_List,0),2),"")</f>
        <v/>
      </c>
      <c r="M84" s="474"/>
      <c r="N84" s="453" t="str">
        <f>IF($D84=INDEX(Yes_No_Choice[],1),INDEX(Equipment_Utitliy_Specs_Units[],MATCH($M$5,Equipment_Utility_Spec_List,0),2),"")</f>
        <v/>
      </c>
      <c r="O84" s="474"/>
      <c r="P84" s="453" t="str">
        <f>IF($D84=INDEX(Yes_No_Choice[],1),INDEX(Equipment_Utitliy_Specs_Units[],MATCH($O$5,Equipment_Utility_Spec_List,0),2),"")</f>
        <v/>
      </c>
      <c r="Q84" s="237"/>
      <c r="R84" s="804" t="s">
        <v>445</v>
      </c>
      <c r="S84" s="806"/>
      <c r="T84" s="819"/>
      <c r="U84" s="461">
        <f>IFERROR(T84/(INDEX(Settings_Currency_Table[],MATCH(General_Currency_Selection,Settings_Currency,0),2)),0)</f>
        <v>0</v>
      </c>
      <c r="V84" s="804"/>
      <c r="W84" s="461">
        <f>U84*'1.0-General input'!$E$111</f>
        <v>0</v>
      </c>
      <c r="X84" s="461">
        <f>IFERROR(('2.2-Equipment input'!$U84-W84)/V84,)</f>
        <v>0</v>
      </c>
      <c r="Y84" s="824"/>
      <c r="Z84" s="473">
        <f>IF(General_EquipmentQuant_Auto="Yes",'2.2-Equipment input'!G84,'2.2-Equipment input'!H84)</f>
        <v>0</v>
      </c>
      <c r="AA84" s="826"/>
      <c r="AB84" s="827"/>
      <c r="AC84" s="827"/>
      <c r="AD84" s="827"/>
      <c r="AE84" s="827"/>
      <c r="AF84" s="827"/>
      <c r="AG84" s="827"/>
      <c r="AH84" s="827"/>
      <c r="AI84" s="827"/>
      <c r="AJ84" s="466">
        <f t="shared" si="2"/>
        <v>0</v>
      </c>
    </row>
    <row r="85" spans="2:36">
      <c r="B85" s="451" t="s">
        <v>492</v>
      </c>
      <c r="C85" s="804"/>
      <c r="D85" s="804" t="s">
        <v>445</v>
      </c>
      <c r="E85" s="806"/>
      <c r="F85" s="804"/>
      <c r="G85" s="455"/>
      <c r="H85" s="811"/>
      <c r="I85" s="474"/>
      <c r="J85" s="453" t="str">
        <f>IF($D85=INDEX(Yes_No_Choice[],1),INDEX(Equipment_Utitliy_Specs_Units[],MATCH($I$5,Equipment_Utility_Spec_List,0),2),"")</f>
        <v/>
      </c>
      <c r="K85" s="474"/>
      <c r="L85" s="453" t="str">
        <f>IF($D85=INDEX(Yes_No_Choice[],1),INDEX(Equipment_Utitliy_Specs_Units[],MATCH($K$5,Equipment_Utility_Spec_List,0),2),"")</f>
        <v/>
      </c>
      <c r="M85" s="474"/>
      <c r="N85" s="453" t="str">
        <f>IF($D85=INDEX(Yes_No_Choice[],1),INDEX(Equipment_Utitliy_Specs_Units[],MATCH($M$5,Equipment_Utility_Spec_List,0),2),"")</f>
        <v/>
      </c>
      <c r="O85" s="474"/>
      <c r="P85" s="453" t="str">
        <f>IF($D85=INDEX(Yes_No_Choice[],1),INDEX(Equipment_Utitliy_Specs_Units[],MATCH($O$5,Equipment_Utility_Spec_List,0),2),"")</f>
        <v/>
      </c>
      <c r="Q85" s="237"/>
      <c r="R85" s="804" t="s">
        <v>445</v>
      </c>
      <c r="S85" s="806"/>
      <c r="T85" s="819"/>
      <c r="U85" s="461">
        <f>IFERROR(T85/(INDEX(Settings_Currency_Table[],MATCH(General_Currency_Selection,Settings_Currency,0),2)),0)</f>
        <v>0</v>
      </c>
      <c r="V85" s="804"/>
      <c r="W85" s="461">
        <f>U85*'1.0-General input'!$E$111</f>
        <v>0</v>
      </c>
      <c r="X85" s="461">
        <f>IFERROR(('2.2-Equipment input'!$U85-W85)/V85,)</f>
        <v>0</v>
      </c>
      <c r="Y85" s="824"/>
      <c r="Z85" s="473">
        <f>IF(General_EquipmentQuant_Auto="Yes",'2.2-Equipment input'!G85,'2.2-Equipment input'!H85)</f>
        <v>0</v>
      </c>
      <c r="AA85" s="826"/>
      <c r="AB85" s="827"/>
      <c r="AC85" s="827"/>
      <c r="AD85" s="827"/>
      <c r="AE85" s="827"/>
      <c r="AF85" s="827"/>
      <c r="AG85" s="827"/>
      <c r="AH85" s="827"/>
      <c r="AI85" s="827"/>
      <c r="AJ85" s="466">
        <f t="shared" si="2"/>
        <v>0</v>
      </c>
    </row>
    <row r="86" spans="2:36">
      <c r="B86" s="467" t="s">
        <v>493</v>
      </c>
      <c r="C86" s="804"/>
      <c r="D86" s="804" t="s">
        <v>445</v>
      </c>
      <c r="E86" s="806"/>
      <c r="F86" s="804"/>
      <c r="G86" s="455"/>
      <c r="H86" s="811"/>
      <c r="I86" s="474"/>
      <c r="J86" s="453" t="str">
        <f>IF($D86=INDEX(Yes_No_Choice[],1),INDEX(Equipment_Utitliy_Specs_Units[],MATCH($I$5,Equipment_Utility_Spec_List,0),2),"")</f>
        <v/>
      </c>
      <c r="K86" s="474"/>
      <c r="L86" s="453" t="str">
        <f>IF($D86=INDEX(Yes_No_Choice[],1),INDEX(Equipment_Utitliy_Specs_Units[],MATCH($K$5,Equipment_Utility_Spec_List,0),2),"")</f>
        <v/>
      </c>
      <c r="M86" s="474"/>
      <c r="N86" s="453" t="str">
        <f>IF($D86=INDEX(Yes_No_Choice[],1),INDEX(Equipment_Utitliy_Specs_Units[],MATCH($M$5,Equipment_Utility_Spec_List,0),2),"")</f>
        <v/>
      </c>
      <c r="O86" s="474"/>
      <c r="P86" s="453" t="str">
        <f>IF($D86=INDEX(Yes_No_Choice[],1),INDEX(Equipment_Utitliy_Specs_Units[],MATCH($O$5,Equipment_Utility_Spec_List,0),2),"")</f>
        <v/>
      </c>
      <c r="Q86" s="237"/>
      <c r="R86" s="804" t="s">
        <v>445</v>
      </c>
      <c r="S86" s="806"/>
      <c r="T86" s="819"/>
      <c r="U86" s="461">
        <f>IFERROR(T86/(INDEX(Settings_Currency_Table[],MATCH(General_Currency_Selection,Settings_Currency,0),2)),0)</f>
        <v>0</v>
      </c>
      <c r="V86" s="804"/>
      <c r="W86" s="461">
        <f>U86*'1.0-General input'!$E$111</f>
        <v>0</v>
      </c>
      <c r="X86" s="461">
        <f>IFERROR(('2.2-Equipment input'!$U86-W86)/V86,)</f>
        <v>0</v>
      </c>
      <c r="Y86" s="824"/>
      <c r="Z86" s="473">
        <f>IF(General_EquipmentQuant_Auto="Yes",'2.2-Equipment input'!G86,'2.2-Equipment input'!H86)</f>
        <v>0</v>
      </c>
      <c r="AA86" s="826"/>
      <c r="AB86" s="827"/>
      <c r="AC86" s="827"/>
      <c r="AD86" s="827"/>
      <c r="AE86" s="827"/>
      <c r="AF86" s="827"/>
      <c r="AG86" s="827"/>
      <c r="AH86" s="827"/>
      <c r="AI86" s="827"/>
      <c r="AJ86" s="466">
        <f t="shared" si="2"/>
        <v>0</v>
      </c>
    </row>
    <row r="87" spans="2:36">
      <c r="B87" s="451" t="s">
        <v>494</v>
      </c>
      <c r="C87" s="804"/>
      <c r="D87" s="804" t="s">
        <v>445</v>
      </c>
      <c r="E87" s="806"/>
      <c r="F87" s="804"/>
      <c r="G87" s="455"/>
      <c r="H87" s="811"/>
      <c r="I87" s="474"/>
      <c r="J87" s="453" t="str">
        <f>IF($D87=INDEX(Yes_No_Choice[],1),INDEX(Equipment_Utitliy_Specs_Units[],MATCH($I$5,Equipment_Utility_Spec_List,0),2),"")</f>
        <v/>
      </c>
      <c r="K87" s="474"/>
      <c r="L87" s="453" t="str">
        <f>IF($D87=INDEX(Yes_No_Choice[],1),INDEX(Equipment_Utitliy_Specs_Units[],MATCH($K$5,Equipment_Utility_Spec_List,0),2),"")</f>
        <v/>
      </c>
      <c r="M87" s="474"/>
      <c r="N87" s="453" t="str">
        <f>IF($D87=INDEX(Yes_No_Choice[],1),INDEX(Equipment_Utitliy_Specs_Units[],MATCH($M$5,Equipment_Utility_Spec_List,0),2),"")</f>
        <v/>
      </c>
      <c r="O87" s="474"/>
      <c r="P87" s="453" t="str">
        <f>IF($D87=INDEX(Yes_No_Choice[],1),INDEX(Equipment_Utitliy_Specs_Units[],MATCH($O$5,Equipment_Utility_Spec_List,0),2),"")</f>
        <v/>
      </c>
      <c r="Q87" s="237"/>
      <c r="R87" s="804" t="s">
        <v>445</v>
      </c>
      <c r="S87" s="806"/>
      <c r="T87" s="819"/>
      <c r="U87" s="461">
        <f>IFERROR(T87/(INDEX(Settings_Currency_Table[],MATCH(General_Currency_Selection,Settings_Currency,0),2)),0)</f>
        <v>0</v>
      </c>
      <c r="V87" s="804"/>
      <c r="W87" s="461">
        <f>U87*'1.0-General input'!$E$111</f>
        <v>0</v>
      </c>
      <c r="X87" s="461">
        <f>IFERROR(('2.2-Equipment input'!$U87-W87)/V87,)</f>
        <v>0</v>
      </c>
      <c r="Y87" s="824"/>
      <c r="Z87" s="473">
        <f>IF(General_EquipmentQuant_Auto="Yes",'2.2-Equipment input'!G87,'2.2-Equipment input'!H87)</f>
        <v>0</v>
      </c>
      <c r="AA87" s="826"/>
      <c r="AB87" s="827"/>
      <c r="AC87" s="827"/>
      <c r="AD87" s="827"/>
      <c r="AE87" s="827"/>
      <c r="AF87" s="827"/>
      <c r="AG87" s="827"/>
      <c r="AH87" s="827"/>
      <c r="AI87" s="827"/>
      <c r="AJ87" s="466">
        <f t="shared" si="2"/>
        <v>0</v>
      </c>
    </row>
    <row r="88" spans="2:36">
      <c r="B88" s="467" t="s">
        <v>495</v>
      </c>
      <c r="C88" s="804"/>
      <c r="D88" s="804" t="s">
        <v>445</v>
      </c>
      <c r="E88" s="806"/>
      <c r="F88" s="804"/>
      <c r="G88" s="455"/>
      <c r="H88" s="811"/>
      <c r="I88" s="474"/>
      <c r="J88" s="453" t="str">
        <f>IF($D88=INDEX(Yes_No_Choice[],1),INDEX(Equipment_Utitliy_Specs_Units[],MATCH($I$5,Equipment_Utility_Spec_List,0),2),"")</f>
        <v/>
      </c>
      <c r="K88" s="474"/>
      <c r="L88" s="453" t="str">
        <f>IF($D88=INDEX(Yes_No_Choice[],1),INDEX(Equipment_Utitliy_Specs_Units[],MATCH($K$5,Equipment_Utility_Spec_List,0),2),"")</f>
        <v/>
      </c>
      <c r="M88" s="474"/>
      <c r="N88" s="453" t="str">
        <f>IF($D88=INDEX(Yes_No_Choice[],1),INDEX(Equipment_Utitliy_Specs_Units[],MATCH($M$5,Equipment_Utility_Spec_List,0),2),"")</f>
        <v/>
      </c>
      <c r="O88" s="474"/>
      <c r="P88" s="453" t="str">
        <f>IF($D88=INDEX(Yes_No_Choice[],1),INDEX(Equipment_Utitliy_Specs_Units[],MATCH($O$5,Equipment_Utility_Spec_List,0),2),"")</f>
        <v/>
      </c>
      <c r="Q88" s="237"/>
      <c r="R88" s="804" t="s">
        <v>445</v>
      </c>
      <c r="S88" s="806"/>
      <c r="T88" s="819"/>
      <c r="U88" s="461">
        <f>IFERROR(T88/(INDEX(Settings_Currency_Table[],MATCH(General_Currency_Selection,Settings_Currency,0),2)),0)</f>
        <v>0</v>
      </c>
      <c r="V88" s="804"/>
      <c r="W88" s="461">
        <f>U88*'1.0-General input'!$E$111</f>
        <v>0</v>
      </c>
      <c r="X88" s="461">
        <f>IFERROR(('2.2-Equipment input'!$U88-W88)/V88,)</f>
        <v>0</v>
      </c>
      <c r="Y88" s="824"/>
      <c r="Z88" s="473">
        <f>IF(General_EquipmentQuant_Auto="Yes",'2.2-Equipment input'!G88,'2.2-Equipment input'!H88)</f>
        <v>0</v>
      </c>
      <c r="AA88" s="826"/>
      <c r="AB88" s="827"/>
      <c r="AC88" s="827"/>
      <c r="AD88" s="827"/>
      <c r="AE88" s="827"/>
      <c r="AF88" s="827"/>
      <c r="AG88" s="827"/>
      <c r="AH88" s="827"/>
      <c r="AI88" s="827"/>
      <c r="AJ88" s="466">
        <f t="shared" si="2"/>
        <v>0</v>
      </c>
    </row>
    <row r="89" spans="2:36">
      <c r="B89" s="451" t="s">
        <v>496</v>
      </c>
      <c r="C89" s="804"/>
      <c r="D89" s="804" t="s">
        <v>445</v>
      </c>
      <c r="E89" s="806"/>
      <c r="F89" s="804"/>
      <c r="G89" s="455"/>
      <c r="H89" s="811"/>
      <c r="I89" s="474"/>
      <c r="J89" s="453" t="str">
        <f>IF($D89=INDEX(Yes_No_Choice[],1),INDEX(Equipment_Utitliy_Specs_Units[],MATCH($I$5,Equipment_Utility_Spec_List,0),2),"")</f>
        <v/>
      </c>
      <c r="K89" s="474"/>
      <c r="L89" s="453" t="str">
        <f>IF($D89=INDEX(Yes_No_Choice[],1),INDEX(Equipment_Utitliy_Specs_Units[],MATCH($K$5,Equipment_Utility_Spec_List,0),2),"")</f>
        <v/>
      </c>
      <c r="M89" s="474"/>
      <c r="N89" s="453" t="str">
        <f>IF($D89=INDEX(Yes_No_Choice[],1),INDEX(Equipment_Utitliy_Specs_Units[],MATCH($M$5,Equipment_Utility_Spec_List,0),2),"")</f>
        <v/>
      </c>
      <c r="O89" s="474"/>
      <c r="P89" s="453" t="str">
        <f>IF($D89=INDEX(Yes_No_Choice[],1),INDEX(Equipment_Utitliy_Specs_Units[],MATCH($O$5,Equipment_Utility_Spec_List,0),2),"")</f>
        <v/>
      </c>
      <c r="Q89" s="237"/>
      <c r="R89" s="804" t="s">
        <v>445</v>
      </c>
      <c r="S89" s="806"/>
      <c r="T89" s="819"/>
      <c r="U89" s="461">
        <f>IFERROR(T89/(INDEX(Settings_Currency_Table[],MATCH(General_Currency_Selection,Settings_Currency,0),2)),0)</f>
        <v>0</v>
      </c>
      <c r="V89" s="804"/>
      <c r="W89" s="461">
        <f>U89*'1.0-General input'!$E$111</f>
        <v>0</v>
      </c>
      <c r="X89" s="461">
        <f>IFERROR(('2.2-Equipment input'!$U89-W89)/V89,)</f>
        <v>0</v>
      </c>
      <c r="Y89" s="824"/>
      <c r="Z89" s="473">
        <f>IF(General_EquipmentQuant_Auto="Yes",'2.2-Equipment input'!G89,'2.2-Equipment input'!H89)</f>
        <v>0</v>
      </c>
      <c r="AA89" s="826"/>
      <c r="AB89" s="827"/>
      <c r="AC89" s="827"/>
      <c r="AD89" s="827"/>
      <c r="AE89" s="827"/>
      <c r="AF89" s="827"/>
      <c r="AG89" s="827"/>
      <c r="AH89" s="827"/>
      <c r="AI89" s="827"/>
      <c r="AJ89" s="466">
        <f t="shared" si="2"/>
        <v>0</v>
      </c>
    </row>
    <row r="90" spans="2:36">
      <c r="B90" s="467" t="s">
        <v>497</v>
      </c>
      <c r="C90" s="804"/>
      <c r="D90" s="804" t="s">
        <v>445</v>
      </c>
      <c r="E90" s="806"/>
      <c r="F90" s="804"/>
      <c r="G90" s="455"/>
      <c r="H90" s="811"/>
      <c r="I90" s="474"/>
      <c r="J90" s="453" t="str">
        <f>IF($D90=INDEX(Yes_No_Choice[],1),INDEX(Equipment_Utitliy_Specs_Units[],MATCH($I$5,Equipment_Utility_Spec_List,0),2),"")</f>
        <v/>
      </c>
      <c r="K90" s="474"/>
      <c r="L90" s="453" t="str">
        <f>IF($D90=INDEX(Yes_No_Choice[],1),INDEX(Equipment_Utitliy_Specs_Units[],MATCH($K$5,Equipment_Utility_Spec_List,0),2),"")</f>
        <v/>
      </c>
      <c r="M90" s="474"/>
      <c r="N90" s="453" t="str">
        <f>IF($D90=INDEX(Yes_No_Choice[],1),INDEX(Equipment_Utitliy_Specs_Units[],MATCH($M$5,Equipment_Utility_Spec_List,0),2),"")</f>
        <v/>
      </c>
      <c r="O90" s="474"/>
      <c r="P90" s="453" t="str">
        <f>IF($D90=INDEX(Yes_No_Choice[],1),INDEX(Equipment_Utitliy_Specs_Units[],MATCH($O$5,Equipment_Utility_Spec_List,0),2),"")</f>
        <v/>
      </c>
      <c r="Q90" s="237"/>
      <c r="R90" s="804" t="s">
        <v>445</v>
      </c>
      <c r="S90" s="806"/>
      <c r="T90" s="819"/>
      <c r="U90" s="461">
        <f>IFERROR(T90/(INDEX(Settings_Currency_Table[],MATCH(General_Currency_Selection,Settings_Currency,0),2)),0)</f>
        <v>0</v>
      </c>
      <c r="V90" s="804"/>
      <c r="W90" s="461">
        <f>U90*'1.0-General input'!$E$111</f>
        <v>0</v>
      </c>
      <c r="X90" s="461">
        <f>IFERROR(('2.2-Equipment input'!$U90-W90)/V90,)</f>
        <v>0</v>
      </c>
      <c r="Y90" s="824"/>
      <c r="Z90" s="473">
        <f>IF(General_EquipmentQuant_Auto="Yes",'2.2-Equipment input'!G90,'2.2-Equipment input'!H90)</f>
        <v>0</v>
      </c>
      <c r="AA90" s="826"/>
      <c r="AB90" s="827"/>
      <c r="AC90" s="827"/>
      <c r="AD90" s="827"/>
      <c r="AE90" s="827"/>
      <c r="AF90" s="827"/>
      <c r="AG90" s="827"/>
      <c r="AH90" s="827"/>
      <c r="AI90" s="827"/>
      <c r="AJ90" s="466">
        <f t="shared" si="2"/>
        <v>0</v>
      </c>
    </row>
    <row r="91" spans="2:36">
      <c r="B91" s="451" t="s">
        <v>498</v>
      </c>
      <c r="C91" s="804"/>
      <c r="D91" s="804" t="s">
        <v>445</v>
      </c>
      <c r="E91" s="806"/>
      <c r="F91" s="804"/>
      <c r="G91" s="455"/>
      <c r="H91" s="811"/>
      <c r="I91" s="474"/>
      <c r="J91" s="453" t="str">
        <f>IF($D91=INDEX(Yes_No_Choice[],1),INDEX(Equipment_Utitliy_Specs_Units[],MATCH($I$5,Equipment_Utility_Spec_List,0),2),"")</f>
        <v/>
      </c>
      <c r="K91" s="474"/>
      <c r="L91" s="453" t="str">
        <f>IF($D91=INDEX(Yes_No_Choice[],1),INDEX(Equipment_Utitliy_Specs_Units[],MATCH($K$5,Equipment_Utility_Spec_List,0),2),"")</f>
        <v/>
      </c>
      <c r="M91" s="474"/>
      <c r="N91" s="453" t="str">
        <f>IF($D91=INDEX(Yes_No_Choice[],1),INDEX(Equipment_Utitliy_Specs_Units[],MATCH($M$5,Equipment_Utility_Spec_List,0),2),"")</f>
        <v/>
      </c>
      <c r="O91" s="474"/>
      <c r="P91" s="453" t="str">
        <f>IF($D91=INDEX(Yes_No_Choice[],1),INDEX(Equipment_Utitliy_Specs_Units[],MATCH($O$5,Equipment_Utility_Spec_List,0),2),"")</f>
        <v/>
      </c>
      <c r="Q91" s="237"/>
      <c r="R91" s="804" t="s">
        <v>445</v>
      </c>
      <c r="S91" s="806"/>
      <c r="T91" s="819"/>
      <c r="U91" s="461">
        <f>IFERROR(T91/(INDEX(Settings_Currency_Table[],MATCH(General_Currency_Selection,Settings_Currency,0),2)),0)</f>
        <v>0</v>
      </c>
      <c r="V91" s="804"/>
      <c r="W91" s="461">
        <f>U91*'1.0-General input'!$E$111</f>
        <v>0</v>
      </c>
      <c r="X91" s="461">
        <f>IFERROR(('2.2-Equipment input'!$U91-W91)/V91,)</f>
        <v>0</v>
      </c>
      <c r="Y91" s="824"/>
      <c r="Z91" s="473">
        <f>IF(General_EquipmentQuant_Auto="Yes",'2.2-Equipment input'!G91,'2.2-Equipment input'!H91)</f>
        <v>0</v>
      </c>
      <c r="AA91" s="826"/>
      <c r="AB91" s="827"/>
      <c r="AC91" s="827"/>
      <c r="AD91" s="827"/>
      <c r="AE91" s="827"/>
      <c r="AF91" s="827"/>
      <c r="AG91" s="827"/>
      <c r="AH91" s="827"/>
      <c r="AI91" s="827"/>
      <c r="AJ91" s="466">
        <f t="shared" si="2"/>
        <v>0</v>
      </c>
    </row>
    <row r="92" spans="2:36">
      <c r="B92" s="467" t="s">
        <v>499</v>
      </c>
      <c r="C92" s="804"/>
      <c r="D92" s="804" t="s">
        <v>445</v>
      </c>
      <c r="E92" s="806"/>
      <c r="F92" s="804"/>
      <c r="G92" s="455"/>
      <c r="H92" s="811"/>
      <c r="I92" s="474"/>
      <c r="J92" s="453" t="str">
        <f>IF($D92=INDEX(Yes_No_Choice[],1),INDEX(Equipment_Utitliy_Specs_Units[],MATCH($I$5,Equipment_Utility_Spec_List,0),2),"")</f>
        <v/>
      </c>
      <c r="K92" s="474"/>
      <c r="L92" s="453" t="str">
        <f>IF($D92=INDEX(Yes_No_Choice[],1),INDEX(Equipment_Utitliy_Specs_Units[],MATCH($K$5,Equipment_Utility_Spec_List,0),2),"")</f>
        <v/>
      </c>
      <c r="M92" s="474"/>
      <c r="N92" s="453" t="str">
        <f>IF($D92=INDEX(Yes_No_Choice[],1),INDEX(Equipment_Utitliy_Specs_Units[],MATCH($M$5,Equipment_Utility_Spec_List,0),2),"")</f>
        <v/>
      </c>
      <c r="O92" s="474"/>
      <c r="P92" s="453" t="str">
        <f>IF($D92=INDEX(Yes_No_Choice[],1),INDEX(Equipment_Utitliy_Specs_Units[],MATCH($O$5,Equipment_Utility_Spec_List,0),2),"")</f>
        <v/>
      </c>
      <c r="Q92" s="237"/>
      <c r="R92" s="804" t="s">
        <v>445</v>
      </c>
      <c r="S92" s="806"/>
      <c r="T92" s="819"/>
      <c r="U92" s="461">
        <f>IFERROR(T92/(INDEX(Settings_Currency_Table[],MATCH(General_Currency_Selection,Settings_Currency,0),2)),0)</f>
        <v>0</v>
      </c>
      <c r="V92" s="804"/>
      <c r="W92" s="461">
        <f>U92*'1.0-General input'!$E$111</f>
        <v>0</v>
      </c>
      <c r="X92" s="461">
        <f>IFERROR(('2.2-Equipment input'!$U92-W92)/V92,)</f>
        <v>0</v>
      </c>
      <c r="Y92" s="824"/>
      <c r="Z92" s="473">
        <f>IF(General_EquipmentQuant_Auto="Yes",'2.2-Equipment input'!G92,'2.2-Equipment input'!H92)</f>
        <v>0</v>
      </c>
      <c r="AA92" s="826"/>
      <c r="AB92" s="827"/>
      <c r="AC92" s="827"/>
      <c r="AD92" s="827"/>
      <c r="AE92" s="827"/>
      <c r="AF92" s="827"/>
      <c r="AG92" s="827"/>
      <c r="AH92" s="827"/>
      <c r="AI92" s="827"/>
      <c r="AJ92" s="466">
        <f t="shared" si="2"/>
        <v>0</v>
      </c>
    </row>
    <row r="93" spans="2:36">
      <c r="B93" s="451" t="s">
        <v>500</v>
      </c>
      <c r="C93" s="804"/>
      <c r="D93" s="804" t="s">
        <v>445</v>
      </c>
      <c r="E93" s="806"/>
      <c r="F93" s="804"/>
      <c r="G93" s="455"/>
      <c r="H93" s="811"/>
      <c r="I93" s="474"/>
      <c r="J93" s="453" t="str">
        <f>IF($D93=INDEX(Yes_No_Choice[],1),INDEX(Equipment_Utitliy_Specs_Units[],MATCH($I$5,Equipment_Utility_Spec_List,0),2),"")</f>
        <v/>
      </c>
      <c r="K93" s="474"/>
      <c r="L93" s="453" t="str">
        <f>IF($D93=INDEX(Yes_No_Choice[],1),INDEX(Equipment_Utitliy_Specs_Units[],MATCH($K$5,Equipment_Utility_Spec_List,0),2),"")</f>
        <v/>
      </c>
      <c r="M93" s="474"/>
      <c r="N93" s="453" t="str">
        <f>IF($D93=INDEX(Yes_No_Choice[],1),INDEX(Equipment_Utitliy_Specs_Units[],MATCH($M$5,Equipment_Utility_Spec_List,0),2),"")</f>
        <v/>
      </c>
      <c r="O93" s="474"/>
      <c r="P93" s="453" t="str">
        <f>IF($D93=INDEX(Yes_No_Choice[],1),INDEX(Equipment_Utitliy_Specs_Units[],MATCH($O$5,Equipment_Utility_Spec_List,0),2),"")</f>
        <v/>
      </c>
      <c r="Q93" s="237"/>
      <c r="R93" s="804" t="s">
        <v>445</v>
      </c>
      <c r="S93" s="806"/>
      <c r="T93" s="819"/>
      <c r="U93" s="461">
        <f>IFERROR(T93/(INDEX(Settings_Currency_Table[],MATCH(General_Currency_Selection,Settings_Currency,0),2)),0)</f>
        <v>0</v>
      </c>
      <c r="V93" s="804"/>
      <c r="W93" s="461">
        <f>U93*'1.0-General input'!$E$111</f>
        <v>0</v>
      </c>
      <c r="X93" s="461">
        <f>IFERROR(('2.2-Equipment input'!$U93-W93)/V93,)</f>
        <v>0</v>
      </c>
      <c r="Y93" s="824"/>
      <c r="Z93" s="473">
        <f>IF(General_EquipmentQuant_Auto="Yes",'2.2-Equipment input'!G93,'2.2-Equipment input'!H93)</f>
        <v>0</v>
      </c>
      <c r="AA93" s="826"/>
      <c r="AB93" s="827"/>
      <c r="AC93" s="827"/>
      <c r="AD93" s="827"/>
      <c r="AE93" s="827"/>
      <c r="AF93" s="827"/>
      <c r="AG93" s="827"/>
      <c r="AH93" s="827"/>
      <c r="AI93" s="827"/>
      <c r="AJ93" s="466">
        <f t="shared" si="2"/>
        <v>0</v>
      </c>
    </row>
    <row r="94" spans="2:36">
      <c r="B94" s="467" t="s">
        <v>501</v>
      </c>
      <c r="C94" s="804"/>
      <c r="D94" s="804" t="s">
        <v>445</v>
      </c>
      <c r="E94" s="806"/>
      <c r="F94" s="804"/>
      <c r="G94" s="455"/>
      <c r="H94" s="811"/>
      <c r="I94" s="474"/>
      <c r="J94" s="453" t="str">
        <f>IF($D94=INDEX(Yes_No_Choice[],1),INDEX(Equipment_Utitliy_Specs_Units[],MATCH($I$5,Equipment_Utility_Spec_List,0),2),"")</f>
        <v/>
      </c>
      <c r="K94" s="474"/>
      <c r="L94" s="453" t="str">
        <f>IF($D94=INDEX(Yes_No_Choice[],1),INDEX(Equipment_Utitliy_Specs_Units[],MATCH($K$5,Equipment_Utility_Spec_List,0),2),"")</f>
        <v/>
      </c>
      <c r="M94" s="474"/>
      <c r="N94" s="453" t="str">
        <f>IF($D94=INDEX(Yes_No_Choice[],1),INDEX(Equipment_Utitliy_Specs_Units[],MATCH($M$5,Equipment_Utility_Spec_List,0),2),"")</f>
        <v/>
      </c>
      <c r="O94" s="474"/>
      <c r="P94" s="453" t="str">
        <f>IF($D94=INDEX(Yes_No_Choice[],1),INDEX(Equipment_Utitliy_Specs_Units[],MATCH($O$5,Equipment_Utility_Spec_List,0),2),"")</f>
        <v/>
      </c>
      <c r="Q94" s="237"/>
      <c r="R94" s="804" t="s">
        <v>445</v>
      </c>
      <c r="S94" s="806"/>
      <c r="T94" s="819"/>
      <c r="U94" s="461">
        <f>IFERROR(T94/(INDEX(Settings_Currency_Table[],MATCH(General_Currency_Selection,Settings_Currency,0),2)),0)</f>
        <v>0</v>
      </c>
      <c r="V94" s="804"/>
      <c r="W94" s="461">
        <f>U94*'1.0-General input'!$E$111</f>
        <v>0</v>
      </c>
      <c r="X94" s="461">
        <f>IFERROR(('2.2-Equipment input'!$U94-W94)/V94,)</f>
        <v>0</v>
      </c>
      <c r="Y94" s="824"/>
      <c r="Z94" s="473">
        <f>IF(General_EquipmentQuant_Auto="Yes",'2.2-Equipment input'!G94,'2.2-Equipment input'!H94)</f>
        <v>0</v>
      </c>
      <c r="AA94" s="826"/>
      <c r="AB94" s="827"/>
      <c r="AC94" s="827"/>
      <c r="AD94" s="827"/>
      <c r="AE94" s="827"/>
      <c r="AF94" s="827"/>
      <c r="AG94" s="827"/>
      <c r="AH94" s="827"/>
      <c r="AI94" s="827"/>
      <c r="AJ94" s="466">
        <f t="shared" si="2"/>
        <v>0</v>
      </c>
    </row>
    <row r="95" spans="2:36">
      <c r="B95" s="451" t="s">
        <v>502</v>
      </c>
      <c r="C95" s="804"/>
      <c r="D95" s="804" t="s">
        <v>445</v>
      </c>
      <c r="E95" s="806"/>
      <c r="F95" s="804"/>
      <c r="G95" s="455"/>
      <c r="H95" s="811"/>
      <c r="I95" s="474"/>
      <c r="J95" s="453" t="str">
        <f>IF($D95=INDEX(Yes_No_Choice[],1),INDEX(Equipment_Utitliy_Specs_Units[],MATCH($I$5,Equipment_Utility_Spec_List,0),2),"")</f>
        <v/>
      </c>
      <c r="K95" s="474"/>
      <c r="L95" s="453" t="str">
        <f>IF($D95=INDEX(Yes_No_Choice[],1),INDEX(Equipment_Utitliy_Specs_Units[],MATCH($K$5,Equipment_Utility_Spec_List,0),2),"")</f>
        <v/>
      </c>
      <c r="M95" s="474"/>
      <c r="N95" s="453" t="str">
        <f>IF($D95=INDEX(Yes_No_Choice[],1),INDEX(Equipment_Utitliy_Specs_Units[],MATCH($M$5,Equipment_Utility_Spec_List,0),2),"")</f>
        <v/>
      </c>
      <c r="O95" s="474"/>
      <c r="P95" s="453" t="str">
        <f>IF($D95=INDEX(Yes_No_Choice[],1),INDEX(Equipment_Utitliy_Specs_Units[],MATCH($O$5,Equipment_Utility_Spec_List,0),2),"")</f>
        <v/>
      </c>
      <c r="Q95" s="237"/>
      <c r="R95" s="804" t="s">
        <v>445</v>
      </c>
      <c r="S95" s="806"/>
      <c r="T95" s="819"/>
      <c r="U95" s="461">
        <f>IFERROR(T95/(INDEX(Settings_Currency_Table[],MATCH(General_Currency_Selection,Settings_Currency,0),2)),0)</f>
        <v>0</v>
      </c>
      <c r="V95" s="804"/>
      <c r="W95" s="461">
        <f>U95*'1.0-General input'!$E$111</f>
        <v>0</v>
      </c>
      <c r="X95" s="461">
        <f>IFERROR(('2.2-Equipment input'!$U95-W95)/V95,)</f>
        <v>0</v>
      </c>
      <c r="Y95" s="824"/>
      <c r="Z95" s="473">
        <f>IF(General_EquipmentQuant_Auto="Yes",'2.2-Equipment input'!G95,'2.2-Equipment input'!H95)</f>
        <v>0</v>
      </c>
      <c r="AA95" s="826"/>
      <c r="AB95" s="827"/>
      <c r="AC95" s="827"/>
      <c r="AD95" s="827"/>
      <c r="AE95" s="827"/>
      <c r="AF95" s="827"/>
      <c r="AG95" s="827"/>
      <c r="AH95" s="827"/>
      <c r="AI95" s="827"/>
      <c r="AJ95" s="466">
        <f t="shared" si="2"/>
        <v>0</v>
      </c>
    </row>
    <row r="96" spans="2:36">
      <c r="B96" s="467" t="s">
        <v>503</v>
      </c>
      <c r="C96" s="804"/>
      <c r="D96" s="804" t="s">
        <v>445</v>
      </c>
      <c r="E96" s="806"/>
      <c r="F96" s="804"/>
      <c r="G96" s="455"/>
      <c r="H96" s="811"/>
      <c r="I96" s="474"/>
      <c r="J96" s="453" t="str">
        <f>IF($D96=INDEX(Yes_No_Choice[],1),INDEX(Equipment_Utitliy_Specs_Units[],MATCH($I$5,Equipment_Utility_Spec_List,0),2),"")</f>
        <v/>
      </c>
      <c r="K96" s="474"/>
      <c r="L96" s="453" t="str">
        <f>IF($D96=INDEX(Yes_No_Choice[],1),INDEX(Equipment_Utitliy_Specs_Units[],MATCH($K$5,Equipment_Utility_Spec_List,0),2),"")</f>
        <v/>
      </c>
      <c r="M96" s="474"/>
      <c r="N96" s="453" t="str">
        <f>IF($D96=INDEX(Yes_No_Choice[],1),INDEX(Equipment_Utitliy_Specs_Units[],MATCH($M$5,Equipment_Utility_Spec_List,0),2),"")</f>
        <v/>
      </c>
      <c r="O96" s="474"/>
      <c r="P96" s="453" t="str">
        <f>IF($D96=INDEX(Yes_No_Choice[],1),INDEX(Equipment_Utitliy_Specs_Units[],MATCH($O$5,Equipment_Utility_Spec_List,0),2),"")</f>
        <v/>
      </c>
      <c r="Q96" s="237"/>
      <c r="R96" s="804" t="s">
        <v>445</v>
      </c>
      <c r="S96" s="806"/>
      <c r="T96" s="819"/>
      <c r="U96" s="461">
        <f>IFERROR(T96/(INDEX(Settings_Currency_Table[],MATCH(General_Currency_Selection,Settings_Currency,0),2)),0)</f>
        <v>0</v>
      </c>
      <c r="V96" s="804"/>
      <c r="W96" s="461">
        <f>U96*'1.0-General input'!$E$111</f>
        <v>0</v>
      </c>
      <c r="X96" s="461">
        <f>IFERROR(('2.2-Equipment input'!$U96-W96)/V96,)</f>
        <v>0</v>
      </c>
      <c r="Y96" s="824"/>
      <c r="Z96" s="473">
        <f>IF(General_EquipmentQuant_Auto="Yes",'2.2-Equipment input'!G96,'2.2-Equipment input'!H96)</f>
        <v>0</v>
      </c>
      <c r="AA96" s="826"/>
      <c r="AB96" s="827"/>
      <c r="AC96" s="827"/>
      <c r="AD96" s="827"/>
      <c r="AE96" s="827"/>
      <c r="AF96" s="827"/>
      <c r="AG96" s="827"/>
      <c r="AH96" s="827"/>
      <c r="AI96" s="827"/>
      <c r="AJ96" s="466">
        <f t="shared" si="2"/>
        <v>0</v>
      </c>
    </row>
    <row r="97" spans="2:36">
      <c r="B97" s="451" t="s">
        <v>504</v>
      </c>
      <c r="C97" s="804"/>
      <c r="D97" s="804" t="s">
        <v>445</v>
      </c>
      <c r="E97" s="806"/>
      <c r="F97" s="804"/>
      <c r="G97" s="455"/>
      <c r="H97" s="811"/>
      <c r="I97" s="474"/>
      <c r="J97" s="453" t="str">
        <f>IF($D97=INDEX(Yes_No_Choice[],1),INDEX(Equipment_Utitliy_Specs_Units[],MATCH($I$5,Equipment_Utility_Spec_List,0),2),"")</f>
        <v/>
      </c>
      <c r="K97" s="474"/>
      <c r="L97" s="453" t="str">
        <f>IF($D97=INDEX(Yes_No_Choice[],1),INDEX(Equipment_Utitliy_Specs_Units[],MATCH($K$5,Equipment_Utility_Spec_List,0),2),"")</f>
        <v/>
      </c>
      <c r="M97" s="474"/>
      <c r="N97" s="453" t="str">
        <f>IF($D97=INDEX(Yes_No_Choice[],1),INDEX(Equipment_Utitliy_Specs_Units[],MATCH($M$5,Equipment_Utility_Spec_List,0),2),"")</f>
        <v/>
      </c>
      <c r="O97" s="474"/>
      <c r="P97" s="453" t="str">
        <f>IF($D97=INDEX(Yes_No_Choice[],1),INDEX(Equipment_Utitliy_Specs_Units[],MATCH($O$5,Equipment_Utility_Spec_List,0),2),"")</f>
        <v/>
      </c>
      <c r="Q97" s="237"/>
      <c r="R97" s="804" t="s">
        <v>445</v>
      </c>
      <c r="S97" s="806"/>
      <c r="T97" s="819"/>
      <c r="U97" s="461">
        <f>IFERROR(T97/(INDEX(Settings_Currency_Table[],MATCH(General_Currency_Selection,Settings_Currency,0),2)),0)</f>
        <v>0</v>
      </c>
      <c r="V97" s="804"/>
      <c r="W97" s="461">
        <f>U97*'1.0-General input'!$E$111</f>
        <v>0</v>
      </c>
      <c r="X97" s="461">
        <f>IFERROR(('2.2-Equipment input'!$U97-W97)/V97,)</f>
        <v>0</v>
      </c>
      <c r="Y97" s="824"/>
      <c r="Z97" s="473">
        <f>IF(General_EquipmentQuant_Auto="Yes",'2.2-Equipment input'!G97,'2.2-Equipment input'!H97)</f>
        <v>0</v>
      </c>
      <c r="AA97" s="826"/>
      <c r="AB97" s="827"/>
      <c r="AC97" s="827"/>
      <c r="AD97" s="827"/>
      <c r="AE97" s="827"/>
      <c r="AF97" s="827"/>
      <c r="AG97" s="827"/>
      <c r="AH97" s="827"/>
      <c r="AI97" s="827"/>
      <c r="AJ97" s="466">
        <f t="shared" si="2"/>
        <v>0</v>
      </c>
    </row>
    <row r="98" spans="2:36">
      <c r="B98" s="467" t="s">
        <v>505</v>
      </c>
      <c r="C98" s="804"/>
      <c r="D98" s="804" t="s">
        <v>445</v>
      </c>
      <c r="E98" s="806"/>
      <c r="F98" s="804"/>
      <c r="G98" s="455"/>
      <c r="H98" s="811"/>
      <c r="I98" s="474"/>
      <c r="J98" s="453" t="str">
        <f>IF($D98=INDEX(Yes_No_Choice[],1),INDEX(Equipment_Utitliy_Specs_Units[],MATCH($I$5,Equipment_Utility_Spec_List,0),2),"")</f>
        <v/>
      </c>
      <c r="K98" s="474"/>
      <c r="L98" s="453" t="str">
        <f>IF($D98=INDEX(Yes_No_Choice[],1),INDEX(Equipment_Utitliy_Specs_Units[],MATCH($K$5,Equipment_Utility_Spec_List,0),2),"")</f>
        <v/>
      </c>
      <c r="M98" s="474"/>
      <c r="N98" s="453" t="str">
        <f>IF($D98=INDEX(Yes_No_Choice[],1),INDEX(Equipment_Utitliy_Specs_Units[],MATCH($M$5,Equipment_Utility_Spec_List,0),2),"")</f>
        <v/>
      </c>
      <c r="O98" s="474"/>
      <c r="P98" s="453" t="str">
        <f>IF($D98=INDEX(Yes_No_Choice[],1),INDEX(Equipment_Utitliy_Specs_Units[],MATCH($O$5,Equipment_Utility_Spec_List,0),2),"")</f>
        <v/>
      </c>
      <c r="Q98" s="237"/>
      <c r="R98" s="804" t="s">
        <v>445</v>
      </c>
      <c r="S98" s="806"/>
      <c r="T98" s="819"/>
      <c r="U98" s="461">
        <f>IFERROR(T98/(INDEX(Settings_Currency_Table[],MATCH(General_Currency_Selection,Settings_Currency,0),2)),0)</f>
        <v>0</v>
      </c>
      <c r="V98" s="804"/>
      <c r="W98" s="461">
        <f>U98*'1.0-General input'!$E$111</f>
        <v>0</v>
      </c>
      <c r="X98" s="461">
        <f>IFERROR(('2.2-Equipment input'!$U98-W98)/V98,)</f>
        <v>0</v>
      </c>
      <c r="Y98" s="824"/>
      <c r="Z98" s="473">
        <f>IF(General_EquipmentQuant_Auto="Yes",'2.2-Equipment input'!G98,'2.2-Equipment input'!H98)</f>
        <v>0</v>
      </c>
      <c r="AA98" s="826"/>
      <c r="AB98" s="827"/>
      <c r="AC98" s="827"/>
      <c r="AD98" s="827"/>
      <c r="AE98" s="827"/>
      <c r="AF98" s="827"/>
      <c r="AG98" s="827"/>
      <c r="AH98" s="827"/>
      <c r="AI98" s="827"/>
      <c r="AJ98" s="466">
        <f t="shared" si="2"/>
        <v>0</v>
      </c>
    </row>
    <row r="99" spans="2:36">
      <c r="B99" s="451" t="s">
        <v>506</v>
      </c>
      <c r="C99" s="804"/>
      <c r="D99" s="804" t="s">
        <v>445</v>
      </c>
      <c r="E99" s="806"/>
      <c r="F99" s="804"/>
      <c r="G99" s="455"/>
      <c r="H99" s="811"/>
      <c r="I99" s="474"/>
      <c r="J99" s="453" t="str">
        <f>IF($D99=INDEX(Yes_No_Choice[],1),INDEX(Equipment_Utitliy_Specs_Units[],MATCH($I$5,Equipment_Utility_Spec_List,0),2),"")</f>
        <v/>
      </c>
      <c r="K99" s="474"/>
      <c r="L99" s="453" t="str">
        <f>IF($D99=INDEX(Yes_No_Choice[],1),INDEX(Equipment_Utitliy_Specs_Units[],MATCH($K$5,Equipment_Utility_Spec_List,0),2),"")</f>
        <v/>
      </c>
      <c r="M99" s="474"/>
      <c r="N99" s="453" t="str">
        <f>IF($D99=INDEX(Yes_No_Choice[],1),INDEX(Equipment_Utitliy_Specs_Units[],MATCH($M$5,Equipment_Utility_Spec_List,0),2),"")</f>
        <v/>
      </c>
      <c r="O99" s="474"/>
      <c r="P99" s="453" t="str">
        <f>IF($D99=INDEX(Yes_No_Choice[],1),INDEX(Equipment_Utitliy_Specs_Units[],MATCH($O$5,Equipment_Utility_Spec_List,0),2),"")</f>
        <v/>
      </c>
      <c r="Q99" s="237"/>
      <c r="R99" s="804" t="s">
        <v>445</v>
      </c>
      <c r="S99" s="806"/>
      <c r="T99" s="819"/>
      <c r="U99" s="461">
        <f>IFERROR(T99/(INDEX(Settings_Currency_Table[],MATCH(General_Currency_Selection,Settings_Currency,0),2)),0)</f>
        <v>0</v>
      </c>
      <c r="V99" s="804"/>
      <c r="W99" s="461">
        <f>U99*'1.0-General input'!$E$111</f>
        <v>0</v>
      </c>
      <c r="X99" s="461">
        <f>IFERROR(('2.2-Equipment input'!$U99-W99)/V99,)</f>
        <v>0</v>
      </c>
      <c r="Y99" s="824"/>
      <c r="Z99" s="473">
        <f>IF(General_EquipmentQuant_Auto="Yes",'2.2-Equipment input'!G99,'2.2-Equipment input'!H99)</f>
        <v>0</v>
      </c>
      <c r="AA99" s="826"/>
      <c r="AB99" s="827"/>
      <c r="AC99" s="827"/>
      <c r="AD99" s="827"/>
      <c r="AE99" s="827"/>
      <c r="AF99" s="827"/>
      <c r="AG99" s="827"/>
      <c r="AH99" s="827"/>
      <c r="AI99" s="827"/>
      <c r="AJ99" s="466">
        <f t="shared" si="2"/>
        <v>0</v>
      </c>
    </row>
    <row r="100" spans="2:36">
      <c r="B100" s="467" t="s">
        <v>507</v>
      </c>
      <c r="C100" s="804"/>
      <c r="D100" s="804" t="s">
        <v>445</v>
      </c>
      <c r="E100" s="806"/>
      <c r="F100" s="804"/>
      <c r="G100" s="455"/>
      <c r="H100" s="811"/>
      <c r="I100" s="474"/>
      <c r="J100" s="453" t="str">
        <f>IF($D100=INDEX(Yes_No_Choice[],1),INDEX(Equipment_Utitliy_Specs_Units[],MATCH($I$5,Equipment_Utility_Spec_List,0),2),"")</f>
        <v/>
      </c>
      <c r="K100" s="474"/>
      <c r="L100" s="453" t="str">
        <f>IF($D100=INDEX(Yes_No_Choice[],1),INDEX(Equipment_Utitliy_Specs_Units[],MATCH($K$5,Equipment_Utility_Spec_List,0),2),"")</f>
        <v/>
      </c>
      <c r="M100" s="474"/>
      <c r="N100" s="453" t="str">
        <f>IF($D100=INDEX(Yes_No_Choice[],1),INDEX(Equipment_Utitliy_Specs_Units[],MATCH($M$5,Equipment_Utility_Spec_List,0),2),"")</f>
        <v/>
      </c>
      <c r="O100" s="474"/>
      <c r="P100" s="453" t="str">
        <f>IF($D100=INDEX(Yes_No_Choice[],1),INDEX(Equipment_Utitliy_Specs_Units[],MATCH($O$5,Equipment_Utility_Spec_List,0),2),"")</f>
        <v/>
      </c>
      <c r="Q100" s="237"/>
      <c r="R100" s="804" t="s">
        <v>445</v>
      </c>
      <c r="S100" s="806"/>
      <c r="T100" s="819"/>
      <c r="U100" s="461">
        <f>IFERROR(T100/(INDEX(Settings_Currency_Table[],MATCH(General_Currency_Selection,Settings_Currency,0),2)),0)</f>
        <v>0</v>
      </c>
      <c r="V100" s="804"/>
      <c r="W100" s="461">
        <f>U100*'1.0-General input'!$E$111</f>
        <v>0</v>
      </c>
      <c r="X100" s="461">
        <f>IFERROR(('2.2-Equipment input'!$U100-W100)/V100,)</f>
        <v>0</v>
      </c>
      <c r="Y100" s="824"/>
      <c r="Z100" s="473">
        <f>IF(General_EquipmentQuant_Auto="Yes",'2.2-Equipment input'!G100,'2.2-Equipment input'!H100)</f>
        <v>0</v>
      </c>
      <c r="AA100" s="826"/>
      <c r="AB100" s="827"/>
      <c r="AC100" s="827"/>
      <c r="AD100" s="827"/>
      <c r="AE100" s="827"/>
      <c r="AF100" s="827"/>
      <c r="AG100" s="827"/>
      <c r="AH100" s="827"/>
      <c r="AI100" s="827"/>
      <c r="AJ100" s="466">
        <f t="shared" si="2"/>
        <v>0</v>
      </c>
    </row>
    <row r="101" spans="2:36">
      <c r="B101" s="451" t="s">
        <v>508</v>
      </c>
      <c r="C101" s="804"/>
      <c r="D101" s="804" t="s">
        <v>445</v>
      </c>
      <c r="E101" s="806"/>
      <c r="F101" s="804"/>
      <c r="G101" s="455"/>
      <c r="H101" s="811"/>
      <c r="I101" s="474"/>
      <c r="J101" s="453" t="str">
        <f>IF($D101=INDEX(Yes_No_Choice[],1),INDEX(Equipment_Utitliy_Specs_Units[],MATCH($I$5,Equipment_Utility_Spec_List,0),2),"")</f>
        <v/>
      </c>
      <c r="K101" s="474"/>
      <c r="L101" s="453" t="str">
        <f>IF($D101=INDEX(Yes_No_Choice[],1),INDEX(Equipment_Utitliy_Specs_Units[],MATCH($K$5,Equipment_Utility_Spec_List,0),2),"")</f>
        <v/>
      </c>
      <c r="M101" s="474"/>
      <c r="N101" s="453" t="str">
        <f>IF($D101=INDEX(Yes_No_Choice[],1),INDEX(Equipment_Utitliy_Specs_Units[],MATCH($M$5,Equipment_Utility_Spec_List,0),2),"")</f>
        <v/>
      </c>
      <c r="O101" s="474"/>
      <c r="P101" s="453" t="str">
        <f>IF($D101=INDEX(Yes_No_Choice[],1),INDEX(Equipment_Utitliy_Specs_Units[],MATCH($O$5,Equipment_Utility_Spec_List,0),2),"")</f>
        <v/>
      </c>
      <c r="Q101" s="237"/>
      <c r="R101" s="804" t="s">
        <v>445</v>
      </c>
      <c r="S101" s="806"/>
      <c r="T101" s="819"/>
      <c r="U101" s="461">
        <f>IFERROR(T101/(INDEX(Settings_Currency_Table[],MATCH(General_Currency_Selection,Settings_Currency,0),2)),0)</f>
        <v>0</v>
      </c>
      <c r="V101" s="804"/>
      <c r="W101" s="461">
        <f>U101*'1.0-General input'!$E$111</f>
        <v>0</v>
      </c>
      <c r="X101" s="461">
        <f>IFERROR(('2.2-Equipment input'!$U101-W101)/V101,)</f>
        <v>0</v>
      </c>
      <c r="Y101" s="824"/>
      <c r="Z101" s="473">
        <f>IF(General_EquipmentQuant_Auto="Yes",'2.2-Equipment input'!G101,'2.2-Equipment input'!H101)</f>
        <v>0</v>
      </c>
      <c r="AA101" s="826"/>
      <c r="AB101" s="827"/>
      <c r="AC101" s="827"/>
      <c r="AD101" s="827"/>
      <c r="AE101" s="827"/>
      <c r="AF101" s="827"/>
      <c r="AG101" s="827"/>
      <c r="AH101" s="827"/>
      <c r="AI101" s="827"/>
      <c r="AJ101" s="466">
        <f t="shared" si="2"/>
        <v>0</v>
      </c>
    </row>
    <row r="102" spans="2:36">
      <c r="B102" s="467" t="s">
        <v>509</v>
      </c>
      <c r="C102" s="804"/>
      <c r="D102" s="804" t="s">
        <v>445</v>
      </c>
      <c r="E102" s="806"/>
      <c r="F102" s="804"/>
      <c r="G102" s="455"/>
      <c r="H102" s="811"/>
      <c r="I102" s="474"/>
      <c r="J102" s="453" t="str">
        <f>IF($D102=INDEX(Yes_No_Choice[],1),INDEX(Equipment_Utitliy_Specs_Units[],MATCH($I$5,Equipment_Utility_Spec_List,0),2),"")</f>
        <v/>
      </c>
      <c r="K102" s="474"/>
      <c r="L102" s="453" t="str">
        <f>IF($D102=INDEX(Yes_No_Choice[],1),INDEX(Equipment_Utitliy_Specs_Units[],MATCH($K$5,Equipment_Utility_Spec_List,0),2),"")</f>
        <v/>
      </c>
      <c r="M102" s="474"/>
      <c r="N102" s="453" t="str">
        <f>IF($D102=INDEX(Yes_No_Choice[],1),INDEX(Equipment_Utitliy_Specs_Units[],MATCH($M$5,Equipment_Utility_Spec_List,0),2),"")</f>
        <v/>
      </c>
      <c r="O102" s="474"/>
      <c r="P102" s="453" t="str">
        <f>IF($D102=INDEX(Yes_No_Choice[],1),INDEX(Equipment_Utitliy_Specs_Units[],MATCH($O$5,Equipment_Utility_Spec_List,0),2),"")</f>
        <v/>
      </c>
      <c r="Q102" s="237"/>
      <c r="R102" s="804" t="s">
        <v>445</v>
      </c>
      <c r="S102" s="806"/>
      <c r="T102" s="819"/>
      <c r="U102" s="461">
        <f>IFERROR(T102/(INDEX(Settings_Currency_Table[],MATCH(General_Currency_Selection,Settings_Currency,0),2)),0)</f>
        <v>0</v>
      </c>
      <c r="V102" s="804"/>
      <c r="W102" s="461">
        <f>U102*'1.0-General input'!$E$111</f>
        <v>0</v>
      </c>
      <c r="X102" s="461">
        <f>IFERROR(('2.2-Equipment input'!$U102-W102)/V102,)</f>
        <v>0</v>
      </c>
      <c r="Y102" s="824"/>
      <c r="Z102" s="473">
        <f>IF(General_EquipmentQuant_Auto="Yes",'2.2-Equipment input'!G102,'2.2-Equipment input'!H102)</f>
        <v>0</v>
      </c>
      <c r="AA102" s="826"/>
      <c r="AB102" s="827"/>
      <c r="AC102" s="827"/>
      <c r="AD102" s="827"/>
      <c r="AE102" s="827"/>
      <c r="AF102" s="827"/>
      <c r="AG102" s="827"/>
      <c r="AH102" s="827"/>
      <c r="AI102" s="827"/>
      <c r="AJ102" s="466">
        <f t="shared" si="2"/>
        <v>0</v>
      </c>
    </row>
    <row r="103" spans="2:36">
      <c r="B103" s="451" t="s">
        <v>510</v>
      </c>
      <c r="C103" s="804"/>
      <c r="D103" s="804" t="s">
        <v>445</v>
      </c>
      <c r="E103" s="806"/>
      <c r="F103" s="804"/>
      <c r="G103" s="455"/>
      <c r="H103" s="811"/>
      <c r="I103" s="474"/>
      <c r="J103" s="453" t="str">
        <f>IF($D103=INDEX(Yes_No_Choice[],1),INDEX(Equipment_Utitliy_Specs_Units[],MATCH($I$5,Equipment_Utility_Spec_List,0),2),"")</f>
        <v/>
      </c>
      <c r="K103" s="474"/>
      <c r="L103" s="453" t="str">
        <f>IF($D103=INDEX(Yes_No_Choice[],1),INDEX(Equipment_Utitliy_Specs_Units[],MATCH($K$5,Equipment_Utility_Spec_List,0),2),"")</f>
        <v/>
      </c>
      <c r="M103" s="474"/>
      <c r="N103" s="453" t="str">
        <f>IF($D103=INDEX(Yes_No_Choice[],1),INDEX(Equipment_Utitliy_Specs_Units[],MATCH($M$5,Equipment_Utility_Spec_List,0),2),"")</f>
        <v/>
      </c>
      <c r="O103" s="474"/>
      <c r="P103" s="453" t="str">
        <f>IF($D103=INDEX(Yes_No_Choice[],1),INDEX(Equipment_Utitliy_Specs_Units[],MATCH($O$5,Equipment_Utility_Spec_List,0),2),"")</f>
        <v/>
      </c>
      <c r="Q103" s="237"/>
      <c r="R103" s="804" t="s">
        <v>445</v>
      </c>
      <c r="S103" s="806"/>
      <c r="T103" s="819"/>
      <c r="U103" s="461">
        <f>IFERROR(T103/(INDEX(Settings_Currency_Table[],MATCH(General_Currency_Selection,Settings_Currency,0),2)),0)</f>
        <v>0</v>
      </c>
      <c r="V103" s="804"/>
      <c r="W103" s="461">
        <f>U103*'1.0-General input'!$E$111</f>
        <v>0</v>
      </c>
      <c r="X103" s="461">
        <f>IFERROR(('2.2-Equipment input'!$U103-W103)/V103,)</f>
        <v>0</v>
      </c>
      <c r="Y103" s="824"/>
      <c r="Z103" s="473">
        <f>IF(General_EquipmentQuant_Auto="Yes",'2.2-Equipment input'!G103,'2.2-Equipment input'!H103)</f>
        <v>0</v>
      </c>
      <c r="AA103" s="826"/>
      <c r="AB103" s="827"/>
      <c r="AC103" s="827"/>
      <c r="AD103" s="827"/>
      <c r="AE103" s="827"/>
      <c r="AF103" s="827"/>
      <c r="AG103" s="827"/>
      <c r="AH103" s="827"/>
      <c r="AI103" s="827"/>
      <c r="AJ103" s="466">
        <f t="shared" ref="AJ103:AJ106" si="3">SUM(AA103:AI103)</f>
        <v>0</v>
      </c>
    </row>
    <row r="104" spans="2:36">
      <c r="B104" s="467" t="s">
        <v>511</v>
      </c>
      <c r="C104" s="804"/>
      <c r="D104" s="804" t="s">
        <v>445</v>
      </c>
      <c r="E104" s="806"/>
      <c r="F104" s="804"/>
      <c r="G104" s="455"/>
      <c r="H104" s="811"/>
      <c r="I104" s="474"/>
      <c r="J104" s="453" t="str">
        <f>IF($D104=INDEX(Yes_No_Choice[],1),INDEX(Equipment_Utitliy_Specs_Units[],MATCH($I$5,Equipment_Utility_Spec_List,0),2),"")</f>
        <v/>
      </c>
      <c r="K104" s="474"/>
      <c r="L104" s="453" t="str">
        <f>IF($D104=INDEX(Yes_No_Choice[],1),INDEX(Equipment_Utitliy_Specs_Units[],MATCH($K$5,Equipment_Utility_Spec_List,0),2),"")</f>
        <v/>
      </c>
      <c r="M104" s="474"/>
      <c r="N104" s="453" t="str">
        <f>IF($D104=INDEX(Yes_No_Choice[],1),INDEX(Equipment_Utitliy_Specs_Units[],MATCH($M$5,Equipment_Utility_Spec_List,0),2),"")</f>
        <v/>
      </c>
      <c r="O104" s="474"/>
      <c r="P104" s="453" t="str">
        <f>IF($D104=INDEX(Yes_No_Choice[],1),INDEX(Equipment_Utitliy_Specs_Units[],MATCH($O$5,Equipment_Utility_Spec_List,0),2),"")</f>
        <v/>
      </c>
      <c r="Q104" s="237"/>
      <c r="R104" s="804" t="s">
        <v>445</v>
      </c>
      <c r="S104" s="806"/>
      <c r="T104" s="819"/>
      <c r="U104" s="461">
        <f>IFERROR(T104/(INDEX(Settings_Currency_Table[],MATCH(General_Currency_Selection,Settings_Currency,0),2)),0)</f>
        <v>0</v>
      </c>
      <c r="V104" s="804"/>
      <c r="W104" s="461">
        <f>U104*'1.0-General input'!$E$111</f>
        <v>0</v>
      </c>
      <c r="X104" s="461">
        <f>IFERROR(('2.2-Equipment input'!$U104-W104)/V104,)</f>
        <v>0</v>
      </c>
      <c r="Y104" s="824"/>
      <c r="Z104" s="473">
        <f>IF(General_EquipmentQuant_Auto="Yes",'2.2-Equipment input'!G104,'2.2-Equipment input'!H104)</f>
        <v>0</v>
      </c>
      <c r="AA104" s="826"/>
      <c r="AB104" s="827"/>
      <c r="AC104" s="827"/>
      <c r="AD104" s="827"/>
      <c r="AE104" s="827"/>
      <c r="AF104" s="827"/>
      <c r="AG104" s="827"/>
      <c r="AH104" s="827"/>
      <c r="AI104" s="827"/>
      <c r="AJ104" s="466">
        <f t="shared" si="3"/>
        <v>0</v>
      </c>
    </row>
    <row r="105" spans="2:36">
      <c r="B105" s="451" t="s">
        <v>512</v>
      </c>
      <c r="C105" s="804"/>
      <c r="D105" s="804" t="s">
        <v>445</v>
      </c>
      <c r="E105" s="806"/>
      <c r="F105" s="804"/>
      <c r="G105" s="455"/>
      <c r="H105" s="811"/>
      <c r="I105" s="474"/>
      <c r="J105" s="453" t="str">
        <f>IF($D105=INDEX(Yes_No_Choice[],1),INDEX(Equipment_Utitliy_Specs_Units[],MATCH($I$5,Equipment_Utility_Spec_List,0),2),"")</f>
        <v/>
      </c>
      <c r="K105" s="474"/>
      <c r="L105" s="453" t="str">
        <f>IF($D105=INDEX(Yes_No_Choice[],1),INDEX(Equipment_Utitliy_Specs_Units[],MATCH($K$5,Equipment_Utility_Spec_List,0),2),"")</f>
        <v/>
      </c>
      <c r="M105" s="474"/>
      <c r="N105" s="453" t="str">
        <f>IF($D105=INDEX(Yes_No_Choice[],1),INDEX(Equipment_Utitliy_Specs_Units[],MATCH($M$5,Equipment_Utility_Spec_List,0),2),"")</f>
        <v/>
      </c>
      <c r="O105" s="474"/>
      <c r="P105" s="453" t="str">
        <f>IF($D105=INDEX(Yes_No_Choice[],1),INDEX(Equipment_Utitliy_Specs_Units[],MATCH($O$5,Equipment_Utility_Spec_List,0),2),"")</f>
        <v/>
      </c>
      <c r="Q105" s="237"/>
      <c r="R105" s="804" t="s">
        <v>445</v>
      </c>
      <c r="S105" s="806"/>
      <c r="T105" s="819"/>
      <c r="U105" s="461">
        <f>IFERROR(T105/(INDEX(Settings_Currency_Table[],MATCH(General_Currency_Selection,Settings_Currency,0),2)),0)</f>
        <v>0</v>
      </c>
      <c r="V105" s="804"/>
      <c r="W105" s="461">
        <f>U105*'1.0-General input'!$E$111</f>
        <v>0</v>
      </c>
      <c r="X105" s="461">
        <f>IFERROR(('2.2-Equipment input'!$U105-W105)/V105,)</f>
        <v>0</v>
      </c>
      <c r="Y105" s="824"/>
      <c r="Z105" s="473">
        <f>IF(General_EquipmentQuant_Auto="Yes",'2.2-Equipment input'!G105,'2.2-Equipment input'!H105)</f>
        <v>0</v>
      </c>
      <c r="AA105" s="826"/>
      <c r="AB105" s="827"/>
      <c r="AC105" s="827"/>
      <c r="AD105" s="827"/>
      <c r="AE105" s="827"/>
      <c r="AF105" s="827"/>
      <c r="AG105" s="827"/>
      <c r="AH105" s="827"/>
      <c r="AI105" s="827"/>
      <c r="AJ105" s="466">
        <f t="shared" si="3"/>
        <v>0</v>
      </c>
    </row>
    <row r="106" spans="2:36" ht="15.75" thickBot="1">
      <c r="B106" s="467" t="s">
        <v>513</v>
      </c>
      <c r="C106" s="804"/>
      <c r="D106" s="809" t="s">
        <v>445</v>
      </c>
      <c r="E106" s="810"/>
      <c r="F106" s="809"/>
      <c r="G106" s="480"/>
      <c r="H106" s="812"/>
      <c r="I106" s="479"/>
      <c r="J106" s="481" t="str">
        <f>IF($D106=INDEX(Yes_No_Choice[],1),INDEX(Equipment_Utitliy_Specs_Units[],MATCH($I$5,Equipment_Utility_Spec_List,0),2),"")</f>
        <v/>
      </c>
      <c r="K106" s="479"/>
      <c r="L106" s="481" t="str">
        <f>IF($D106=INDEX(Yes_No_Choice[],1),INDEX(Equipment_Utitliy_Specs_Units[],MATCH($K$5,Equipment_Utility_Spec_List,0),2),"")</f>
        <v/>
      </c>
      <c r="M106" s="479"/>
      <c r="N106" s="481" t="str">
        <f>IF($D106=INDEX(Yes_No_Choice[],1),INDEX(Equipment_Utitliy_Specs_Units[],MATCH($M$5,Equipment_Utility_Spec_List,0),2),"")</f>
        <v/>
      </c>
      <c r="O106" s="479"/>
      <c r="P106" s="481" t="str">
        <f>IF($D106=INDEX(Yes_No_Choice[],1),INDEX(Equipment_Utitliy_Specs_Units[],MATCH($O$5,Equipment_Utility_Spec_List,0),2),"")</f>
        <v/>
      </c>
      <c r="Q106" s="482"/>
      <c r="R106" s="809" t="s">
        <v>445</v>
      </c>
      <c r="S106" s="810"/>
      <c r="T106" s="820"/>
      <c r="U106" s="483">
        <f>IFERROR(T106/(INDEX(Settings_Currency_Table[],MATCH(General_Currency_Selection,Settings_Currency,0),2)),0)</f>
        <v>0</v>
      </c>
      <c r="V106" s="809"/>
      <c r="W106" s="483">
        <f>U106*'1.0-General input'!$E$111</f>
        <v>0</v>
      </c>
      <c r="X106" s="483">
        <f>IFERROR(('2.2-Equipment input'!$U106-W106)/V106,)</f>
        <v>0</v>
      </c>
      <c r="Y106" s="801"/>
      <c r="Z106" s="473">
        <f>IF(General_EquipmentQuant_Auto="Yes",'2.2-Equipment input'!G106,'2.2-Equipment input'!H106)</f>
        <v>0</v>
      </c>
      <c r="AA106" s="828"/>
      <c r="AB106" s="829"/>
      <c r="AC106" s="829"/>
      <c r="AD106" s="829"/>
      <c r="AE106" s="829"/>
      <c r="AF106" s="829"/>
      <c r="AG106" s="829"/>
      <c r="AH106" s="829"/>
      <c r="AI106" s="829"/>
      <c r="AJ106" s="484">
        <f t="shared" si="3"/>
        <v>0</v>
      </c>
    </row>
  </sheetData>
  <sheetProtection algorithmName="SHA-512" hashValue="7WEQYn80rN5bU3ZCAsdbNEtO0qffNwaZSCCRLjGB5cWo2Oz1NGbHm/01IyVmHA6JheOmSs0ZVsfgk+a94B9XPw==" saltValue="dZ74EGZNZPDKC1IQ452N1w==" spinCount="100000" sheet="1" objects="1" scenarios="1"/>
  <autoFilter ref="AA6:AI45"/>
  <mergeCells count="5">
    <mergeCell ref="AN5:AV5"/>
    <mergeCell ref="V5:X5"/>
    <mergeCell ref="E5:F5"/>
    <mergeCell ref="AA5:AI5"/>
    <mergeCell ref="I4:Q4"/>
  </mergeCells>
  <conditionalFormatting sqref="K7 M7 O7">
    <cfRule type="expression" dxfId="1015" priority="88">
      <formula>$D7="Yes"</formula>
    </cfRule>
    <cfRule type="expression" dxfId="1014" priority="89">
      <formula>$D7="No"</formula>
    </cfRule>
  </conditionalFormatting>
  <conditionalFormatting sqref="K8:K24 M8:M24 O8:O44 O55:O106 M55:M106 K55:K106 M26:M44 K26:K44">
    <cfRule type="expression" dxfId="1013" priority="82">
      <formula>$D8="Yes"</formula>
    </cfRule>
    <cfRule type="expression" dxfId="1012" priority="83">
      <formula>$D8="No"</formula>
    </cfRule>
  </conditionalFormatting>
  <conditionalFormatting sqref="I55:I106 I26:I44 I8:I24">
    <cfRule type="expression" dxfId="1011" priority="76">
      <formula>$D8="Yes"</formula>
    </cfRule>
    <cfRule type="expression" dxfId="1010" priority="77">
      <formula>$D8="No"</formula>
    </cfRule>
  </conditionalFormatting>
  <conditionalFormatting sqref="I7">
    <cfRule type="expression" dxfId="1009" priority="78">
      <formula>$D7="Yes"</formula>
    </cfRule>
    <cfRule type="expression" dxfId="1008" priority="79">
      <formula>$D7="No"</formula>
    </cfRule>
  </conditionalFormatting>
  <conditionalFormatting sqref="Q7">
    <cfRule type="expression" dxfId="1007" priority="74">
      <formula>$D7="Yes"</formula>
    </cfRule>
    <cfRule type="expression" dxfId="1006" priority="75">
      <formula>$D7="No"</formula>
    </cfRule>
  </conditionalFormatting>
  <conditionalFormatting sqref="Q8:Q44 Q55:Q106">
    <cfRule type="expression" dxfId="1005" priority="70">
      <formula>$D8="Yes"</formula>
    </cfRule>
    <cfRule type="expression" dxfId="1004" priority="71">
      <formula>$D8="No"</formula>
    </cfRule>
  </conditionalFormatting>
  <conditionalFormatting sqref="O45 M45 K45">
    <cfRule type="expression" dxfId="1003" priority="68">
      <formula>$D45="Yes"</formula>
    </cfRule>
    <cfRule type="expression" dxfId="1002" priority="69">
      <formula>$D45="No"</formula>
    </cfRule>
  </conditionalFormatting>
  <conditionalFormatting sqref="Q45">
    <cfRule type="expression" dxfId="1001" priority="64">
      <formula>$D45="Yes"</formula>
    </cfRule>
    <cfRule type="expression" dxfId="1000" priority="65">
      <formula>$D45="No"</formula>
    </cfRule>
  </conditionalFormatting>
  <conditionalFormatting sqref="O46 K46">
    <cfRule type="expression" dxfId="999" priority="62">
      <formula>$D46="Yes"</formula>
    </cfRule>
    <cfRule type="expression" dxfId="998" priority="63">
      <formula>$D46="No"</formula>
    </cfRule>
  </conditionalFormatting>
  <conditionalFormatting sqref="O47 K47">
    <cfRule type="expression" dxfId="997" priority="56">
      <formula>$D47="Yes"</formula>
    </cfRule>
    <cfRule type="expression" dxfId="996" priority="57">
      <formula>$D47="No"</formula>
    </cfRule>
  </conditionalFormatting>
  <conditionalFormatting sqref="Q46">
    <cfRule type="expression" dxfId="995" priority="58">
      <formula>$D46="Yes"</formula>
    </cfRule>
    <cfRule type="expression" dxfId="994" priority="59">
      <formula>$D46="No"</formula>
    </cfRule>
  </conditionalFormatting>
  <conditionalFormatting sqref="I47">
    <cfRule type="expression" dxfId="993" priority="54">
      <formula>$D47="Yes"</formula>
    </cfRule>
    <cfRule type="expression" dxfId="992" priority="55">
      <formula>$D47="No"</formula>
    </cfRule>
  </conditionalFormatting>
  <conditionalFormatting sqref="Q47">
    <cfRule type="expression" dxfId="991" priority="52">
      <formula>$D47="Yes"</formula>
    </cfRule>
    <cfRule type="expression" dxfId="990" priority="53">
      <formula>$D47="No"</formula>
    </cfRule>
  </conditionalFormatting>
  <conditionalFormatting sqref="K49:K52 M50:M52 O49:O52">
    <cfRule type="expression" dxfId="989" priority="50">
      <formula>$D49="Yes"</formula>
    </cfRule>
    <cfRule type="expression" dxfId="988" priority="51">
      <formula>$D49="No"</formula>
    </cfRule>
  </conditionalFormatting>
  <conditionalFormatting sqref="I49:I52">
    <cfRule type="expression" dxfId="987" priority="48">
      <formula>$D49="Yes"</formula>
    </cfRule>
    <cfRule type="expression" dxfId="986" priority="49">
      <formula>$D49="No"</formula>
    </cfRule>
  </conditionalFormatting>
  <conditionalFormatting sqref="Q49:Q52">
    <cfRule type="expression" dxfId="985" priority="46">
      <formula>$D49="Yes"</formula>
    </cfRule>
    <cfRule type="expression" dxfId="984" priority="47">
      <formula>$D49="No"</formula>
    </cfRule>
  </conditionalFormatting>
  <conditionalFormatting sqref="O54 M54 K54">
    <cfRule type="expression" dxfId="983" priority="44">
      <formula>$D54="Yes"</formula>
    </cfRule>
    <cfRule type="expression" dxfId="982" priority="45">
      <formula>$D54="No"</formula>
    </cfRule>
  </conditionalFormatting>
  <conditionalFormatting sqref="I54">
    <cfRule type="expression" dxfId="981" priority="42">
      <formula>$D54="Yes"</formula>
    </cfRule>
    <cfRule type="expression" dxfId="980" priority="43">
      <formula>$D54="No"</formula>
    </cfRule>
  </conditionalFormatting>
  <conditionalFormatting sqref="Q54">
    <cfRule type="expression" dxfId="979" priority="40">
      <formula>$D54="Yes"</formula>
    </cfRule>
    <cfRule type="expression" dxfId="978" priority="41">
      <formula>$D54="No"</formula>
    </cfRule>
  </conditionalFormatting>
  <conditionalFormatting sqref="O53 M53 K53">
    <cfRule type="expression" dxfId="977" priority="38">
      <formula>$D53="Yes"</formula>
    </cfRule>
    <cfRule type="expression" dxfId="976" priority="39">
      <formula>$D53="No"</formula>
    </cfRule>
  </conditionalFormatting>
  <conditionalFormatting sqref="I53">
    <cfRule type="expression" dxfId="975" priority="36">
      <formula>$D53="Yes"</formula>
    </cfRule>
    <cfRule type="expression" dxfId="974" priority="37">
      <formula>$D53="No"</formula>
    </cfRule>
  </conditionalFormatting>
  <conditionalFormatting sqref="Q53">
    <cfRule type="expression" dxfId="973" priority="34">
      <formula>$D53="Yes"</formula>
    </cfRule>
    <cfRule type="expression" dxfId="972" priority="35">
      <formula>$D53="No"</formula>
    </cfRule>
  </conditionalFormatting>
  <conditionalFormatting sqref="M46">
    <cfRule type="expression" dxfId="971" priority="30">
      <formula>$D46="Yes"</formula>
    </cfRule>
    <cfRule type="expression" dxfId="970" priority="31">
      <formula>$D46="No"</formula>
    </cfRule>
  </conditionalFormatting>
  <conditionalFormatting sqref="M47">
    <cfRule type="expression" dxfId="969" priority="28">
      <formula>$D47="Yes"</formula>
    </cfRule>
    <cfRule type="expression" dxfId="968" priority="29">
      <formula>$D47="No"</formula>
    </cfRule>
  </conditionalFormatting>
  <conditionalFormatting sqref="M49">
    <cfRule type="expression" dxfId="967" priority="26">
      <formula>$D49="Yes"</formula>
    </cfRule>
    <cfRule type="expression" dxfId="966" priority="27">
      <formula>$D49="No"</formula>
    </cfRule>
  </conditionalFormatting>
  <conditionalFormatting sqref="M25 K25">
    <cfRule type="expression" dxfId="965" priority="24">
      <formula>$D25="Yes"</formula>
    </cfRule>
    <cfRule type="expression" dxfId="964" priority="25">
      <formula>$D25="No"</formula>
    </cfRule>
  </conditionalFormatting>
  <conditionalFormatting sqref="I25">
    <cfRule type="expression" dxfId="963" priority="22">
      <formula>$D25="Yes"</formula>
    </cfRule>
    <cfRule type="expression" dxfId="962" priority="23">
      <formula>$D25="No"</formula>
    </cfRule>
  </conditionalFormatting>
  <conditionalFormatting sqref="U7:U106">
    <cfRule type="expression" dxfId="961" priority="19">
      <formula>IF(INDIRECT("General_Currency_Selection")="CHF",TRUE)</formula>
    </cfRule>
    <cfRule type="expression" dxfId="960" priority="20">
      <formula>IF(INDIRECT("General_Currency_Selection")="EUR",TRUE)</formula>
    </cfRule>
    <cfRule type="expression" dxfId="959" priority="21">
      <formula>IF(INDIRECT("General_Currency_Selection")="USD",TRUE)</formula>
    </cfRule>
  </conditionalFormatting>
  <conditionalFormatting sqref="W7:W106">
    <cfRule type="expression" dxfId="958" priority="16">
      <formula>IF(INDIRECT("General_Currency_Selection")="CHF",TRUE)</formula>
    </cfRule>
    <cfRule type="expression" dxfId="957" priority="17">
      <formula>IF(INDIRECT("General_Currency_Selection")="EUR",TRUE)</formula>
    </cfRule>
    <cfRule type="expression" dxfId="956" priority="18">
      <formula>IF(INDIRECT("General_Currency_Selection")="USD",TRUE)</formula>
    </cfRule>
  </conditionalFormatting>
  <conditionalFormatting sqref="X7:X106">
    <cfRule type="expression" dxfId="955" priority="13">
      <formula>IF(INDIRECT("General_Currency_Selection")="CHF",TRUE)</formula>
    </cfRule>
    <cfRule type="expression" dxfId="954" priority="14">
      <formula>IF(INDIRECT("General_Currency_Selection")="EUR",TRUE)</formula>
    </cfRule>
    <cfRule type="expression" dxfId="953" priority="15">
      <formula>IF(INDIRECT("General_Currency_Selection")="USD",TRUE)</formula>
    </cfRule>
  </conditionalFormatting>
  <conditionalFormatting sqref="O48 M48 K48">
    <cfRule type="expression" dxfId="952" priority="11">
      <formula>$D48="Yes"</formula>
    </cfRule>
    <cfRule type="expression" dxfId="951" priority="12">
      <formula>$D48="No"</formula>
    </cfRule>
  </conditionalFormatting>
  <conditionalFormatting sqref="Q48">
    <cfRule type="expression" dxfId="950" priority="7">
      <formula>$D48="Yes"</formula>
    </cfRule>
    <cfRule type="expression" dxfId="949" priority="8">
      <formula>$D48="No"</formula>
    </cfRule>
  </conditionalFormatting>
  <conditionalFormatting sqref="I45">
    <cfRule type="expression" dxfId="948" priority="5">
      <formula>$D45="Yes"</formula>
    </cfRule>
    <cfRule type="expression" dxfId="947" priority="6">
      <formula>$D45="No"</formula>
    </cfRule>
  </conditionalFormatting>
  <conditionalFormatting sqref="I46">
    <cfRule type="expression" dxfId="946" priority="3">
      <formula>$D46="Yes"</formula>
    </cfRule>
    <cfRule type="expression" dxfId="945" priority="4">
      <formula>$D46="No"</formula>
    </cfRule>
  </conditionalFormatting>
  <conditionalFormatting sqref="I48">
    <cfRule type="expression" dxfId="944" priority="1">
      <formula>$D48="Yes"</formula>
    </cfRule>
    <cfRule type="expression" dxfId="943" priority="2">
      <formula>$D48="No"</formula>
    </cfRule>
  </conditionalFormatting>
  <dataValidations count="3">
    <dataValidation type="list" allowBlank="1" showInputMessage="1" showErrorMessage="1" sqref="Q7:Q106">
      <formula1>INDIRECT("Equipment_Utility_Fuel_Type")</formula1>
    </dataValidation>
    <dataValidation type="list" allowBlank="1" showInputMessage="1" showErrorMessage="1" sqref="R7:R106">
      <formula1>INDIRECT("Yes_No_Choice")</formula1>
    </dataValidation>
    <dataValidation type="list" allowBlank="1" showInputMessage="1" showErrorMessage="1" sqref="D7:D106">
      <formula1>INDIRECT("Yes_No_Choice")</formula1>
    </dataValidation>
  </dataValidations>
  <pageMargins left="0.7" right="0.7" top="0.75" bottom="0.75" header="0.3" footer="0.3"/>
  <pageSetup paperSize="9" orientation="portrait" horizontalDpi="1200" verticalDpi="1200" r:id="rId1"/>
  <ignoredErrors>
    <ignoredError sqref="S14 S21" formula="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1:W51"/>
  <sheetViews>
    <sheetView zoomScale="85" zoomScaleNormal="85" workbookViewId="0">
      <selection activeCell="C2" sqref="C2:O2"/>
    </sheetView>
  </sheetViews>
  <sheetFormatPr defaultColWidth="11.140625" defaultRowHeight="15"/>
  <cols>
    <col min="1" max="1" width="1.7109375" style="12" customWidth="1"/>
    <col min="2" max="2" width="19" style="12" customWidth="1"/>
    <col min="3" max="3" width="31.85546875" style="12" bestFit="1" customWidth="1"/>
    <col min="4" max="4" width="32" style="12" customWidth="1"/>
    <col min="5" max="5" width="19.42578125" style="12" customWidth="1"/>
    <col min="6" max="6" width="17.5703125" style="12" customWidth="1"/>
    <col min="7" max="7" width="24.5703125" style="12" bestFit="1" customWidth="1"/>
    <col min="8" max="8" width="26.28515625" style="12" customWidth="1"/>
    <col min="9" max="9" width="21.5703125" style="12" customWidth="1"/>
    <col min="10" max="10" width="15.42578125" style="12" customWidth="1"/>
    <col min="11" max="12" width="14.42578125" style="12" customWidth="1"/>
    <col min="13" max="13" width="6.42578125" style="12" customWidth="1"/>
    <col min="14" max="14" width="7.7109375" style="12" customWidth="1"/>
    <col min="15" max="15" width="5.85546875" style="12" customWidth="1"/>
    <col min="16" max="16" width="7.85546875" style="12" bestFit="1" customWidth="1"/>
    <col min="17" max="17" width="9.5703125" style="12" bestFit="1" customWidth="1"/>
    <col min="18" max="18" width="10.5703125" style="12" bestFit="1" customWidth="1"/>
    <col min="19" max="19" width="7" style="12" customWidth="1"/>
    <col min="20" max="20" width="8.28515625" style="12" customWidth="1"/>
    <col min="21" max="21" width="9.5703125" style="12" bestFit="1" customWidth="1"/>
    <col min="22" max="16384" width="11.140625" style="12"/>
  </cols>
  <sheetData>
    <row r="1" spans="2:23" ht="21">
      <c r="B1" s="420" t="s">
        <v>904</v>
      </c>
      <c r="C1" s="321"/>
      <c r="D1" s="321"/>
      <c r="E1" s="321"/>
      <c r="F1" s="321"/>
      <c r="G1" s="321"/>
      <c r="H1" s="321"/>
      <c r="I1" s="321"/>
      <c r="J1" s="321"/>
      <c r="K1" s="321"/>
      <c r="L1" s="321"/>
      <c r="M1" s="321"/>
      <c r="N1" s="321"/>
      <c r="O1" s="321"/>
      <c r="P1" s="321"/>
      <c r="Q1" s="321"/>
      <c r="R1" s="321"/>
      <c r="S1" s="321"/>
      <c r="T1" s="321"/>
      <c r="U1" s="321"/>
      <c r="V1" s="321"/>
    </row>
    <row r="2" spans="2:23" ht="18.600000000000001" customHeight="1" thickBot="1">
      <c r="B2" s="157"/>
      <c r="C2" s="877"/>
      <c r="D2" s="877"/>
      <c r="E2" s="877"/>
      <c r="F2" s="877"/>
      <c r="G2" s="877"/>
      <c r="H2" s="877"/>
      <c r="I2" s="877"/>
      <c r="J2" s="877"/>
      <c r="K2" s="877"/>
      <c r="L2" s="877"/>
      <c r="M2" s="877"/>
      <c r="N2" s="877"/>
      <c r="O2" s="877"/>
    </row>
    <row r="3" spans="2:23" ht="30.75" thickBot="1">
      <c r="I3" s="182"/>
      <c r="J3" s="305" t="s">
        <v>757</v>
      </c>
      <c r="K3" s="306">
        <f>SUM(Staff_number_of_employees)</f>
        <v>35</v>
      </c>
      <c r="L3" s="358"/>
      <c r="M3" s="878" t="s">
        <v>235</v>
      </c>
      <c r="N3" s="879"/>
      <c r="O3" s="879"/>
      <c r="P3" s="879"/>
      <c r="Q3" s="879"/>
      <c r="R3" s="879"/>
      <c r="S3" s="879"/>
      <c r="T3" s="879"/>
      <c r="U3" s="880"/>
    </row>
    <row r="4" spans="2:23" ht="48" thickBot="1">
      <c r="B4" s="160" t="s">
        <v>211</v>
      </c>
      <c r="C4" s="165" t="s">
        <v>5</v>
      </c>
      <c r="D4" s="55" t="s">
        <v>234</v>
      </c>
      <c r="E4" s="56" t="s">
        <v>1067</v>
      </c>
      <c r="F4" s="56" t="s">
        <v>1068</v>
      </c>
      <c r="G4" s="279" t="s">
        <v>732</v>
      </c>
      <c r="H4" s="280" t="s">
        <v>731</v>
      </c>
      <c r="I4" s="57" t="s">
        <v>190</v>
      </c>
      <c r="J4" s="58" t="s">
        <v>974</v>
      </c>
      <c r="K4" s="58" t="s">
        <v>973</v>
      </c>
      <c r="L4" s="357" t="s">
        <v>975</v>
      </c>
      <c r="M4" s="59" t="str">
        <f>INDEX(Unit_codes,COLUMNS($M$4:M4))</f>
        <v>U-W</v>
      </c>
      <c r="N4" s="60" t="str">
        <f>INDEX(Unit_codes,COLUMNS($M$4:N4))</f>
        <v>U-T</v>
      </c>
      <c r="O4" s="60" t="str">
        <f>INDEX(Unit_codes,COLUMNS($M$4:O4))</f>
        <v>U-H</v>
      </c>
      <c r="P4" s="60" t="str">
        <f>INDEX(Unit_codes,COLUMNS($M$4:P4))</f>
        <v>U-N-Egg</v>
      </c>
      <c r="Q4" s="60" t="str">
        <f>INDEX(Unit_codes,COLUMNS($M$4:Q4))</f>
        <v>U-N-5DOL</v>
      </c>
      <c r="R4" s="60" t="str">
        <f>INDEX(Unit_codes,COLUMNS($M$4:R4))</f>
        <v>U-N-17DOL</v>
      </c>
      <c r="S4" s="60" t="str">
        <f>INDEX(Unit_codes,COLUMNS($M$4:S4))</f>
        <v>U-P</v>
      </c>
      <c r="T4" s="60" t="str">
        <f>INDEX(Unit_codes,COLUMNS($M$4:T4))</f>
        <v>U-R</v>
      </c>
      <c r="U4" s="404" t="str">
        <f>INDEX(Unit_codes,COLUMNS($M$4:U4))</f>
        <v>SG&amp;A</v>
      </c>
      <c r="V4" s="405" t="s">
        <v>185</v>
      </c>
    </row>
    <row r="5" spans="2:23">
      <c r="B5" s="161" t="s">
        <v>212</v>
      </c>
      <c r="C5" s="307" t="s">
        <v>130</v>
      </c>
      <c r="D5" s="222" t="s">
        <v>68</v>
      </c>
      <c r="E5" s="843">
        <v>140</v>
      </c>
      <c r="F5" s="844">
        <v>0</v>
      </c>
      <c r="G5" s="494">
        <f>12*(E5+F5)*I5</f>
        <v>1680</v>
      </c>
      <c r="H5" s="491">
        <f>IFERROR(G5/(INDEX(Settings_Currency_Table[],MATCH(General_Currency_Selection,Settings_Currency,0),2)),0)</f>
        <v>1680</v>
      </c>
      <c r="I5" s="308">
        <v>1</v>
      </c>
      <c r="J5" s="252">
        <f>ROUNDUP('1.0-General input'!E15*SUM('4.1-Settings Database'!C50:F50)*(1+'4.1-Settings Database'!C66)/'1.0-General input'!E130,0)</f>
        <v>14</v>
      </c>
      <c r="K5" s="847"/>
      <c r="L5" s="220">
        <f t="shared" ref="L5:L25" si="0">IF(General_StaffNr_Auto="Yes",J5,K5)</f>
        <v>14</v>
      </c>
      <c r="M5" s="216">
        <v>8.5171549175520556E-2</v>
      </c>
      <c r="N5" s="215">
        <v>0.18635603164605483</v>
      </c>
      <c r="O5" s="215">
        <v>0.31079268208573985</v>
      </c>
      <c r="P5" s="215">
        <v>0</v>
      </c>
      <c r="Q5" s="215">
        <v>0</v>
      </c>
      <c r="R5" s="215">
        <v>0</v>
      </c>
      <c r="S5" s="215">
        <v>0</v>
      </c>
      <c r="T5" s="215">
        <v>0.41767973709268474</v>
      </c>
      <c r="U5" s="215">
        <v>0</v>
      </c>
      <c r="V5" s="9">
        <f t="shared" ref="V5:V25" si="1">SUM(M5:U5)</f>
        <v>1</v>
      </c>
      <c r="W5" s="502"/>
    </row>
    <row r="6" spans="2:23">
      <c r="B6" s="162" t="s">
        <v>213</v>
      </c>
      <c r="C6" s="309" t="s">
        <v>118</v>
      </c>
      <c r="D6" s="223" t="s">
        <v>68</v>
      </c>
      <c r="E6" s="832">
        <v>174.99999999999997</v>
      </c>
      <c r="F6" s="833">
        <v>0</v>
      </c>
      <c r="G6" s="495">
        <f t="shared" ref="G6:G25" si="2">12*(E6+F6)*I6</f>
        <v>2099.9999999999995</v>
      </c>
      <c r="H6" s="492">
        <f>IFERROR(G6/(INDEX(Settings_Currency_Table[],MATCH(General_Currency_Selection,Settings_Currency,0),2)),0)</f>
        <v>2099.9999999999995</v>
      </c>
      <c r="I6" s="310">
        <v>1</v>
      </c>
      <c r="J6" s="253">
        <f>ROUNDUP(('1.0-General input'!D57*'4.1-Settings Database'!C55+'1.0-General input'!D54*'4.1-Settings Database'!D55)*(1+'4.1-Settings Database'!C66)*1000/'1.0-General input'!E130,0)</f>
        <v>11</v>
      </c>
      <c r="K6" s="848"/>
      <c r="L6" s="220">
        <f t="shared" si="0"/>
        <v>11</v>
      </c>
      <c r="M6" s="217">
        <v>0</v>
      </c>
      <c r="N6" s="218">
        <v>0</v>
      </c>
      <c r="O6" s="218">
        <v>0</v>
      </c>
      <c r="P6" s="218">
        <v>0.9</v>
      </c>
      <c r="Q6" s="218">
        <v>0.1</v>
      </c>
      <c r="R6" s="218">
        <v>0</v>
      </c>
      <c r="S6" s="218">
        <v>0</v>
      </c>
      <c r="T6" s="218">
        <v>0</v>
      </c>
      <c r="U6" s="218">
        <v>0</v>
      </c>
      <c r="V6" s="10">
        <f t="shared" si="1"/>
        <v>1</v>
      </c>
      <c r="W6" s="502"/>
    </row>
    <row r="7" spans="2:23">
      <c r="B7" s="163" t="s">
        <v>214</v>
      </c>
      <c r="C7" s="311" t="s">
        <v>131</v>
      </c>
      <c r="D7" s="224" t="s">
        <v>69</v>
      </c>
      <c r="E7" s="832">
        <v>280</v>
      </c>
      <c r="F7" s="833">
        <v>0</v>
      </c>
      <c r="G7" s="496">
        <f t="shared" si="2"/>
        <v>3360</v>
      </c>
      <c r="H7" s="492">
        <f>IFERROR(G7/(INDEX(Settings_Currency_Table[],MATCH(General_Currency_Selection,Settings_Currency,0),2)),0)</f>
        <v>3360</v>
      </c>
      <c r="I7" s="310">
        <v>1</v>
      </c>
      <c r="J7" s="219">
        <f>IF(J5&lt;10,0,ROUND((J5+J12+J13)/'1.0-General input'!$E$116,0))</f>
        <v>1</v>
      </c>
      <c r="K7" s="848"/>
      <c r="L7" s="220">
        <f t="shared" si="0"/>
        <v>1</v>
      </c>
      <c r="M7" s="217">
        <v>0.26</v>
      </c>
      <c r="N7" s="218">
        <v>0.1</v>
      </c>
      <c r="O7" s="218">
        <v>0.2</v>
      </c>
      <c r="P7" s="218">
        <v>0</v>
      </c>
      <c r="Q7" s="218">
        <v>0</v>
      </c>
      <c r="R7" s="218">
        <v>0</v>
      </c>
      <c r="S7" s="218">
        <v>0.1</v>
      </c>
      <c r="T7" s="218">
        <v>0.24</v>
      </c>
      <c r="U7" s="218">
        <v>0.1</v>
      </c>
      <c r="V7" s="10">
        <f t="shared" si="1"/>
        <v>1</v>
      </c>
      <c r="W7" s="502"/>
    </row>
    <row r="8" spans="2:23">
      <c r="B8" s="162" t="s">
        <v>215</v>
      </c>
      <c r="C8" s="311" t="s">
        <v>119</v>
      </c>
      <c r="D8" s="225" t="s">
        <v>69</v>
      </c>
      <c r="E8" s="832">
        <v>280</v>
      </c>
      <c r="F8" s="833">
        <v>0</v>
      </c>
      <c r="G8" s="496">
        <f t="shared" si="2"/>
        <v>3360</v>
      </c>
      <c r="H8" s="492">
        <f>IFERROR(G8/(INDEX(Settings_Currency_Table[],MATCH(General_Currency_Selection,Settings_Currency,0),2)),0)</f>
        <v>3360</v>
      </c>
      <c r="I8" s="310">
        <v>1</v>
      </c>
      <c r="J8" s="219">
        <f>IF(J6&lt;10,0,ROUND(J6/'1.0-General input'!$E$116,0))</f>
        <v>1</v>
      </c>
      <c r="K8" s="848"/>
      <c r="L8" s="220">
        <f t="shared" si="0"/>
        <v>1</v>
      </c>
      <c r="M8" s="217">
        <v>0</v>
      </c>
      <c r="N8" s="218">
        <v>0</v>
      </c>
      <c r="O8" s="218">
        <v>0</v>
      </c>
      <c r="P8" s="218">
        <v>0.5</v>
      </c>
      <c r="Q8" s="218">
        <v>0.25</v>
      </c>
      <c r="R8" s="218">
        <v>0</v>
      </c>
      <c r="S8" s="218">
        <v>0</v>
      </c>
      <c r="T8" s="218">
        <v>0</v>
      </c>
      <c r="U8" s="218">
        <v>0.25</v>
      </c>
      <c r="V8" s="10">
        <f t="shared" si="1"/>
        <v>1</v>
      </c>
      <c r="W8" s="502"/>
    </row>
    <row r="9" spans="2:23">
      <c r="B9" s="163" t="s">
        <v>216</v>
      </c>
      <c r="C9" s="311" t="s">
        <v>120</v>
      </c>
      <c r="D9" s="225" t="s">
        <v>69</v>
      </c>
      <c r="E9" s="832">
        <v>419.99999999999994</v>
      </c>
      <c r="F9" s="833">
        <v>0</v>
      </c>
      <c r="G9" s="496">
        <f t="shared" si="2"/>
        <v>5039.9999999999991</v>
      </c>
      <c r="H9" s="492">
        <f>IFERROR(G9/(INDEX(Settings_Currency_Table[],MATCH(General_Currency_Selection,Settings_Currency,0),2)),0)</f>
        <v>5039.9999999999991</v>
      </c>
      <c r="I9" s="310">
        <v>1</v>
      </c>
      <c r="J9" s="220">
        <f>IF(SUM(J7:J8,J10)&lt;'1.0-General input'!E119/2,ROUNDUP(SUM(J7:J8,J10)/'1.0-General input'!E119,0),ROUND(SUM(J7:J8,J10)/'1.0-General input'!E119,0))</f>
        <v>2</v>
      </c>
      <c r="K9" s="848"/>
      <c r="L9" s="220">
        <f t="shared" si="0"/>
        <v>2</v>
      </c>
      <c r="M9" s="217">
        <v>0.1</v>
      </c>
      <c r="N9" s="218">
        <v>0.1</v>
      </c>
      <c r="O9" s="218">
        <v>0.1</v>
      </c>
      <c r="P9" s="218">
        <v>0.1</v>
      </c>
      <c r="Q9" s="218">
        <v>0.05</v>
      </c>
      <c r="R9" s="218">
        <v>0</v>
      </c>
      <c r="S9" s="218">
        <v>0.1</v>
      </c>
      <c r="T9" s="218">
        <v>0.1</v>
      </c>
      <c r="U9" s="218">
        <v>0.35</v>
      </c>
      <c r="V9" s="10">
        <f t="shared" si="1"/>
        <v>1</v>
      </c>
      <c r="W9" s="502"/>
    </row>
    <row r="10" spans="2:23">
      <c r="B10" s="162" t="s">
        <v>217</v>
      </c>
      <c r="C10" s="311" t="s">
        <v>132</v>
      </c>
      <c r="D10" s="225" t="s">
        <v>134</v>
      </c>
      <c r="E10" s="832">
        <v>349.99999999999994</v>
      </c>
      <c r="F10" s="833">
        <v>0</v>
      </c>
      <c r="G10" s="496">
        <f t="shared" si="2"/>
        <v>4199.9999999999991</v>
      </c>
      <c r="H10" s="492">
        <f>IFERROR(G10/(INDEX(Settings_Currency_Table[],MATCH(General_Currency_Selection,Settings_Currency,0),2)),0)</f>
        <v>4199.9999999999991</v>
      </c>
      <c r="I10" s="310">
        <v>1</v>
      </c>
      <c r="J10" s="298">
        <f>IF('1.0-General input'!$D$51/'1.0-General input'!$E$118&lt;1,ROUNDUP('1.0-General input'!$D$51/'1.0-General input'!$E$118,0),ROUND('1.0-General input'!$D$51/'1.0-General input'!$E$118,0))</f>
        <v>4</v>
      </c>
      <c r="K10" s="848"/>
      <c r="L10" s="220">
        <f t="shared" si="0"/>
        <v>4</v>
      </c>
      <c r="M10" s="217">
        <v>0</v>
      </c>
      <c r="N10" s="218">
        <v>0</v>
      </c>
      <c r="O10" s="218">
        <v>0</v>
      </c>
      <c r="P10" s="218">
        <v>0</v>
      </c>
      <c r="Q10" s="218">
        <v>0</v>
      </c>
      <c r="R10" s="218">
        <v>0</v>
      </c>
      <c r="S10" s="218">
        <v>0</v>
      </c>
      <c r="T10" s="218">
        <v>0</v>
      </c>
      <c r="U10" s="218">
        <v>1</v>
      </c>
      <c r="V10" s="10">
        <f t="shared" si="1"/>
        <v>1</v>
      </c>
      <c r="W10" s="502"/>
    </row>
    <row r="11" spans="2:23">
      <c r="B11" s="163" t="s">
        <v>218</v>
      </c>
      <c r="C11" s="311" t="s">
        <v>133</v>
      </c>
      <c r="D11" s="225" t="s">
        <v>134</v>
      </c>
      <c r="E11" s="832">
        <v>174.99999999999997</v>
      </c>
      <c r="F11" s="833">
        <v>0</v>
      </c>
      <c r="G11" s="496">
        <f>12*(E11+F11)*I11</f>
        <v>2099.9999999999995</v>
      </c>
      <c r="H11" s="492">
        <f>IFERROR(G11/(INDEX(Settings_Currency_Table[],MATCH(General_Currency_Selection,Settings_Currency,0),2)),0)</f>
        <v>2099.9999999999995</v>
      </c>
      <c r="I11" s="310">
        <v>1</v>
      </c>
      <c r="J11" s="220">
        <f>ROUND('1.0-General input'!E117*(SUM(J5:J8,J12:J13,J10)),0)</f>
        <v>2</v>
      </c>
      <c r="K11" s="848"/>
      <c r="L11" s="220">
        <f t="shared" si="0"/>
        <v>2</v>
      </c>
      <c r="M11" s="217">
        <v>0</v>
      </c>
      <c r="N11" s="218">
        <v>0</v>
      </c>
      <c r="O11" s="218">
        <v>0</v>
      </c>
      <c r="P11" s="218">
        <v>0</v>
      </c>
      <c r="Q11" s="218">
        <v>0</v>
      </c>
      <c r="R11" s="218">
        <v>0</v>
      </c>
      <c r="S11" s="218">
        <v>0</v>
      </c>
      <c r="T11" s="218">
        <v>0</v>
      </c>
      <c r="U11" s="218">
        <v>1</v>
      </c>
      <c r="V11" s="10">
        <f t="shared" si="1"/>
        <v>1</v>
      </c>
      <c r="W11" s="502"/>
    </row>
    <row r="12" spans="2:23">
      <c r="B12" s="162" t="s">
        <v>219</v>
      </c>
      <c r="C12" s="311" t="s">
        <v>953</v>
      </c>
      <c r="D12" s="225" t="s">
        <v>68</v>
      </c>
      <c r="E12" s="832">
        <v>209.99999999999997</v>
      </c>
      <c r="F12" s="833">
        <v>0</v>
      </c>
      <c r="G12" s="496">
        <f t="shared" si="2"/>
        <v>2519.9999999999995</v>
      </c>
      <c r="H12" s="492">
        <f>IFERROR(G12/(INDEX(Settings_Currency_Table[],MATCH(General_Currency_Selection,Settings_Currency,0),2)),0)</f>
        <v>2519.9999999999995</v>
      </c>
      <c r="I12" s="265">
        <v>1</v>
      </c>
      <c r="J12" s="298">
        <f>ROUNDUP((('1.0-General input'!$D$51*('1.0-General input'!$E$22+'1.0-General input'!$E$23)*1000*'4.1-Settings Database'!$J$59)*(1+'4.1-Settings Database'!$C$66)/'1.0-General input'!$E$130),0)</f>
        <v>0</v>
      </c>
      <c r="K12" s="848"/>
      <c r="L12" s="220">
        <f t="shared" si="0"/>
        <v>0</v>
      </c>
      <c r="M12" s="266">
        <v>0</v>
      </c>
      <c r="N12" s="265">
        <v>0</v>
      </c>
      <c r="O12" s="265">
        <v>0</v>
      </c>
      <c r="P12" s="265">
        <v>0</v>
      </c>
      <c r="Q12" s="265">
        <v>0</v>
      </c>
      <c r="R12" s="265">
        <v>0</v>
      </c>
      <c r="S12" s="265">
        <v>1</v>
      </c>
      <c r="T12" s="265">
        <v>0</v>
      </c>
      <c r="U12" s="265">
        <v>0</v>
      </c>
      <c r="V12" s="10">
        <f t="shared" si="1"/>
        <v>1</v>
      </c>
      <c r="W12" s="502"/>
    </row>
    <row r="13" spans="2:23">
      <c r="B13" s="163" t="s">
        <v>220</v>
      </c>
      <c r="C13" s="311" t="s">
        <v>954</v>
      </c>
      <c r="D13" s="225" t="s">
        <v>69</v>
      </c>
      <c r="E13" s="832">
        <v>209.99999999999997</v>
      </c>
      <c r="F13" s="833">
        <v>0</v>
      </c>
      <c r="G13" s="496">
        <f t="shared" si="2"/>
        <v>2519.9999999999995</v>
      </c>
      <c r="H13" s="492">
        <f>IFERROR(G13/(INDEX(Settings_Currency_Table[],MATCH(General_Currency_Selection,Settings_Currency,0),2)),0)</f>
        <v>2519.9999999999995</v>
      </c>
      <c r="I13" s="265">
        <v>1</v>
      </c>
      <c r="J13" s="298">
        <f>ROUNDUP(((((General_FreshLarvae_Postproc*('1.0-General input'!E27+'1.0-General input'!E28))*1000*'4.1-Settings Database'!J60)+(General_Meal_TotalProd*1000*('4.1-Settings Database'!$J$62+'4.1-Settings Database'!$J$63)))*(1+'4.1-Settings Database'!$C$66))/'1.0-General input'!E130,0)</f>
        <v>0</v>
      </c>
      <c r="K13" s="848"/>
      <c r="L13" s="220">
        <f t="shared" si="0"/>
        <v>0</v>
      </c>
      <c r="M13" s="266">
        <v>0</v>
      </c>
      <c r="N13" s="265">
        <v>0</v>
      </c>
      <c r="O13" s="265">
        <v>0</v>
      </c>
      <c r="P13" s="265">
        <v>0</v>
      </c>
      <c r="Q13" s="265">
        <v>0</v>
      </c>
      <c r="R13" s="265">
        <v>0</v>
      </c>
      <c r="S13" s="265">
        <v>1</v>
      </c>
      <c r="T13" s="265">
        <v>0</v>
      </c>
      <c r="U13" s="265">
        <v>0</v>
      </c>
      <c r="V13" s="10">
        <f t="shared" si="1"/>
        <v>1</v>
      </c>
      <c r="W13" s="502"/>
    </row>
    <row r="14" spans="2:23">
      <c r="B14" s="162" t="s">
        <v>221</v>
      </c>
      <c r="C14" s="830"/>
      <c r="D14" s="831"/>
      <c r="E14" s="832"/>
      <c r="F14" s="833"/>
      <c r="G14" s="496">
        <f>12*(E14+F14)*I14</f>
        <v>0</v>
      </c>
      <c r="H14" s="492">
        <f>IFERROR(G14/(INDEX(Settings_Currency_Table[],MATCH(General_Currency_Selection,Settings_Currency,0),2)),0)</f>
        <v>0</v>
      </c>
      <c r="I14" s="845"/>
      <c r="J14" s="295"/>
      <c r="K14" s="848"/>
      <c r="L14" s="220">
        <f t="shared" si="0"/>
        <v>0</v>
      </c>
      <c r="M14" s="850"/>
      <c r="N14" s="845"/>
      <c r="O14" s="845"/>
      <c r="P14" s="845"/>
      <c r="Q14" s="845"/>
      <c r="R14" s="845"/>
      <c r="S14" s="845"/>
      <c r="T14" s="845"/>
      <c r="U14" s="845"/>
      <c r="V14" s="10">
        <f t="shared" si="1"/>
        <v>0</v>
      </c>
    </row>
    <row r="15" spans="2:23">
      <c r="B15" s="163" t="s">
        <v>222</v>
      </c>
      <c r="C15" s="830"/>
      <c r="D15" s="834"/>
      <c r="E15" s="832"/>
      <c r="F15" s="833"/>
      <c r="G15" s="496">
        <f t="shared" si="2"/>
        <v>0</v>
      </c>
      <c r="H15" s="492">
        <f>IFERROR(G15/(INDEX(Settings_Currency_Table[],MATCH(General_Currency_Selection,Settings_Currency,0),2)),0)</f>
        <v>0</v>
      </c>
      <c r="I15" s="845"/>
      <c r="J15" s="220"/>
      <c r="K15" s="848"/>
      <c r="L15" s="220">
        <f t="shared" si="0"/>
        <v>0</v>
      </c>
      <c r="M15" s="850"/>
      <c r="N15" s="845"/>
      <c r="O15" s="845"/>
      <c r="P15" s="845"/>
      <c r="Q15" s="845"/>
      <c r="R15" s="845"/>
      <c r="S15" s="845"/>
      <c r="T15" s="845"/>
      <c r="U15" s="845"/>
      <c r="V15" s="10">
        <f t="shared" si="1"/>
        <v>0</v>
      </c>
    </row>
    <row r="16" spans="2:23">
      <c r="B16" s="162" t="s">
        <v>223</v>
      </c>
      <c r="C16" s="835"/>
      <c r="D16" s="836"/>
      <c r="E16" s="832"/>
      <c r="F16" s="833"/>
      <c r="G16" s="496">
        <f t="shared" si="2"/>
        <v>0</v>
      </c>
      <c r="H16" s="492">
        <f>IFERROR(G16/(INDEX(Settings_Currency_Table[],MATCH(General_Currency_Selection,Settings_Currency,0),2)),0)</f>
        <v>0</v>
      </c>
      <c r="I16" s="845"/>
      <c r="J16" s="220"/>
      <c r="K16" s="848"/>
      <c r="L16" s="220">
        <f t="shared" si="0"/>
        <v>0</v>
      </c>
      <c r="M16" s="850"/>
      <c r="N16" s="845"/>
      <c r="O16" s="845"/>
      <c r="P16" s="845"/>
      <c r="Q16" s="845"/>
      <c r="R16" s="845"/>
      <c r="S16" s="845"/>
      <c r="T16" s="845"/>
      <c r="U16" s="845"/>
      <c r="V16" s="10">
        <f t="shared" si="1"/>
        <v>0</v>
      </c>
    </row>
    <row r="17" spans="2:22">
      <c r="B17" s="163" t="s">
        <v>224</v>
      </c>
      <c r="C17" s="830"/>
      <c r="D17" s="837"/>
      <c r="E17" s="832"/>
      <c r="F17" s="833"/>
      <c r="G17" s="496">
        <f t="shared" si="2"/>
        <v>0</v>
      </c>
      <c r="H17" s="492">
        <f>IFERROR(G17/(INDEX(Settings_Currency_Table[],MATCH(General_Currency_Selection,Settings_Currency,0),2)),0)</f>
        <v>0</v>
      </c>
      <c r="I17" s="845"/>
      <c r="J17" s="220"/>
      <c r="K17" s="848"/>
      <c r="L17" s="220">
        <f t="shared" si="0"/>
        <v>0</v>
      </c>
      <c r="M17" s="850"/>
      <c r="N17" s="845"/>
      <c r="O17" s="845"/>
      <c r="P17" s="845"/>
      <c r="Q17" s="845"/>
      <c r="R17" s="845"/>
      <c r="S17" s="845"/>
      <c r="T17" s="845"/>
      <c r="U17" s="845"/>
      <c r="V17" s="10">
        <f t="shared" si="1"/>
        <v>0</v>
      </c>
    </row>
    <row r="18" spans="2:22">
      <c r="B18" s="162" t="s">
        <v>225</v>
      </c>
      <c r="C18" s="830"/>
      <c r="D18" s="834"/>
      <c r="E18" s="832"/>
      <c r="F18" s="833"/>
      <c r="G18" s="496">
        <f t="shared" si="2"/>
        <v>0</v>
      </c>
      <c r="H18" s="492">
        <f>IFERROR(G18/(INDEX(Settings_Currency_Table[],MATCH(General_Currency_Selection,Settings_Currency,0),2)),0)</f>
        <v>0</v>
      </c>
      <c r="I18" s="845"/>
      <c r="J18" s="220"/>
      <c r="K18" s="848"/>
      <c r="L18" s="220">
        <f t="shared" si="0"/>
        <v>0</v>
      </c>
      <c r="M18" s="850"/>
      <c r="N18" s="845"/>
      <c r="O18" s="845"/>
      <c r="P18" s="845"/>
      <c r="Q18" s="845"/>
      <c r="R18" s="845"/>
      <c r="S18" s="845"/>
      <c r="T18" s="845"/>
      <c r="U18" s="845"/>
      <c r="V18" s="10">
        <f t="shared" si="1"/>
        <v>0</v>
      </c>
    </row>
    <row r="19" spans="2:22">
      <c r="B19" s="163" t="s">
        <v>226</v>
      </c>
      <c r="C19" s="830"/>
      <c r="D19" s="834"/>
      <c r="E19" s="832"/>
      <c r="F19" s="833"/>
      <c r="G19" s="496">
        <f t="shared" si="2"/>
        <v>0</v>
      </c>
      <c r="H19" s="492">
        <f>IFERROR(G19/(INDEX(Settings_Currency_Table[],MATCH(General_Currency_Selection,Settings_Currency,0),2)),0)</f>
        <v>0</v>
      </c>
      <c r="I19" s="845"/>
      <c r="J19" s="220"/>
      <c r="K19" s="848"/>
      <c r="L19" s="220">
        <f t="shared" si="0"/>
        <v>0</v>
      </c>
      <c r="M19" s="850"/>
      <c r="N19" s="845"/>
      <c r="O19" s="845"/>
      <c r="P19" s="845"/>
      <c r="Q19" s="845"/>
      <c r="R19" s="845"/>
      <c r="S19" s="845"/>
      <c r="T19" s="845"/>
      <c r="U19" s="845"/>
      <c r="V19" s="10">
        <f t="shared" si="1"/>
        <v>0</v>
      </c>
    </row>
    <row r="20" spans="2:22">
      <c r="B20" s="162" t="s">
        <v>227</v>
      </c>
      <c r="C20" s="830"/>
      <c r="D20" s="834"/>
      <c r="E20" s="832"/>
      <c r="F20" s="833"/>
      <c r="G20" s="496">
        <f t="shared" si="2"/>
        <v>0</v>
      </c>
      <c r="H20" s="492">
        <f>IFERROR(G20/(INDEX(Settings_Currency_Table[],MATCH(General_Currency_Selection,Settings_Currency,0),2)),0)</f>
        <v>0</v>
      </c>
      <c r="I20" s="845"/>
      <c r="J20" s="220"/>
      <c r="K20" s="848"/>
      <c r="L20" s="220">
        <f t="shared" si="0"/>
        <v>0</v>
      </c>
      <c r="M20" s="850"/>
      <c r="N20" s="845"/>
      <c r="O20" s="845"/>
      <c r="P20" s="845"/>
      <c r="Q20" s="845"/>
      <c r="R20" s="845"/>
      <c r="S20" s="845"/>
      <c r="T20" s="845"/>
      <c r="U20" s="845"/>
      <c r="V20" s="10">
        <f t="shared" si="1"/>
        <v>0</v>
      </c>
    </row>
    <row r="21" spans="2:22">
      <c r="B21" s="163" t="s">
        <v>228</v>
      </c>
      <c r="C21" s="835"/>
      <c r="D21" s="836"/>
      <c r="E21" s="832"/>
      <c r="F21" s="838"/>
      <c r="G21" s="496">
        <f t="shared" si="2"/>
        <v>0</v>
      </c>
      <c r="H21" s="492">
        <f>IFERROR(G21/(INDEX(Settings_Currency_Table[],MATCH(General_Currency_Selection,Settings_Currency,0),2)),0)</f>
        <v>0</v>
      </c>
      <c r="I21" s="845"/>
      <c r="J21" s="220"/>
      <c r="K21" s="848"/>
      <c r="L21" s="220">
        <f t="shared" si="0"/>
        <v>0</v>
      </c>
      <c r="M21" s="850"/>
      <c r="N21" s="845"/>
      <c r="O21" s="845"/>
      <c r="P21" s="845"/>
      <c r="Q21" s="845"/>
      <c r="R21" s="845"/>
      <c r="S21" s="845"/>
      <c r="T21" s="845"/>
      <c r="U21" s="845"/>
      <c r="V21" s="10">
        <f t="shared" si="1"/>
        <v>0</v>
      </c>
    </row>
    <row r="22" spans="2:22">
      <c r="B22" s="162" t="s">
        <v>229</v>
      </c>
      <c r="C22" s="835"/>
      <c r="D22" s="836"/>
      <c r="E22" s="832"/>
      <c r="F22" s="838"/>
      <c r="G22" s="496">
        <f t="shared" si="2"/>
        <v>0</v>
      </c>
      <c r="H22" s="492">
        <f>IFERROR(G22/(INDEX(Settings_Currency_Table[],MATCH(General_Currency_Selection,Settings_Currency,0),2)),0)</f>
        <v>0</v>
      </c>
      <c r="I22" s="845"/>
      <c r="J22" s="220"/>
      <c r="K22" s="848"/>
      <c r="L22" s="220">
        <f t="shared" si="0"/>
        <v>0</v>
      </c>
      <c r="M22" s="850"/>
      <c r="N22" s="845"/>
      <c r="O22" s="845"/>
      <c r="P22" s="845"/>
      <c r="Q22" s="845"/>
      <c r="R22" s="845"/>
      <c r="S22" s="845"/>
      <c r="T22" s="845"/>
      <c r="U22" s="845"/>
      <c r="V22" s="10">
        <f t="shared" si="1"/>
        <v>0</v>
      </c>
    </row>
    <row r="23" spans="2:22">
      <c r="B23" s="163" t="s">
        <v>230</v>
      </c>
      <c r="C23" s="835"/>
      <c r="D23" s="836"/>
      <c r="E23" s="832"/>
      <c r="F23" s="838"/>
      <c r="G23" s="496">
        <f t="shared" si="2"/>
        <v>0</v>
      </c>
      <c r="H23" s="492">
        <f>IFERROR(G23/(INDEX(Settings_Currency_Table[],MATCH(General_Currency_Selection,Settings_Currency,0),2)),0)</f>
        <v>0</v>
      </c>
      <c r="I23" s="845"/>
      <c r="J23" s="220"/>
      <c r="K23" s="848"/>
      <c r="L23" s="220">
        <f t="shared" si="0"/>
        <v>0</v>
      </c>
      <c r="M23" s="850"/>
      <c r="N23" s="845"/>
      <c r="O23" s="845"/>
      <c r="P23" s="845"/>
      <c r="Q23" s="845"/>
      <c r="R23" s="845"/>
      <c r="S23" s="845"/>
      <c r="T23" s="845"/>
      <c r="U23" s="845"/>
      <c r="V23" s="10">
        <f t="shared" si="1"/>
        <v>0</v>
      </c>
    </row>
    <row r="24" spans="2:22">
      <c r="B24" s="162" t="s">
        <v>231</v>
      </c>
      <c r="C24" s="835"/>
      <c r="D24" s="836"/>
      <c r="E24" s="832"/>
      <c r="F24" s="838"/>
      <c r="G24" s="496">
        <f t="shared" si="2"/>
        <v>0</v>
      </c>
      <c r="H24" s="492">
        <f>IFERROR(G24/(INDEX(Settings_Currency_Table[],MATCH(General_Currency_Selection,Settings_Currency,0),2)),0)</f>
        <v>0</v>
      </c>
      <c r="I24" s="845"/>
      <c r="J24" s="220"/>
      <c r="K24" s="848"/>
      <c r="L24" s="220">
        <f t="shared" si="0"/>
        <v>0</v>
      </c>
      <c r="M24" s="850"/>
      <c r="N24" s="845"/>
      <c r="O24" s="845"/>
      <c r="P24" s="845"/>
      <c r="Q24" s="845"/>
      <c r="R24" s="845"/>
      <c r="S24" s="845"/>
      <c r="T24" s="845"/>
      <c r="U24" s="845"/>
      <c r="V24" s="10">
        <f t="shared" si="1"/>
        <v>0</v>
      </c>
    </row>
    <row r="25" spans="2:22" ht="15.75" thickBot="1">
      <c r="B25" s="164" t="s">
        <v>232</v>
      </c>
      <c r="C25" s="839"/>
      <c r="D25" s="840"/>
      <c r="E25" s="841"/>
      <c r="F25" s="842"/>
      <c r="G25" s="497">
        <f t="shared" si="2"/>
        <v>0</v>
      </c>
      <c r="H25" s="493">
        <f>IFERROR(G25/(INDEX(Settings_Currency_Table[],MATCH(General_Currency_Selection,Settings_Currency,0),2)),0)</f>
        <v>0</v>
      </c>
      <c r="I25" s="846"/>
      <c r="J25" s="221"/>
      <c r="K25" s="849"/>
      <c r="L25" s="359">
        <f t="shared" si="0"/>
        <v>0</v>
      </c>
      <c r="M25" s="851"/>
      <c r="N25" s="846"/>
      <c r="O25" s="846"/>
      <c r="P25" s="846"/>
      <c r="Q25" s="846"/>
      <c r="R25" s="846"/>
      <c r="S25" s="846"/>
      <c r="T25" s="846"/>
      <c r="U25" s="846"/>
      <c r="V25" s="11">
        <f t="shared" si="1"/>
        <v>0</v>
      </c>
    </row>
    <row r="27" spans="2:22">
      <c r="B27" s="24"/>
      <c r="C27" s="24"/>
      <c r="D27" s="24"/>
      <c r="E27" s="24"/>
      <c r="F27" s="24"/>
      <c r="G27" s="24"/>
      <c r="H27" s="24"/>
      <c r="I27" s="24"/>
      <c r="J27" s="24"/>
      <c r="K27" s="24"/>
      <c r="L27" s="24"/>
      <c r="M27" s="24"/>
      <c r="N27" s="24"/>
      <c r="O27" s="24"/>
      <c r="P27" s="24"/>
      <c r="Q27" s="24"/>
      <c r="R27" s="24"/>
      <c r="S27" s="24"/>
      <c r="T27" s="24"/>
      <c r="U27" s="24"/>
      <c r="V27" s="24"/>
    </row>
    <row r="28" spans="2:22" ht="18.75">
      <c r="B28" s="24"/>
      <c r="C28" s="24"/>
      <c r="D28" s="24"/>
      <c r="E28" s="65"/>
      <c r="F28" s="24"/>
      <c r="G28" s="24"/>
      <c r="H28" s="24"/>
      <c r="I28" s="24"/>
      <c r="J28" s="24"/>
      <c r="K28" s="24"/>
      <c r="L28" s="24"/>
      <c r="M28" s="24"/>
      <c r="N28" s="24"/>
      <c r="O28" s="24"/>
      <c r="P28" s="24"/>
      <c r="Q28" s="24"/>
      <c r="R28" s="24"/>
      <c r="S28" s="24"/>
      <c r="T28" s="24"/>
      <c r="U28" s="24"/>
      <c r="V28" s="24"/>
    </row>
    <row r="29" spans="2:22" ht="18.75">
      <c r="E29" s="65"/>
      <c r="F29" s="24"/>
      <c r="G29" s="24"/>
      <c r="H29" s="24"/>
    </row>
    <row r="30" spans="2:22" ht="18.75">
      <c r="E30" s="65"/>
      <c r="F30" s="299"/>
      <c r="G30" s="24"/>
      <c r="H30" s="24"/>
    </row>
    <row r="31" spans="2:22" ht="18.75">
      <c r="E31" s="65"/>
      <c r="F31" s="24"/>
      <c r="G31" s="24"/>
      <c r="H31" s="24"/>
    </row>
    <row r="32" spans="2:22" ht="18.75">
      <c r="E32" s="65"/>
      <c r="F32" s="24"/>
      <c r="G32" s="24"/>
      <c r="H32" s="24"/>
    </row>
    <row r="33" spans="5:15" ht="18.75">
      <c r="E33" s="65"/>
      <c r="F33" s="24"/>
      <c r="G33" s="24"/>
      <c r="H33" s="24"/>
    </row>
    <row r="34" spans="5:15">
      <c r="E34" s="24"/>
      <c r="F34" s="24"/>
      <c r="G34" s="24"/>
      <c r="H34" s="24"/>
    </row>
    <row r="35" spans="5:15">
      <c r="E35" s="24"/>
      <c r="F35" s="24"/>
      <c r="G35" s="24"/>
      <c r="H35" s="24"/>
    </row>
    <row r="36" spans="5:15">
      <c r="E36" s="155"/>
      <c r="F36" s="156"/>
      <c r="G36" s="24"/>
      <c r="H36" s="24"/>
      <c r="O36" s="88"/>
    </row>
    <row r="37" spans="5:15">
      <c r="E37" s="155"/>
      <c r="F37" s="156"/>
      <c r="G37" s="24"/>
      <c r="H37" s="24"/>
    </row>
    <row r="38" spans="5:15">
      <c r="E38" s="155"/>
      <c r="F38" s="156"/>
      <c r="G38" s="24"/>
      <c r="H38" s="24"/>
    </row>
    <row r="39" spans="5:15">
      <c r="E39" s="155"/>
      <c r="F39" s="156"/>
      <c r="G39" s="24"/>
      <c r="H39" s="24"/>
    </row>
    <row r="40" spans="5:15">
      <c r="E40" s="155"/>
      <c r="F40" s="314"/>
      <c r="G40" s="24"/>
      <c r="H40" s="24"/>
    </row>
    <row r="43" spans="5:15" ht="14.45" customHeight="1"/>
    <row r="45" spans="5:15" ht="14.45" customHeight="1"/>
    <row r="46" spans="5:15" ht="29.1" customHeight="1"/>
    <row r="51" ht="30.75" customHeight="1"/>
  </sheetData>
  <sheetProtection algorithmName="SHA-512" hashValue="uIwyN1R6by++uYsKf6M6dMIGxMDvckk6TOiGTlGO+ZK/S74beiFAiOXZpkXUzMq0dnCrpdVJLjHCJOB272FQvg==" saltValue="05CXGj1rOjY5zC5Rvg1W0g==" spinCount="100000" sheet="1" objects="1" scenarios="1"/>
  <mergeCells count="2">
    <mergeCell ref="C2:O2"/>
    <mergeCell ref="M3:U3"/>
  </mergeCells>
  <conditionalFormatting sqref="H5:H25">
    <cfRule type="expression" dxfId="937" priority="1">
      <formula>IF(INDIRECT("General_Currency_Selection")="CHF",TRUE)</formula>
    </cfRule>
    <cfRule type="expression" dxfId="936" priority="2">
      <formula>IF(INDIRECT("General_Currency_Selection")="EUR",TRUE)</formula>
    </cfRule>
    <cfRule type="expression" dxfId="935" priority="3">
      <formula>IF(INDIRECT("General_Currency_Selection")="USD",TRUE)</formula>
    </cfRule>
  </conditionalFormatting>
  <pageMargins left="0.7" right="0.7" top="0.75" bottom="0.75" header="0.3" footer="0.3"/>
  <pageSetup paperSize="9" orientation="portrait" horizontalDpi="1200" verticalDpi="1200"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'4.2-Settings Internal'!$B$27:$B$29</xm:f>
          </x14:formula1>
          <xm:sqref>D5:D25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sheetPr>
  <dimension ref="B1:BK99"/>
  <sheetViews>
    <sheetView zoomScale="85" zoomScaleNormal="85" workbookViewId="0">
      <selection activeCell="O26" sqref="O26"/>
    </sheetView>
  </sheetViews>
  <sheetFormatPr defaultColWidth="8.7109375" defaultRowHeight="15"/>
  <cols>
    <col min="1" max="1" width="1.7109375" style="12" customWidth="1"/>
    <col min="2" max="20" width="8.7109375" style="12"/>
    <col min="21" max="21" width="10" style="12" customWidth="1"/>
    <col min="22" max="23" width="8.7109375" style="12"/>
    <col min="24" max="24" width="15.42578125" style="12" bestFit="1" customWidth="1"/>
    <col min="25" max="25" width="11.85546875" style="12" bestFit="1" customWidth="1"/>
    <col min="26" max="26" width="8.7109375" style="12"/>
    <col min="27" max="27" width="13.5703125" style="12" bestFit="1" customWidth="1"/>
    <col min="28" max="30" width="8.7109375" style="12"/>
    <col min="31" max="31" width="11" style="12" bestFit="1" customWidth="1"/>
    <col min="32" max="33" width="8.7109375" style="12"/>
    <col min="34" max="34" width="11.85546875" style="12" customWidth="1"/>
    <col min="35" max="35" width="8.7109375" style="12"/>
    <col min="36" max="36" width="13.140625" style="12" customWidth="1"/>
    <col min="37" max="37" width="12.42578125" style="12" customWidth="1"/>
    <col min="38" max="45" width="8.7109375" style="12"/>
    <col min="46" max="46" width="22.7109375" style="12" customWidth="1"/>
    <col min="47" max="47" width="12.42578125" style="12" customWidth="1"/>
    <col min="48" max="16384" width="8.7109375" style="12"/>
  </cols>
  <sheetData>
    <row r="1" spans="2:63" ht="5.0999999999999996" customHeight="1"/>
    <row r="2" spans="2:63">
      <c r="B2" s="408" t="s">
        <v>997</v>
      </c>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row>
    <row r="3" spans="2:63">
      <c r="Z3" s="24"/>
      <c r="AA3" s="24"/>
      <c r="AB3" s="362"/>
      <c r="AC3" s="24"/>
    </row>
    <row r="5" spans="2:63">
      <c r="AK5" s="5"/>
    </row>
    <row r="8" spans="2:63">
      <c r="B8" s="393" t="s">
        <v>273</v>
      </c>
      <c r="C8" s="394"/>
      <c r="D8" s="394"/>
      <c r="E8" s="395"/>
      <c r="F8" s="14"/>
      <c r="G8" s="393" t="s">
        <v>283</v>
      </c>
      <c r="H8" s="394"/>
      <c r="I8" s="395"/>
      <c r="J8" s="14"/>
      <c r="K8" s="393" t="s">
        <v>280</v>
      </c>
      <c r="L8" s="394"/>
      <c r="M8" s="395"/>
      <c r="O8" s="393" t="s">
        <v>282</v>
      </c>
      <c r="P8" s="396"/>
      <c r="Q8" s="397"/>
      <c r="S8" s="393" t="s">
        <v>137</v>
      </c>
      <c r="T8" s="396"/>
      <c r="U8" s="396"/>
      <c r="V8" s="396"/>
      <c r="W8" s="396"/>
      <c r="X8" s="397"/>
      <c r="Z8" s="393" t="s">
        <v>138</v>
      </c>
      <c r="AA8" s="396"/>
      <c r="AB8" s="396"/>
      <c r="AC8" s="396"/>
      <c r="AD8" s="396"/>
      <c r="AE8" s="397"/>
      <c r="AM8" s="24"/>
      <c r="AN8" s="24"/>
      <c r="AO8" s="24"/>
      <c r="AP8" s="401" t="s">
        <v>310</v>
      </c>
      <c r="AQ8" s="402"/>
      <c r="AR8" s="403"/>
      <c r="AT8" s="41" t="s">
        <v>308</v>
      </c>
      <c r="AU8" s="39"/>
      <c r="AV8" s="39"/>
      <c r="AW8" s="39"/>
      <c r="AX8" s="39"/>
      <c r="AY8" s="40"/>
    </row>
    <row r="9" spans="2:63">
      <c r="B9" s="15" t="s">
        <v>284</v>
      </c>
      <c r="C9" s="16"/>
      <c r="D9" s="16">
        <f>'4.1-Settings Database'!M19</f>
        <v>1825</v>
      </c>
      <c r="E9" s="17" t="s">
        <v>279</v>
      </c>
      <c r="G9" s="18" t="s">
        <v>281</v>
      </c>
      <c r="H9" s="19">
        <f>'4.1-Settings Database'!J13</f>
        <v>0.95</v>
      </c>
      <c r="I9" s="20"/>
      <c r="K9" s="18" t="s">
        <v>281</v>
      </c>
      <c r="L9" s="19">
        <f>'4.1-Settings Database'!J14</f>
        <v>0.98</v>
      </c>
      <c r="M9" s="20"/>
      <c r="O9" s="18" t="s">
        <v>281</v>
      </c>
      <c r="P9" s="19">
        <f>'4.1-Settings Database'!J15</f>
        <v>1</v>
      </c>
      <c r="Q9" s="20"/>
      <c r="S9" s="363" t="s">
        <v>989</v>
      </c>
      <c r="T9" s="34"/>
      <c r="U9" s="34"/>
      <c r="V9" s="34"/>
      <c r="W9" s="387">
        <f>'4.1-Settings Database'!M20</f>
        <v>1699.075</v>
      </c>
      <c r="X9" s="364" t="s">
        <v>279</v>
      </c>
      <c r="Z9" s="33" t="s">
        <v>288</v>
      </c>
      <c r="AA9" s="34"/>
      <c r="AB9" s="34"/>
      <c r="AC9" s="34"/>
      <c r="AD9" s="387">
        <f>'4.1-Settings Database'!M22</f>
        <v>291.65168310395092</v>
      </c>
      <c r="AE9" s="20" t="s">
        <v>279</v>
      </c>
      <c r="AM9" s="31"/>
      <c r="AN9" s="29"/>
      <c r="AO9" s="24"/>
      <c r="AP9" s="363" t="s">
        <v>281</v>
      </c>
      <c r="AQ9" s="391" t="s">
        <v>668</v>
      </c>
      <c r="AR9" s="364"/>
      <c r="AT9" s="44" t="s">
        <v>309</v>
      </c>
      <c r="AU9" s="34"/>
      <c r="AV9" s="34"/>
      <c r="AW9" s="34"/>
      <c r="AX9" s="34"/>
      <c r="AY9" s="20"/>
    </row>
    <row r="10" spans="2:63">
      <c r="G10" s="21" t="s">
        <v>238</v>
      </c>
      <c r="H10" s="13">
        <f>H9*D9</f>
        <v>1733.75</v>
      </c>
      <c r="I10" s="22" t="s">
        <v>279</v>
      </c>
      <c r="K10" s="21" t="s">
        <v>238</v>
      </c>
      <c r="L10" s="386">
        <f>L9*H10</f>
        <v>1699.075</v>
      </c>
      <c r="M10" s="22" t="s">
        <v>279</v>
      </c>
      <c r="O10" s="21" t="s">
        <v>238</v>
      </c>
      <c r="P10" s="386">
        <f>L10*P9</f>
        <v>1699.075</v>
      </c>
      <c r="Q10" s="22" t="s">
        <v>279</v>
      </c>
      <c r="S10" s="365" t="s">
        <v>285</v>
      </c>
      <c r="T10" s="24"/>
      <c r="U10" s="24"/>
      <c r="V10" s="24"/>
      <c r="W10" s="25">
        <f>'4.1-Settings Database'!J17</f>
        <v>0.8</v>
      </c>
      <c r="X10" s="26"/>
      <c r="Z10" s="35" t="s">
        <v>289</v>
      </c>
      <c r="AA10" s="36"/>
      <c r="AB10" s="36"/>
      <c r="AC10" s="36"/>
      <c r="AD10" s="388">
        <f>'4.1-Settings Database'!M25</f>
        <v>1019.4449999999999</v>
      </c>
      <c r="AE10" s="22" t="s">
        <v>279</v>
      </c>
      <c r="AM10" s="31"/>
      <c r="AN10" s="24"/>
      <c r="AO10" s="24"/>
      <c r="AP10" s="35" t="s">
        <v>238</v>
      </c>
      <c r="AQ10" s="383">
        <f>'1.0-General input'!C68</f>
        <v>273.49548935595612</v>
      </c>
      <c r="AR10" s="367" t="s">
        <v>279</v>
      </c>
      <c r="AT10" s="363" t="s">
        <v>310</v>
      </c>
      <c r="AU10" s="34"/>
      <c r="AV10" s="34"/>
      <c r="AW10" s="34"/>
      <c r="AX10" s="387">
        <f>AQ10</f>
        <v>273.49548935595612</v>
      </c>
      <c r="AY10" s="364" t="s">
        <v>279</v>
      </c>
    </row>
    <row r="11" spans="2:63">
      <c r="S11" s="365" t="s">
        <v>287</v>
      </c>
      <c r="T11" s="24"/>
      <c r="U11" s="24"/>
      <c r="V11" s="24"/>
      <c r="W11" s="27">
        <f>'4.1-Settings Database'!J22</f>
        <v>0.4</v>
      </c>
      <c r="X11" s="26"/>
      <c r="AJ11" s="398" t="s">
        <v>999</v>
      </c>
      <c r="AK11" s="399"/>
      <c r="AL11" s="400"/>
      <c r="AM11" s="31"/>
      <c r="AN11" s="24"/>
      <c r="AO11" s="24"/>
      <c r="AT11" s="365" t="s">
        <v>571</v>
      </c>
      <c r="AU11" s="24"/>
      <c r="AV11" s="24"/>
      <c r="AW11" s="24"/>
      <c r="AX11" s="382">
        <f>AQ18</f>
        <v>0</v>
      </c>
      <c r="AY11" s="26" t="s">
        <v>279</v>
      </c>
    </row>
    <row r="12" spans="2:63">
      <c r="G12" s="24"/>
      <c r="H12" s="24"/>
      <c r="I12" s="24"/>
      <c r="J12" s="24"/>
      <c r="K12" s="24"/>
      <c r="L12" s="24"/>
      <c r="M12" s="24"/>
      <c r="N12" s="24"/>
      <c r="O12" s="24"/>
      <c r="P12" s="24"/>
      <c r="Q12" s="24"/>
      <c r="S12" s="35" t="s">
        <v>286</v>
      </c>
      <c r="T12" s="361"/>
      <c r="U12" s="361"/>
      <c r="V12" s="361"/>
      <c r="W12" s="366">
        <f>'4.1-Settings Database'!J21</f>
        <v>0.16840686988608591</v>
      </c>
      <c r="X12" s="367"/>
      <c r="Z12" s="24"/>
      <c r="AA12" s="24"/>
      <c r="AB12" s="24"/>
      <c r="AC12" s="24"/>
      <c r="AD12" s="24"/>
      <c r="AE12" s="24"/>
      <c r="AJ12" s="365" t="s">
        <v>281</v>
      </c>
      <c r="AK12" s="392" t="s">
        <v>668</v>
      </c>
      <c r="AL12" s="26"/>
      <c r="AT12" s="365" t="s">
        <v>638</v>
      </c>
      <c r="AU12" s="24"/>
      <c r="AV12" s="24"/>
      <c r="AW12" s="24"/>
      <c r="AX12" s="382">
        <f>AQ26</f>
        <v>0</v>
      </c>
      <c r="AY12" s="26" t="s">
        <v>279</v>
      </c>
    </row>
    <row r="13" spans="2:63">
      <c r="D13" s="5"/>
      <c r="G13" s="24"/>
      <c r="H13" s="24"/>
      <c r="I13" s="24"/>
      <c r="J13" s="24"/>
      <c r="K13" s="24"/>
      <c r="L13" s="24"/>
      <c r="M13" s="24"/>
      <c r="N13" s="24"/>
      <c r="O13" s="24"/>
      <c r="P13" s="24"/>
      <c r="Q13" s="24"/>
      <c r="Z13" s="24"/>
      <c r="AA13" s="24"/>
      <c r="AB13" s="24"/>
      <c r="AC13" s="24"/>
      <c r="AD13" s="24"/>
      <c r="AE13" s="24"/>
      <c r="AJ13" s="35" t="s">
        <v>238</v>
      </c>
      <c r="AK13" s="383">
        <f>AD9-AQ10</f>
        <v>18.156193747994791</v>
      </c>
      <c r="AL13" s="367" t="s">
        <v>279</v>
      </c>
      <c r="AT13" s="365" t="s">
        <v>992</v>
      </c>
      <c r="AU13" s="24"/>
      <c r="AV13" s="24"/>
      <c r="AW13" s="24"/>
      <c r="AX13" s="382">
        <f>AQ33</f>
        <v>0</v>
      </c>
      <c r="AY13" s="26" t="s">
        <v>279</v>
      </c>
    </row>
    <row r="14" spans="2:63" ht="15.75">
      <c r="G14" s="24"/>
      <c r="H14" s="41" t="s">
        <v>290</v>
      </c>
      <c r="I14" s="39"/>
      <c r="J14" s="39"/>
      <c r="K14" s="39"/>
      <c r="L14" s="39"/>
      <c r="M14" s="39"/>
      <c r="N14" s="54"/>
      <c r="O14" s="24"/>
      <c r="P14" s="24"/>
      <c r="Q14" s="24"/>
      <c r="Z14" s="41" t="s">
        <v>99</v>
      </c>
      <c r="AA14" s="39"/>
      <c r="AB14" s="39"/>
      <c r="AC14" s="39"/>
      <c r="AD14" s="39"/>
      <c r="AE14" s="40"/>
      <c r="AT14" s="373" t="s">
        <v>291</v>
      </c>
      <c r="AU14" s="379"/>
      <c r="AV14" s="379"/>
      <c r="AW14" s="379"/>
      <c r="AX14" s="379"/>
      <c r="AY14" s="380"/>
    </row>
    <row r="15" spans="2:63">
      <c r="H15" s="43" t="s">
        <v>294</v>
      </c>
      <c r="I15" s="16"/>
      <c r="J15" s="16"/>
      <c r="K15" s="16"/>
      <c r="L15" s="16"/>
      <c r="M15" s="16"/>
      <c r="N15" s="17"/>
      <c r="P15" s="5"/>
      <c r="Z15" s="44" t="s">
        <v>301</v>
      </c>
      <c r="AA15" s="34"/>
      <c r="AB15" s="34"/>
      <c r="AC15" s="34"/>
      <c r="AD15" s="34"/>
      <c r="AE15" s="20"/>
      <c r="AT15" s="371" t="s">
        <v>295</v>
      </c>
      <c r="AU15" s="49"/>
      <c r="AV15" s="49"/>
      <c r="AW15" s="49"/>
      <c r="AX15" s="49"/>
      <c r="AY15" s="372"/>
      <c r="BC15" s="24"/>
      <c r="BD15" s="24"/>
      <c r="BE15" s="24"/>
      <c r="BF15" s="24"/>
      <c r="BG15" s="24"/>
      <c r="BH15" s="24"/>
      <c r="BI15" s="24"/>
      <c r="BJ15" s="24"/>
      <c r="BK15" s="24"/>
    </row>
    <row r="16" spans="2:63">
      <c r="H16" s="15" t="s">
        <v>297</v>
      </c>
      <c r="I16" s="16"/>
      <c r="J16" s="16"/>
      <c r="K16" s="16"/>
      <c r="L16" s="16"/>
      <c r="M16" s="389">
        <f>P10</f>
        <v>1699.075</v>
      </c>
      <c r="N16" s="17" t="s">
        <v>279</v>
      </c>
      <c r="S16" s="41" t="s">
        <v>296</v>
      </c>
      <c r="T16" s="39"/>
      <c r="U16" s="39"/>
      <c r="V16" s="39"/>
      <c r="W16" s="39"/>
      <c r="X16" s="40"/>
      <c r="Z16" s="33" t="s">
        <v>300</v>
      </c>
      <c r="AA16" s="34"/>
      <c r="AB16" s="34"/>
      <c r="AC16" s="34"/>
      <c r="AD16" s="387">
        <f>AD9</f>
        <v>291.65168310395092</v>
      </c>
      <c r="AE16" s="20" t="s">
        <v>279</v>
      </c>
      <c r="AP16" s="398" t="s">
        <v>571</v>
      </c>
      <c r="AQ16" s="399"/>
      <c r="AR16" s="400"/>
      <c r="AT16" s="365" t="s">
        <v>102</v>
      </c>
      <c r="AU16" s="24"/>
      <c r="AV16" s="24"/>
      <c r="AW16" s="382">
        <f>'5.3-Unit P'!C39</f>
        <v>0.40857142857142853</v>
      </c>
      <c r="AX16" s="24" t="s">
        <v>528</v>
      </c>
      <c r="AY16" s="26"/>
      <c r="BC16" s="24"/>
      <c r="BD16" s="24"/>
      <c r="BE16" s="24"/>
      <c r="BF16" s="24"/>
      <c r="BG16" s="24"/>
      <c r="BH16" s="24"/>
      <c r="BI16" s="24"/>
      <c r="BJ16" s="24"/>
      <c r="BK16" s="24"/>
    </row>
    <row r="17" spans="8:63">
      <c r="H17" s="30" t="s">
        <v>291</v>
      </c>
      <c r="I17" s="24"/>
      <c r="J17" s="24"/>
      <c r="K17" s="24"/>
      <c r="N17" s="26"/>
      <c r="S17" s="43" t="s">
        <v>299</v>
      </c>
      <c r="T17" s="16"/>
      <c r="U17" s="16"/>
      <c r="V17" s="16"/>
      <c r="W17" s="16"/>
      <c r="X17" s="17"/>
      <c r="Z17" s="35" t="s">
        <v>289</v>
      </c>
      <c r="AA17" s="36"/>
      <c r="AB17" s="36"/>
      <c r="AC17" s="36"/>
      <c r="AD17" s="388">
        <f>AD10</f>
        <v>1019.4449999999999</v>
      </c>
      <c r="AE17" s="22" t="s">
        <v>279</v>
      </c>
      <c r="AP17" s="365" t="s">
        <v>281</v>
      </c>
      <c r="AQ17" s="27">
        <f>'4.1-Settings Database'!J36</f>
        <v>0.26</v>
      </c>
      <c r="AR17" s="26"/>
      <c r="AT17" s="365" t="s">
        <v>101</v>
      </c>
      <c r="AU17" s="24"/>
      <c r="AV17" s="24"/>
      <c r="AW17" s="382">
        <f>'5.3-Unit P'!C40</f>
        <v>16.019761904761904</v>
      </c>
      <c r="AX17" s="24" t="s">
        <v>530</v>
      </c>
      <c r="AY17" s="26"/>
      <c r="BC17" s="24"/>
      <c r="BD17" s="24"/>
      <c r="BE17" s="24"/>
      <c r="BF17" s="24"/>
      <c r="BG17" s="24"/>
      <c r="BH17" s="24"/>
      <c r="BI17" s="24"/>
      <c r="BJ17" s="24"/>
      <c r="BK17" s="24"/>
    </row>
    <row r="18" spans="8:63">
      <c r="H18" s="371" t="s">
        <v>295</v>
      </c>
      <c r="I18" s="49"/>
      <c r="J18" s="49"/>
      <c r="K18" s="49"/>
      <c r="L18" s="49"/>
      <c r="M18" s="49"/>
      <c r="N18" s="364"/>
      <c r="S18" s="15" t="s">
        <v>298</v>
      </c>
      <c r="T18" s="16"/>
      <c r="U18" s="16"/>
      <c r="V18" s="16"/>
      <c r="W18" s="389">
        <f>'5.3-Unit T'!C13</f>
        <v>1311.0966831039509</v>
      </c>
      <c r="X18" s="17" t="s">
        <v>279</v>
      </c>
      <c r="Z18" s="30" t="s">
        <v>291</v>
      </c>
      <c r="AA18" s="24"/>
      <c r="AB18" s="24"/>
      <c r="AE18" s="26"/>
      <c r="AM18" s="31"/>
      <c r="AN18" s="24"/>
      <c r="AO18" s="24"/>
      <c r="AP18" s="35" t="s">
        <v>238</v>
      </c>
      <c r="AQ18" s="383">
        <f>'1.0-General input'!C69</f>
        <v>0</v>
      </c>
      <c r="AR18" s="367" t="s">
        <v>279</v>
      </c>
      <c r="AT18" s="35" t="s">
        <v>103</v>
      </c>
      <c r="AU18" s="361"/>
      <c r="AV18" s="361"/>
      <c r="AW18" s="383">
        <f>'5.3-Unit P'!C41</f>
        <v>0.1</v>
      </c>
      <c r="AX18" s="361" t="s">
        <v>563</v>
      </c>
      <c r="AY18" s="367"/>
      <c r="BC18" s="24"/>
      <c r="BD18" s="24"/>
      <c r="BE18" s="24"/>
      <c r="BF18" s="24"/>
      <c r="BG18" s="24"/>
      <c r="BH18" s="24"/>
      <c r="BI18" s="24"/>
      <c r="BJ18" s="24"/>
      <c r="BK18" s="24"/>
    </row>
    <row r="19" spans="8:63">
      <c r="H19" s="365" t="str">
        <f>'5.3-Unit W'!B39</f>
        <v>Water</v>
      </c>
      <c r="I19" s="24"/>
      <c r="J19" s="29">
        <f>'5.3-Unit W'!C39</f>
        <v>0.85119047619047616</v>
      </c>
      <c r="K19" s="24" t="str">
        <f>'5.3-Unit W'!D39</f>
        <v>m3/d</v>
      </c>
      <c r="L19" s="29"/>
      <c r="M19" s="24"/>
      <c r="N19" s="26"/>
      <c r="P19" s="5"/>
      <c r="S19" s="30" t="s">
        <v>291</v>
      </c>
      <c r="T19" s="24"/>
      <c r="U19" s="24"/>
      <c r="X19" s="26"/>
      <c r="Z19" s="371" t="s">
        <v>295</v>
      </c>
      <c r="AA19" s="49"/>
      <c r="AB19" s="49"/>
      <c r="AC19" s="49"/>
      <c r="AD19" s="49"/>
      <c r="AE19" s="364"/>
      <c r="AT19" s="373" t="s">
        <v>292</v>
      </c>
      <c r="AU19" s="379"/>
      <c r="AV19" s="379"/>
      <c r="AW19" s="379"/>
      <c r="AX19" s="379"/>
      <c r="AY19" s="380"/>
      <c r="BC19" s="24"/>
      <c r="BD19" s="24"/>
      <c r="BE19" s="24"/>
      <c r="BF19" s="24"/>
      <c r="BG19" s="24"/>
      <c r="BH19" s="24"/>
      <c r="BI19" s="24"/>
      <c r="BJ19" s="24"/>
      <c r="BK19" s="24"/>
    </row>
    <row r="20" spans="8:63">
      <c r="H20" s="365" t="str">
        <f>'5.3-Unit W'!B40</f>
        <v>Electricity</v>
      </c>
      <c r="I20" s="24"/>
      <c r="J20" s="29">
        <f>'5.3-Unit W'!C40</f>
        <v>3.9682539682539684</v>
      </c>
      <c r="K20" s="24" t="str">
        <f>'5.3-Unit W'!D40</f>
        <v>kWh/d</v>
      </c>
      <c r="L20" s="29"/>
      <c r="M20" s="24"/>
      <c r="N20" s="26"/>
      <c r="S20" s="371" t="s">
        <v>295</v>
      </c>
      <c r="T20" s="49"/>
      <c r="U20" s="49"/>
      <c r="V20" s="49"/>
      <c r="W20" s="49"/>
      <c r="X20" s="364"/>
      <c r="Z20" s="365" t="str">
        <f>'5.3-Unit H'!B39</f>
        <v>Water</v>
      </c>
      <c r="AA20" s="24"/>
      <c r="AB20" s="29">
        <f>'5.3-Unit H'!C39</f>
        <v>0.85119047619047616</v>
      </c>
      <c r="AC20" s="24" t="str">
        <f>'5.3-Unit H'!D39</f>
        <v>m3/d</v>
      </c>
      <c r="AD20" s="29"/>
      <c r="AE20" s="26"/>
      <c r="AT20" s="371" t="s">
        <v>5</v>
      </c>
      <c r="AV20" s="49" t="s">
        <v>293</v>
      </c>
      <c r="AW20" s="49" t="s">
        <v>121</v>
      </c>
      <c r="AX20" s="49"/>
      <c r="AY20" s="372"/>
      <c r="BC20" s="46"/>
      <c r="BD20" s="46"/>
      <c r="BE20" s="46"/>
      <c r="BF20" s="46"/>
      <c r="BG20" s="46"/>
      <c r="BH20" s="46"/>
      <c r="BI20" s="46"/>
      <c r="BJ20" s="46"/>
      <c r="BK20" s="46"/>
    </row>
    <row r="21" spans="8:63">
      <c r="H21" s="35" t="str">
        <f>'5.3-Unit W'!B41</f>
        <v>Fuel</v>
      </c>
      <c r="I21" s="361"/>
      <c r="J21" s="377">
        <f>'5.3-Unit W'!C41</f>
        <v>6</v>
      </c>
      <c r="K21" s="361" t="str">
        <f>'5.3-Unit W'!D41</f>
        <v>L/d</v>
      </c>
      <c r="L21" s="361"/>
      <c r="M21" s="361"/>
      <c r="N21" s="367"/>
      <c r="S21" s="365" t="str">
        <f>'5.3-Unit T'!B39</f>
        <v>Water</v>
      </c>
      <c r="T21" s="24"/>
      <c r="U21" s="29">
        <f>'5.3-Unit T'!C39</f>
        <v>0.85119047619047616</v>
      </c>
      <c r="V21" s="24" t="str">
        <f>'5.3-Unit T'!D39</f>
        <v>m3/d</v>
      </c>
      <c r="W21" s="24"/>
      <c r="X21" s="26"/>
      <c r="Z21" s="365" t="str">
        <f>'5.3-Unit H'!B40</f>
        <v>Electricity</v>
      </c>
      <c r="AA21" s="24"/>
      <c r="AB21" s="29">
        <f>'5.3-Unit H'!C40</f>
        <v>9.2577526349206352</v>
      </c>
      <c r="AC21" s="24" t="str">
        <f>'5.3-Unit H'!D40</f>
        <v>kWh/d</v>
      </c>
      <c r="AD21" s="29"/>
      <c r="AE21" s="26"/>
      <c r="AT21" s="365" t="str">
        <f>'5.3-Unit P'!C52</f>
        <v>Post-P. worker (Sanitizing)</v>
      </c>
      <c r="AV21" s="24">
        <f>'5.3-Unit P'!E52</f>
        <v>0</v>
      </c>
      <c r="AW21" s="25">
        <f>'5.3-Unit P'!F52</f>
        <v>1</v>
      </c>
      <c r="AX21" s="24"/>
      <c r="AY21" s="26"/>
      <c r="BC21" s="24"/>
      <c r="BD21" s="24"/>
      <c r="BE21" s="24"/>
      <c r="BF21" s="25"/>
      <c r="BG21" s="24"/>
      <c r="BH21" s="24"/>
      <c r="BI21" s="24"/>
      <c r="BJ21" s="25"/>
      <c r="BK21" s="24"/>
    </row>
    <row r="22" spans="8:63">
      <c r="H22" s="384" t="s">
        <v>292</v>
      </c>
      <c r="I22" s="361"/>
      <c r="J22" s="361"/>
      <c r="K22" s="361"/>
      <c r="L22" s="361"/>
      <c r="M22" s="361"/>
      <c r="N22" s="367"/>
      <c r="S22" s="365" t="str">
        <f>'5.3-Unit T'!B40</f>
        <v>Electricity</v>
      </c>
      <c r="T22" s="24"/>
      <c r="U22" s="29">
        <f>'5.3-Unit T'!C40</f>
        <v>3.9682539682539684</v>
      </c>
      <c r="V22" s="24" t="str">
        <f>'5.3-Unit T'!D40</f>
        <v>kWh/d</v>
      </c>
      <c r="W22" s="24"/>
      <c r="X22" s="26"/>
      <c r="Z22" s="35" t="str">
        <f>'5.3-Unit H'!B41</f>
        <v>Fuel</v>
      </c>
      <c r="AA22" s="361"/>
      <c r="AB22" s="377">
        <f>'5.3-Unit H'!C41</f>
        <v>0</v>
      </c>
      <c r="AC22" s="361" t="str">
        <f>'5.3-Unit H'!D41</f>
        <v>L/d</v>
      </c>
      <c r="AD22" s="361"/>
      <c r="AE22" s="367"/>
      <c r="AT22" s="365" t="str">
        <f>'5.3-Unit P'!C53</f>
        <v>N/A</v>
      </c>
      <c r="AV22" s="24" t="str">
        <f>'5.3-Unit P'!E53</f>
        <v>N/A</v>
      </c>
      <c r="AW22" s="25" t="str">
        <f>'5.3-Unit P'!F53</f>
        <v/>
      </c>
      <c r="AX22" s="24"/>
      <c r="AY22" s="26"/>
      <c r="BC22" s="24"/>
      <c r="BD22" s="24"/>
      <c r="BE22" s="24"/>
      <c r="BF22" s="25"/>
      <c r="BG22" s="24"/>
      <c r="BH22" s="24"/>
      <c r="BI22" s="24"/>
      <c r="BJ22" s="25"/>
      <c r="BK22" s="24"/>
    </row>
    <row r="23" spans="8:63">
      <c r="H23" s="45" t="s">
        <v>5</v>
      </c>
      <c r="I23" s="46"/>
      <c r="J23" s="46"/>
      <c r="K23" s="46"/>
      <c r="L23" s="46" t="s">
        <v>293</v>
      </c>
      <c r="M23" s="46" t="s">
        <v>121</v>
      </c>
      <c r="N23" s="47"/>
      <c r="S23" s="35" t="str">
        <f>'5.3-Unit T'!B41</f>
        <v>Fuel</v>
      </c>
      <c r="T23" s="361"/>
      <c r="U23" s="377">
        <f>'5.3-Unit T'!C41</f>
        <v>0</v>
      </c>
      <c r="V23" s="361" t="str">
        <f>'5.3-Unit T'!D41</f>
        <v>L/d</v>
      </c>
      <c r="W23" s="361"/>
      <c r="X23" s="367"/>
      <c r="Z23" s="384" t="s">
        <v>292</v>
      </c>
      <c r="AA23" s="361"/>
      <c r="AB23" s="361"/>
      <c r="AC23" s="361"/>
      <c r="AD23" s="361"/>
      <c r="AE23" s="367"/>
      <c r="AM23" s="31"/>
      <c r="AN23" s="24"/>
      <c r="AO23" s="24"/>
      <c r="AT23" s="365" t="str">
        <f>'5.3-Unit P'!C83</f>
        <v>Waste units manager</v>
      </c>
      <c r="AV23" s="24">
        <f>'5.3-Unit P'!E83</f>
        <v>1</v>
      </c>
      <c r="AW23" s="25">
        <f>'5.3-Unit P'!F83</f>
        <v>0.1</v>
      </c>
      <c r="AX23" s="24"/>
      <c r="AY23" s="26"/>
      <c r="BC23" s="24"/>
      <c r="BD23" s="24"/>
      <c r="BE23" s="24"/>
      <c r="BF23" s="25"/>
      <c r="BG23" s="24"/>
      <c r="BH23" s="24"/>
      <c r="BI23" s="24"/>
      <c r="BJ23" s="25"/>
      <c r="BK23" s="24"/>
    </row>
    <row r="24" spans="8:63">
      <c r="H24" s="23" t="str">
        <f>'5.3-Unit W'!C52</f>
        <v>General worker</v>
      </c>
      <c r="I24" s="24"/>
      <c r="J24" s="24"/>
      <c r="K24" s="24"/>
      <c r="L24" s="24">
        <f>'5.3-Unit W'!E52</f>
        <v>14</v>
      </c>
      <c r="M24" s="25">
        <f>'5.3-Unit W'!F52</f>
        <v>8.5171549175520556E-2</v>
      </c>
      <c r="N24" s="26"/>
      <c r="S24" s="384" t="s">
        <v>292</v>
      </c>
      <c r="T24" s="361"/>
      <c r="U24" s="361"/>
      <c r="V24" s="361"/>
      <c r="W24" s="361"/>
      <c r="X24" s="367"/>
      <c r="Z24" s="45" t="s">
        <v>5</v>
      </c>
      <c r="AA24" s="46"/>
      <c r="AB24" s="46"/>
      <c r="AC24" s="46" t="s">
        <v>293</v>
      </c>
      <c r="AD24" s="46" t="s">
        <v>121</v>
      </c>
      <c r="AE24" s="47"/>
      <c r="AM24" s="31"/>
      <c r="AN24" s="24"/>
      <c r="AO24" s="24"/>
      <c r="AP24" s="398" t="s">
        <v>638</v>
      </c>
      <c r="AQ24" s="399"/>
      <c r="AR24" s="400"/>
      <c r="AT24" s="35" t="str">
        <f>'5.3-Unit P'!C84</f>
        <v>Site manager</v>
      </c>
      <c r="AV24" s="361">
        <f>'5.3-Unit P'!E84</f>
        <v>2</v>
      </c>
      <c r="AW24" s="370">
        <f>'5.3-Unit P'!F84</f>
        <v>0.1</v>
      </c>
      <c r="AX24" s="361"/>
      <c r="AY24" s="367"/>
      <c r="BC24" s="24"/>
      <c r="BD24" s="24"/>
      <c r="BE24" s="24"/>
      <c r="BF24" s="24"/>
      <c r="BG24" s="24"/>
      <c r="BH24" s="24"/>
      <c r="BI24" s="24"/>
      <c r="BJ24" s="24"/>
      <c r="BK24" s="24"/>
    </row>
    <row r="25" spans="8:63">
      <c r="H25" s="23" t="str">
        <f>'5.3-Unit W'!C83</f>
        <v>Waste units manager</v>
      </c>
      <c r="I25" s="24"/>
      <c r="J25" s="24"/>
      <c r="K25" s="24"/>
      <c r="L25" s="24">
        <f>'5.3-Unit W'!E83</f>
        <v>1</v>
      </c>
      <c r="M25" s="25">
        <f>'5.3-Unit W'!F83</f>
        <v>0.26</v>
      </c>
      <c r="N25" s="26"/>
      <c r="S25" s="45" t="s">
        <v>5</v>
      </c>
      <c r="T25" s="46"/>
      <c r="U25" s="46"/>
      <c r="V25" s="46" t="s">
        <v>293</v>
      </c>
      <c r="W25" s="46" t="s">
        <v>121</v>
      </c>
      <c r="X25" s="47"/>
      <c r="Z25" s="23" t="str">
        <f>'5.3-Unit H'!C52</f>
        <v>General worker</v>
      </c>
      <c r="AA25" s="24"/>
      <c r="AB25" s="24"/>
      <c r="AC25" s="24">
        <f>'5.3-Unit H'!E52</f>
        <v>14</v>
      </c>
      <c r="AD25" s="25">
        <f>'5.3-Unit H'!F52</f>
        <v>0.31079268208573985</v>
      </c>
      <c r="AE25" s="26"/>
      <c r="AM25" s="31"/>
      <c r="AN25" s="24"/>
      <c r="AO25" s="24"/>
      <c r="AP25" s="365" t="s">
        <v>281</v>
      </c>
      <c r="AQ25" s="27">
        <f>'4.1-Settings Database'!J39</f>
        <v>0.173264</v>
      </c>
      <c r="AR25" s="26"/>
      <c r="AT25" s="373" t="s">
        <v>2</v>
      </c>
      <c r="AU25" s="379"/>
      <c r="AV25" s="379"/>
      <c r="AW25" s="379"/>
      <c r="AX25" s="379"/>
      <c r="AY25" s="380"/>
      <c r="BC25" s="24"/>
      <c r="BD25" s="46"/>
      <c r="BE25" s="46"/>
      <c r="BF25" s="46"/>
      <c r="BG25" s="24"/>
      <c r="BH25" s="46"/>
      <c r="BI25" s="46"/>
      <c r="BJ25" s="46"/>
      <c r="BK25" s="24"/>
    </row>
    <row r="26" spans="8:63">
      <c r="H26" s="23" t="str">
        <f>'5.3-Unit W'!C84</f>
        <v>Site manager</v>
      </c>
      <c r="I26" s="24"/>
      <c r="J26" s="24"/>
      <c r="K26" s="24"/>
      <c r="L26" s="24">
        <f>'5.3-Unit W'!E84</f>
        <v>2</v>
      </c>
      <c r="M26" s="25">
        <f>'5.3-Unit W'!F84</f>
        <v>0.1</v>
      </c>
      <c r="N26" s="26"/>
      <c r="S26" s="23" t="str">
        <f>'5.3-Unit T'!C52</f>
        <v>General worker</v>
      </c>
      <c r="T26" s="24"/>
      <c r="U26" s="24"/>
      <c r="V26" s="24">
        <f>'5.3-Unit T'!E52</f>
        <v>14</v>
      </c>
      <c r="W26" s="25">
        <f>'5.3-Unit T'!F52</f>
        <v>0.18635603164605483</v>
      </c>
      <c r="X26" s="26"/>
      <c r="Z26" s="23" t="str">
        <f>'5.3-Unit H'!C83</f>
        <v>Waste units manager</v>
      </c>
      <c r="AA26" s="24"/>
      <c r="AB26" s="24"/>
      <c r="AC26" s="24">
        <f>'5.3-Unit H'!E83</f>
        <v>1</v>
      </c>
      <c r="AD26" s="25">
        <f>'5.3-Unit H'!F83</f>
        <v>0.2</v>
      </c>
      <c r="AE26" s="26"/>
      <c r="AJ26" s="24"/>
      <c r="AK26" s="24"/>
      <c r="AL26" s="24"/>
      <c r="AM26" s="31"/>
      <c r="AN26" s="24"/>
      <c r="AO26" s="24"/>
      <c r="AP26" s="35" t="s">
        <v>238</v>
      </c>
      <c r="AQ26" s="383">
        <f>'1.0-General input'!C70</f>
        <v>0</v>
      </c>
      <c r="AR26" s="367" t="s">
        <v>279</v>
      </c>
      <c r="AT26" s="371" t="s">
        <v>53</v>
      </c>
      <c r="AU26" s="34"/>
      <c r="AV26" s="49" t="s">
        <v>50</v>
      </c>
      <c r="AW26" s="49" t="s">
        <v>156</v>
      </c>
      <c r="AX26" s="49"/>
      <c r="AY26" s="372"/>
      <c r="BA26" s="24"/>
      <c r="BB26" s="24"/>
      <c r="BC26" s="24"/>
      <c r="BD26" s="24"/>
      <c r="BE26" s="24"/>
      <c r="BF26" s="24"/>
      <c r="BG26" s="24"/>
      <c r="BH26" s="24"/>
      <c r="BI26" s="24"/>
      <c r="BJ26" s="24"/>
      <c r="BK26" s="24"/>
    </row>
    <row r="27" spans="8:63">
      <c r="H27" s="43" t="s">
        <v>2</v>
      </c>
      <c r="I27" s="16"/>
      <c r="J27" s="16"/>
      <c r="K27" s="16"/>
      <c r="L27" s="16"/>
      <c r="M27" s="16"/>
      <c r="N27" s="17"/>
      <c r="S27" s="23" t="str">
        <f>'5.3-Unit T'!C83</f>
        <v>Waste units manager</v>
      </c>
      <c r="T27" s="24"/>
      <c r="U27" s="24"/>
      <c r="V27" s="24">
        <f>'5.3-Unit T'!E83</f>
        <v>1</v>
      </c>
      <c r="W27" s="25">
        <f>'5.3-Unit T'!F83</f>
        <v>0.1</v>
      </c>
      <c r="X27" s="26"/>
      <c r="Z27" s="23" t="str">
        <f>'5.3-Unit H'!C84</f>
        <v>Site manager</v>
      </c>
      <c r="AA27" s="24"/>
      <c r="AB27" s="24"/>
      <c r="AC27" s="24">
        <f>'5.3-Unit H'!E84</f>
        <v>2</v>
      </c>
      <c r="AD27" s="25">
        <f>'5.3-Unit H'!F84</f>
        <v>0.1</v>
      </c>
      <c r="AE27" s="26"/>
      <c r="AM27" s="31"/>
      <c r="AN27" s="24"/>
      <c r="AO27" s="24"/>
      <c r="AT27" s="365" t="str">
        <f>'5.3-Unit P'!C110</f>
        <v>Pallets</v>
      </c>
      <c r="AU27" s="24"/>
      <c r="AV27" s="28">
        <f>'5.3-Unit P'!E110</f>
        <v>120</v>
      </c>
      <c r="AW27" s="25">
        <f>'5.3-Unit P'!M110</f>
        <v>0.1</v>
      </c>
      <c r="AX27" s="24"/>
      <c r="AY27" s="26"/>
      <c r="BA27" s="24"/>
      <c r="BB27" s="24"/>
      <c r="BC27" s="24"/>
      <c r="BD27" s="24"/>
      <c r="BE27" s="24"/>
      <c r="BF27" s="24"/>
      <c r="BG27" s="24"/>
      <c r="BH27" s="24"/>
      <c r="BI27" s="24"/>
      <c r="BJ27" s="24"/>
      <c r="BK27" s="24"/>
    </row>
    <row r="28" spans="8:63">
      <c r="H28" s="45" t="s">
        <v>53</v>
      </c>
      <c r="I28" s="46"/>
      <c r="J28" s="46"/>
      <c r="K28" s="46"/>
      <c r="L28" s="46" t="s">
        <v>50</v>
      </c>
      <c r="M28" s="46" t="s">
        <v>104</v>
      </c>
      <c r="N28" s="47"/>
      <c r="S28" s="23" t="str">
        <f>'5.3-Unit T'!C84</f>
        <v>Site manager</v>
      </c>
      <c r="T28" s="24"/>
      <c r="U28" s="24"/>
      <c r="V28" s="24">
        <f>'5.3-Unit T'!E84</f>
        <v>2</v>
      </c>
      <c r="W28" s="25">
        <f>'5.3-Unit T'!F84</f>
        <v>0.1</v>
      </c>
      <c r="X28" s="26"/>
      <c r="Z28" s="43" t="s">
        <v>2</v>
      </c>
      <c r="AA28" s="16"/>
      <c r="AB28" s="16"/>
      <c r="AC28" s="16"/>
      <c r="AD28" s="16"/>
      <c r="AE28" s="17"/>
      <c r="AM28" s="31"/>
      <c r="AT28" s="365" t="str">
        <f>'5.3-Unit P'!C111</f>
        <v>Pallet trolley</v>
      </c>
      <c r="AU28" s="24"/>
      <c r="AV28" s="28">
        <f>'5.3-Unit P'!E111</f>
        <v>2</v>
      </c>
      <c r="AW28" s="25">
        <f>'5.3-Unit P'!M111</f>
        <v>0.1</v>
      </c>
      <c r="AX28" s="24"/>
      <c r="AY28" s="26"/>
      <c r="BA28" s="24"/>
      <c r="BB28" s="24"/>
      <c r="BC28" s="24"/>
      <c r="BD28" s="24"/>
      <c r="BE28" s="24"/>
      <c r="BF28" s="24"/>
      <c r="BG28" s="24"/>
      <c r="BH28" s="24"/>
      <c r="BI28" s="24"/>
      <c r="BJ28" s="24"/>
      <c r="BK28" s="24"/>
    </row>
    <row r="29" spans="8:63">
      <c r="H29" s="23" t="str">
        <f>'5.3-Unit W'!C110</f>
        <v>Pallets</v>
      </c>
      <c r="I29" s="24"/>
      <c r="J29" s="24"/>
      <c r="K29" s="24"/>
      <c r="L29" s="28">
        <f>'5.3-Unit W'!E110</f>
        <v>120</v>
      </c>
      <c r="M29" s="27">
        <f>'5.3-Unit W'!M110</f>
        <v>0.1</v>
      </c>
      <c r="N29" s="26"/>
      <c r="S29" s="43" t="s">
        <v>2</v>
      </c>
      <c r="T29" s="16"/>
      <c r="U29" s="16"/>
      <c r="V29" s="16"/>
      <c r="W29" s="16"/>
      <c r="X29" s="17"/>
      <c r="Z29" s="45" t="s">
        <v>53</v>
      </c>
      <c r="AA29" s="46"/>
      <c r="AB29" s="46"/>
      <c r="AC29" s="46" t="s">
        <v>50</v>
      </c>
      <c r="AD29" s="46" t="s">
        <v>114</v>
      </c>
      <c r="AE29" s="47"/>
      <c r="AM29" s="31"/>
      <c r="AT29" s="365" t="str">
        <f>'5.3-Unit P'!C112</f>
        <v>High pressure cleaner</v>
      </c>
      <c r="AU29" s="24"/>
      <c r="AV29" s="28">
        <f>'5.3-Unit P'!E112</f>
        <v>2</v>
      </c>
      <c r="AW29" s="25">
        <f>'5.3-Unit P'!M112</f>
        <v>0.12</v>
      </c>
      <c r="AX29" s="24"/>
      <c r="AY29" s="26"/>
      <c r="BA29" s="24"/>
      <c r="BB29" s="24"/>
      <c r="BC29" s="24"/>
      <c r="BD29" s="24"/>
      <c r="BE29" s="24"/>
      <c r="BF29" s="24"/>
      <c r="BG29" s="24"/>
      <c r="BH29" s="24"/>
      <c r="BI29" s="24"/>
      <c r="BJ29" s="24"/>
      <c r="BK29" s="24"/>
    </row>
    <row r="30" spans="8:63">
      <c r="H30" s="23" t="str">
        <f>'5.3-Unit W'!C111</f>
        <v>Pallet trolley</v>
      </c>
      <c r="I30" s="24"/>
      <c r="J30" s="24"/>
      <c r="K30" s="24"/>
      <c r="L30" s="28">
        <f>'5.3-Unit W'!E111</f>
        <v>2</v>
      </c>
      <c r="M30" s="27">
        <f>'5.3-Unit W'!M111</f>
        <v>0.1</v>
      </c>
      <c r="N30" s="26"/>
      <c r="S30" s="45" t="s">
        <v>53</v>
      </c>
      <c r="T30" s="46"/>
      <c r="U30" s="46"/>
      <c r="V30" s="46" t="s">
        <v>50</v>
      </c>
      <c r="W30" s="46" t="s">
        <v>155</v>
      </c>
      <c r="X30" s="47"/>
      <c r="Z30" s="23" t="str">
        <f>'5.3-Unit H'!C110</f>
        <v>Conversion crates</v>
      </c>
      <c r="AA30" s="24"/>
      <c r="AB30" s="24"/>
      <c r="AC30" s="28">
        <f>'5.3-Unit H'!E110</f>
        <v>5000</v>
      </c>
      <c r="AD30" s="27">
        <f>'5.3-Unit H'!M110</f>
        <v>0.5</v>
      </c>
      <c r="AE30" s="26"/>
      <c r="AM30" s="31"/>
      <c r="AT30" s="365" t="str">
        <f>'5.3-Unit P'!C113</f>
        <v>Measuring balance ("heavy" duty)</v>
      </c>
      <c r="AU30" s="24"/>
      <c r="AV30" s="28">
        <f>'5.3-Unit P'!E113</f>
        <v>3</v>
      </c>
      <c r="AW30" s="25">
        <f>'5.3-Unit P'!M113</f>
        <v>0.2</v>
      </c>
      <c r="AX30" s="24"/>
      <c r="AY30" s="26"/>
      <c r="BA30" s="24"/>
      <c r="BB30" s="24"/>
      <c r="BC30" s="24"/>
      <c r="BD30" s="24"/>
      <c r="BE30" s="24"/>
      <c r="BF30" s="24"/>
      <c r="BG30" s="24"/>
      <c r="BH30" s="24"/>
      <c r="BI30" s="24"/>
      <c r="BJ30" s="24"/>
      <c r="BK30" s="24"/>
    </row>
    <row r="31" spans="8:63">
      <c r="H31" s="23" t="str">
        <f>'5.3-Unit W'!C112</f>
        <v>Shredder</v>
      </c>
      <c r="I31" s="24"/>
      <c r="J31" s="24"/>
      <c r="K31" s="24"/>
      <c r="L31" s="28">
        <f>'5.3-Unit W'!E112</f>
        <v>1</v>
      </c>
      <c r="M31" s="27">
        <f>'5.3-Unit W'!M112</f>
        <v>1</v>
      </c>
      <c r="N31" s="26"/>
      <c r="S31" s="23" t="str">
        <f>'5.3-Unit T'!C110</f>
        <v>Conversion crates</v>
      </c>
      <c r="T31" s="24"/>
      <c r="U31" s="24"/>
      <c r="V31" s="28">
        <f>'5.3-Unit T'!E110</f>
        <v>5000</v>
      </c>
      <c r="W31" s="27">
        <f>'5.3-Unit T'!M110</f>
        <v>0.5</v>
      </c>
      <c r="X31" s="26"/>
      <c r="Z31" s="23" t="str">
        <f>'5.3-Unit H'!C111</f>
        <v>Pallets</v>
      </c>
      <c r="AA31" s="24"/>
      <c r="AB31" s="24"/>
      <c r="AC31" s="28">
        <f>'5.3-Unit H'!E111</f>
        <v>120</v>
      </c>
      <c r="AD31" s="27">
        <f>'5.3-Unit H'!M111</f>
        <v>0.4</v>
      </c>
      <c r="AE31" s="26"/>
      <c r="AM31" s="24"/>
      <c r="AP31" s="398" t="s">
        <v>992</v>
      </c>
      <c r="AQ31" s="399"/>
      <c r="AR31" s="400"/>
      <c r="AT31" s="365" t="str">
        <f>'5.3-Unit P'!C114</f>
        <v>Measuring balance (nursery)</v>
      </c>
      <c r="AU31" s="24"/>
      <c r="AV31" s="28">
        <f>'5.3-Unit P'!E114</f>
        <v>3</v>
      </c>
      <c r="AW31" s="25">
        <f>'5.3-Unit P'!M114</f>
        <v>0.2</v>
      </c>
      <c r="AX31" s="24"/>
      <c r="AY31" s="26"/>
      <c r="BA31" s="46"/>
      <c r="BB31" s="46"/>
      <c r="BC31" s="24"/>
      <c r="BD31" s="24"/>
      <c r="BE31" s="24"/>
      <c r="BF31" s="24"/>
      <c r="BG31" s="24"/>
      <c r="BH31" s="24"/>
      <c r="BI31" s="24"/>
      <c r="BJ31" s="24"/>
      <c r="BK31" s="24"/>
    </row>
    <row r="32" spans="8:63">
      <c r="H32" s="23" t="str">
        <f>'5.3-Unit W'!C113</f>
        <v>High pressure cleaner</v>
      </c>
      <c r="I32" s="24"/>
      <c r="J32" s="24"/>
      <c r="K32" s="24"/>
      <c r="L32" s="28">
        <f>'5.3-Unit W'!E113</f>
        <v>2</v>
      </c>
      <c r="M32" s="27">
        <f>'5.3-Unit W'!M113</f>
        <v>0.25</v>
      </c>
      <c r="N32" s="26"/>
      <c r="S32" s="23" t="str">
        <f>'5.3-Unit T'!C111</f>
        <v>Pallets</v>
      </c>
      <c r="T32" s="24"/>
      <c r="U32" s="24"/>
      <c r="V32" s="28">
        <f>'5.3-Unit T'!E111</f>
        <v>120</v>
      </c>
      <c r="W32" s="27">
        <f>'5.3-Unit T'!M111</f>
        <v>0.4</v>
      </c>
      <c r="X32" s="26"/>
      <c r="Z32" s="23" t="str">
        <f>'5.3-Unit H'!C112</f>
        <v>Ventilation frames</v>
      </c>
      <c r="AA32" s="24"/>
      <c r="AB32" s="24"/>
      <c r="AC32" s="28">
        <f>'5.3-Unit H'!E112</f>
        <v>720</v>
      </c>
      <c r="AD32" s="27">
        <f>'5.3-Unit H'!M112</f>
        <v>0.5</v>
      </c>
      <c r="AE32" s="26"/>
      <c r="AJ32" s="24"/>
      <c r="AK32" s="24"/>
      <c r="AL32" s="24"/>
      <c r="AM32" s="24"/>
      <c r="AN32" s="24"/>
      <c r="AO32" s="24"/>
      <c r="AP32" s="365" t="s">
        <v>281</v>
      </c>
      <c r="AQ32" s="27">
        <f>'4.1-Settings Database'!J38</f>
        <v>7.0200000000000012E-2</v>
      </c>
      <c r="AR32" s="26"/>
      <c r="AT32" s="365" t="str">
        <f>'5.3-Unit P'!C115</f>
        <v>Sanitazing set</v>
      </c>
      <c r="AU32" s="24"/>
      <c r="AV32" s="28">
        <f>'5.3-Unit P'!E115</f>
        <v>0</v>
      </c>
      <c r="AW32" s="25">
        <f>'5.3-Unit P'!M115</f>
        <v>1</v>
      </c>
      <c r="AX32" s="24"/>
      <c r="AY32" s="26"/>
      <c r="BA32" s="24"/>
      <c r="BB32" s="25"/>
      <c r="BC32" s="24"/>
      <c r="BD32" s="24"/>
      <c r="BE32" s="24"/>
      <c r="BF32" s="24"/>
      <c r="BG32" s="24"/>
      <c r="BH32" s="24"/>
      <c r="BI32" s="24"/>
      <c r="BJ32" s="24"/>
      <c r="BK32" s="24"/>
    </row>
    <row r="33" spans="8:63">
      <c r="H33" s="23" t="str">
        <f>'5.3-Unit W'!C114</f>
        <v>Measuring balance ("heavy" duty)</v>
      </c>
      <c r="I33" s="24"/>
      <c r="J33" s="24"/>
      <c r="K33" s="24"/>
      <c r="L33" s="28">
        <f>'5.3-Unit W'!E114</f>
        <v>3</v>
      </c>
      <c r="M33" s="27">
        <f>'5.3-Unit W'!M114</f>
        <v>0.2</v>
      </c>
      <c r="N33" s="26"/>
      <c r="S33" s="23" t="str">
        <f>'5.3-Unit T'!C112</f>
        <v>Ventilation frames</v>
      </c>
      <c r="T33" s="24"/>
      <c r="U33" s="24"/>
      <c r="V33" s="28">
        <f>'5.3-Unit T'!E112</f>
        <v>720</v>
      </c>
      <c r="W33" s="27">
        <f>'5.3-Unit T'!M112</f>
        <v>0.5</v>
      </c>
      <c r="X33" s="26"/>
      <c r="Z33" s="23" t="str">
        <f>'5.3-Unit H'!C113</f>
        <v>Pallet trolley</v>
      </c>
      <c r="AA33" s="24"/>
      <c r="AB33" s="24"/>
      <c r="AC33" s="28">
        <f>'5.3-Unit H'!E113</f>
        <v>2</v>
      </c>
      <c r="AD33" s="27">
        <f>'5.3-Unit H'!M113</f>
        <v>0.4</v>
      </c>
      <c r="AE33" s="26"/>
      <c r="AM33" s="24"/>
      <c r="AN33" s="24"/>
      <c r="AO33" s="24"/>
      <c r="AP33" s="35" t="s">
        <v>238</v>
      </c>
      <c r="AQ33" s="383">
        <f>'1.0-General input'!C71</f>
        <v>0</v>
      </c>
      <c r="AR33" s="367" t="s">
        <v>279</v>
      </c>
      <c r="AT33" s="365" t="str">
        <f>'5.3-Unit P'!C116</f>
        <v>Microwave (MAX-30B)</v>
      </c>
      <c r="AU33" s="24"/>
      <c r="AV33" s="28">
        <f>'5.3-Unit P'!E116</f>
        <v>0</v>
      </c>
      <c r="AW33" s="25">
        <f>'5.3-Unit P'!M116</f>
        <v>1</v>
      </c>
      <c r="AX33" s="24"/>
      <c r="AY33" s="26"/>
      <c r="BA33" s="24"/>
      <c r="BB33" s="25"/>
      <c r="BC33" s="24"/>
      <c r="BD33" s="24"/>
      <c r="BE33" s="24"/>
      <c r="BF33" s="24"/>
      <c r="BG33" s="24"/>
      <c r="BH33" s="24"/>
      <c r="BI33" s="24"/>
      <c r="BJ33" s="24"/>
      <c r="BK33" s="24"/>
    </row>
    <row r="34" spans="8:63">
      <c r="H34" s="23" t="str">
        <f>'5.3-Unit W'!C115</f>
        <v>Measuring balance (nursery)</v>
      </c>
      <c r="I34" s="24"/>
      <c r="J34" s="24"/>
      <c r="K34" s="24"/>
      <c r="L34" s="28">
        <f>'5.3-Unit W'!E115</f>
        <v>3</v>
      </c>
      <c r="M34" s="27">
        <f>'5.3-Unit W'!M115</f>
        <v>0.2</v>
      </c>
      <c r="N34" s="26"/>
      <c r="S34" s="23" t="str">
        <f>'5.3-Unit T'!C113</f>
        <v>Pallet trolley</v>
      </c>
      <c r="T34" s="24"/>
      <c r="U34" s="24"/>
      <c r="V34" s="28">
        <f>'5.3-Unit T'!E113</f>
        <v>2</v>
      </c>
      <c r="W34" s="27">
        <f>'5.3-Unit T'!M113</f>
        <v>0.4</v>
      </c>
      <c r="X34" s="26"/>
      <c r="Z34" s="23" t="str">
        <f>'5.3-Unit H'!C114</f>
        <v>High pressure cleaner</v>
      </c>
      <c r="AA34" s="24"/>
      <c r="AB34" s="24"/>
      <c r="AC34" s="28">
        <f>'5.3-Unit H'!E114</f>
        <v>2</v>
      </c>
      <c r="AD34" s="27">
        <f>'5.3-Unit H'!M114</f>
        <v>0.25</v>
      </c>
      <c r="AE34" s="26"/>
      <c r="AT34" s="365" t="str">
        <f>'5.3-Unit P'!C117</f>
        <v>Oil Press (for dried larvae)</v>
      </c>
      <c r="AU34" s="24"/>
      <c r="AV34" s="28">
        <f>'5.3-Unit P'!E117</f>
        <v>0</v>
      </c>
      <c r="AW34" s="25">
        <f>'5.3-Unit P'!M117</f>
        <v>1</v>
      </c>
      <c r="AX34" s="24"/>
      <c r="AY34" s="26"/>
      <c r="BA34" s="24"/>
      <c r="BB34" s="25"/>
      <c r="BC34" s="24"/>
      <c r="BD34" s="24"/>
      <c r="BE34" s="24"/>
      <c r="BF34" s="24"/>
      <c r="BG34" s="24"/>
      <c r="BH34" s="24"/>
      <c r="BI34" s="24"/>
      <c r="BJ34" s="24"/>
      <c r="BK34" s="24"/>
    </row>
    <row r="35" spans="8:63">
      <c r="H35" s="23" t="str">
        <f>'5.3-Unit W'!C116</f>
        <v>N/A</v>
      </c>
      <c r="I35" s="24"/>
      <c r="J35" s="24"/>
      <c r="K35" s="24"/>
      <c r="L35" s="28" t="str">
        <f>'5.3-Unit W'!E116</f>
        <v>N/A</v>
      </c>
      <c r="M35" s="27" t="str">
        <f>'5.3-Unit W'!M116</f>
        <v/>
      </c>
      <c r="N35" s="26"/>
      <c r="S35" s="23" t="str">
        <f>'5.3-Unit T'!C114</f>
        <v>High pressure cleaner</v>
      </c>
      <c r="T35" s="24"/>
      <c r="U35" s="24"/>
      <c r="V35" s="28">
        <f>'5.3-Unit T'!E114</f>
        <v>2</v>
      </c>
      <c r="W35" s="27">
        <f>'5.3-Unit T'!M114</f>
        <v>0.25</v>
      </c>
      <c r="X35" s="26"/>
      <c r="Z35" s="23" t="str">
        <f>'5.3-Unit H'!C115</f>
        <v>Vibrating sieve</v>
      </c>
      <c r="AA35" s="24"/>
      <c r="AB35" s="24"/>
      <c r="AC35" s="28">
        <f>'5.3-Unit H'!E115</f>
        <v>1</v>
      </c>
      <c r="AD35" s="27">
        <f>'5.3-Unit H'!M115</f>
        <v>1</v>
      </c>
      <c r="AE35" s="26"/>
      <c r="AG35" s="5"/>
      <c r="AT35" s="365" t="str">
        <f>'5.3-Unit P'!C118</f>
        <v>Grinder</v>
      </c>
      <c r="AU35" s="24"/>
      <c r="AV35" s="28">
        <f>'5.3-Unit P'!E118</f>
        <v>0</v>
      </c>
      <c r="AW35" s="25">
        <f>'5.3-Unit P'!M118</f>
        <v>1</v>
      </c>
      <c r="AX35" s="24"/>
      <c r="AY35" s="26"/>
      <c r="BA35" s="24"/>
      <c r="BB35" s="24"/>
      <c r="BC35" s="24"/>
      <c r="BD35" s="24"/>
      <c r="BE35" s="24"/>
      <c r="BF35" s="24"/>
      <c r="BG35" s="24"/>
      <c r="BH35" s="24"/>
      <c r="BI35" s="24"/>
      <c r="BJ35" s="24"/>
      <c r="BK35" s="24"/>
    </row>
    <row r="36" spans="8:63">
      <c r="H36" s="23" t="str">
        <f>'5.3-Unit W'!C117</f>
        <v>N/A</v>
      </c>
      <c r="I36" s="24"/>
      <c r="J36" s="24"/>
      <c r="K36" s="24"/>
      <c r="L36" s="28" t="str">
        <f>'5.3-Unit W'!E117</f>
        <v>N/A</v>
      </c>
      <c r="M36" s="27" t="str">
        <f>'5.3-Unit W'!M117</f>
        <v/>
      </c>
      <c r="N36" s="26"/>
      <c r="S36" s="23" t="str">
        <f>'5.3-Unit T'!C115</f>
        <v>Measuring balance ("heavy" duty)</v>
      </c>
      <c r="T36" s="24"/>
      <c r="U36" s="24"/>
      <c r="V36" s="28">
        <f>'5.3-Unit T'!E115</f>
        <v>3</v>
      </c>
      <c r="W36" s="27">
        <f>'5.3-Unit T'!M115</f>
        <v>0.2</v>
      </c>
      <c r="X36" s="26"/>
      <c r="Z36" s="23" t="str">
        <f>'5.3-Unit H'!C116</f>
        <v>Harvesting unit (wet)</v>
      </c>
      <c r="AA36" s="24"/>
      <c r="AB36" s="24"/>
      <c r="AC36" s="28">
        <f>'5.3-Unit H'!E116</f>
        <v>5</v>
      </c>
      <c r="AD36" s="27">
        <f>'5.3-Unit H'!M116</f>
        <v>1</v>
      </c>
      <c r="AE36" s="26"/>
      <c r="AF36" s="5"/>
      <c r="AT36" s="365" t="str">
        <f>'5.3-Unit P'!C119</f>
        <v>Rotary dryer</v>
      </c>
      <c r="AU36" s="24"/>
      <c r="AV36" s="28">
        <f>'5.3-Unit P'!E119</f>
        <v>0</v>
      </c>
      <c r="AW36" s="25">
        <f>'5.3-Unit P'!M119</f>
        <v>1</v>
      </c>
      <c r="AX36" s="24"/>
      <c r="AY36" s="26"/>
      <c r="BA36" s="46"/>
      <c r="BB36" s="46"/>
      <c r="BC36" s="24"/>
      <c r="BD36" s="24"/>
      <c r="BE36" s="24"/>
      <c r="BF36" s="24"/>
      <c r="BG36" s="24"/>
      <c r="BH36" s="24"/>
      <c r="BI36" s="24"/>
      <c r="BJ36" s="24"/>
      <c r="BK36" s="24"/>
    </row>
    <row r="37" spans="8:63">
      <c r="H37" s="35" t="str">
        <f>'5.3-Unit W'!C118</f>
        <v>N/A</v>
      </c>
      <c r="I37" s="36"/>
      <c r="J37" s="36"/>
      <c r="K37" s="36"/>
      <c r="L37" s="42" t="str">
        <f>'5.3-Unit W'!E118</f>
        <v>N/A</v>
      </c>
      <c r="M37" s="37" t="str">
        <f>'5.3-Unit W'!M118</f>
        <v/>
      </c>
      <c r="N37" s="22"/>
      <c r="S37" s="23" t="str">
        <f>'5.3-Unit T'!C116</f>
        <v>Measuring balance (nursery)</v>
      </c>
      <c r="T37" s="24"/>
      <c r="U37" s="24"/>
      <c r="V37" s="28">
        <f>'5.3-Unit T'!E116</f>
        <v>3</v>
      </c>
      <c r="W37" s="27">
        <f>'5.3-Unit T'!M116</f>
        <v>0.2</v>
      </c>
      <c r="X37" s="26"/>
      <c r="Z37" s="23" t="str">
        <f>'5.3-Unit H'!C117</f>
        <v>Harvesting container</v>
      </c>
      <c r="AA37" s="24"/>
      <c r="AB37" s="24"/>
      <c r="AC37" s="28">
        <f>'5.3-Unit H'!E117</f>
        <v>5</v>
      </c>
      <c r="AD37" s="27">
        <f>'5.3-Unit H'!M117</f>
        <v>1</v>
      </c>
      <c r="AE37" s="26"/>
      <c r="AT37" s="365" t="str">
        <f>'5.3-Unit P'!C120</f>
        <v>Sealer</v>
      </c>
      <c r="AU37" s="24"/>
      <c r="AV37" s="28">
        <f>'5.3-Unit P'!E120</f>
        <v>0</v>
      </c>
      <c r="AW37" s="25">
        <f>'5.3-Unit P'!M120</f>
        <v>1</v>
      </c>
      <c r="AX37" s="24"/>
      <c r="AY37" s="26"/>
      <c r="BA37" s="24"/>
      <c r="BB37" s="24"/>
      <c r="BC37" s="24"/>
      <c r="BD37" s="24"/>
      <c r="BE37" s="24"/>
      <c r="BF37" s="24"/>
      <c r="BG37" s="24"/>
      <c r="BH37" s="24"/>
      <c r="BI37" s="24"/>
      <c r="BJ37" s="24"/>
      <c r="BK37" s="24"/>
    </row>
    <row r="38" spans="8:63">
      <c r="S38" s="23" t="str">
        <f>'5.3-Unit T'!C117</f>
        <v>N/A</v>
      </c>
      <c r="T38" s="24"/>
      <c r="U38" s="24"/>
      <c r="V38" s="28" t="str">
        <f>'5.3-Unit T'!E117</f>
        <v>N/A</v>
      </c>
      <c r="W38" s="27" t="str">
        <f>'5.3-Unit T'!M117</f>
        <v/>
      </c>
      <c r="X38" s="26"/>
      <c r="Z38" s="23" t="str">
        <f>'5.3-Unit H'!C118</f>
        <v>Harvesting large scoop</v>
      </c>
      <c r="AA38" s="24"/>
      <c r="AB38" s="24"/>
      <c r="AC38" s="28">
        <f>'5.3-Unit H'!E118</f>
        <v>5</v>
      </c>
      <c r="AD38" s="27">
        <f>'5.3-Unit H'!M118</f>
        <v>1</v>
      </c>
      <c r="AE38" s="26"/>
      <c r="AT38" s="365" t="str">
        <f>'5.3-Unit P'!C121</f>
        <v xml:space="preserve">Scale </v>
      </c>
      <c r="AU38" s="24"/>
      <c r="AV38" s="28">
        <f>'5.3-Unit P'!E121</f>
        <v>4</v>
      </c>
      <c r="AW38" s="25">
        <f>'5.3-Unit P'!M121</f>
        <v>1</v>
      </c>
      <c r="AX38" s="24"/>
      <c r="AY38" s="26"/>
      <c r="BA38" s="24"/>
      <c r="BB38" s="24"/>
      <c r="BC38" s="24"/>
      <c r="BD38" s="24"/>
      <c r="BE38" s="24"/>
      <c r="BF38" s="24"/>
      <c r="BG38" s="24"/>
      <c r="BH38" s="24"/>
      <c r="BI38" s="24"/>
      <c r="BJ38" s="24"/>
      <c r="BK38" s="24"/>
    </row>
    <row r="39" spans="8:63">
      <c r="S39" s="23" t="str">
        <f>'5.3-Unit T'!C118</f>
        <v>N/A</v>
      </c>
      <c r="T39" s="24"/>
      <c r="U39" s="24"/>
      <c r="V39" s="28" t="str">
        <f>'5.3-Unit T'!E118</f>
        <v>N/A</v>
      </c>
      <c r="W39" s="27" t="str">
        <f>'5.3-Unit T'!M118</f>
        <v/>
      </c>
      <c r="X39" s="26"/>
      <c r="Z39" s="23" t="str">
        <f>'5.3-Unit H'!C119</f>
        <v>Measuring balance ("heavy" duty)</v>
      </c>
      <c r="AA39" s="24"/>
      <c r="AB39" s="24"/>
      <c r="AC39" s="28">
        <f>'5.3-Unit H'!E119</f>
        <v>3</v>
      </c>
      <c r="AD39" s="27">
        <f>'5.3-Unit H'!M119</f>
        <v>0.2</v>
      </c>
      <c r="AE39" s="51"/>
      <c r="AM39" s="24"/>
      <c r="AN39" s="24"/>
      <c r="AO39" s="24"/>
      <c r="AT39" s="365" t="str">
        <f>'5.3-Unit P'!C122</f>
        <v xml:space="preserve">Refrigerator </v>
      </c>
      <c r="AU39" s="24"/>
      <c r="AV39" s="28">
        <f>'5.3-Unit P'!E122</f>
        <v>0</v>
      </c>
      <c r="AW39" s="25">
        <f>'5.3-Unit P'!M122</f>
        <v>1</v>
      </c>
      <c r="AX39" s="24"/>
      <c r="AY39" s="26"/>
      <c r="BA39" s="24"/>
      <c r="BB39" s="24"/>
      <c r="BC39" s="24"/>
      <c r="BD39" s="24"/>
      <c r="BE39" s="24"/>
      <c r="BF39" s="24"/>
      <c r="BG39" s="24"/>
      <c r="BH39" s="24"/>
      <c r="BI39" s="24"/>
      <c r="BJ39" s="24"/>
      <c r="BK39" s="24"/>
    </row>
    <row r="40" spans="8:63">
      <c r="S40" s="35" t="str">
        <f>'5.3-Unit T'!C119</f>
        <v>N/A</v>
      </c>
      <c r="T40" s="361"/>
      <c r="U40" s="361"/>
      <c r="V40" s="368" t="str">
        <f>'5.3-Unit T'!E119</f>
        <v>N/A</v>
      </c>
      <c r="W40" s="369" t="str">
        <f>'5.3-Unit T'!M119</f>
        <v/>
      </c>
      <c r="X40" s="367"/>
      <c r="Z40" s="23" t="str">
        <f>'5.3-Unit H'!C120</f>
        <v>Measuring balance (nursery)</v>
      </c>
      <c r="AA40" s="24"/>
      <c r="AB40" s="24"/>
      <c r="AC40" s="28">
        <f>'5.3-Unit H'!E120</f>
        <v>3</v>
      </c>
      <c r="AD40" s="27">
        <f>'5.3-Unit H'!M120</f>
        <v>0.2</v>
      </c>
      <c r="AE40" s="26"/>
      <c r="AM40" s="24"/>
      <c r="AN40" s="24"/>
      <c r="AO40" s="24"/>
      <c r="AP40" s="393" t="s">
        <v>117</v>
      </c>
      <c r="AQ40" s="396"/>
      <c r="AR40" s="397"/>
      <c r="AT40" s="365" t="str">
        <f>'5.3-Unit P'!C123</f>
        <v>Freezer</v>
      </c>
      <c r="AU40" s="24"/>
      <c r="AV40" s="28">
        <f>'5.3-Unit P'!E123</f>
        <v>0</v>
      </c>
      <c r="AW40" s="25">
        <f>'5.3-Unit P'!M123</f>
        <v>1</v>
      </c>
      <c r="AX40" s="24"/>
      <c r="AY40" s="26"/>
      <c r="BA40" s="24"/>
      <c r="BB40" s="24"/>
      <c r="BC40" s="24"/>
      <c r="BD40" s="24"/>
      <c r="BE40" s="24"/>
      <c r="BF40" s="24"/>
      <c r="BG40" s="24"/>
      <c r="BH40" s="24"/>
      <c r="BI40" s="24"/>
      <c r="BJ40" s="24"/>
      <c r="BK40" s="24"/>
    </row>
    <row r="41" spans="8:63">
      <c r="J41" s="24"/>
      <c r="K41" s="24"/>
      <c r="P41" s="24"/>
      <c r="Q41" s="24"/>
      <c r="Z41" s="35" t="str">
        <f>'5.3-Unit H'!C121</f>
        <v>N/A</v>
      </c>
      <c r="AA41" s="36"/>
      <c r="AB41" s="36"/>
      <c r="AC41" s="42" t="str">
        <f>'5.3-Unit H'!E121</f>
        <v>N/A</v>
      </c>
      <c r="AD41" s="37" t="str">
        <f>'5.3-Unit H'!M121</f>
        <v/>
      </c>
      <c r="AE41" s="22"/>
      <c r="AM41" s="24"/>
      <c r="AN41" s="24"/>
      <c r="AO41" s="24"/>
      <c r="AP41" s="23" t="s">
        <v>281</v>
      </c>
      <c r="AQ41" s="27">
        <f>'4.1-Settings Database'!J41</f>
        <v>0.30303030303030304</v>
      </c>
      <c r="AR41" s="26"/>
      <c r="AT41" s="365" t="str">
        <f>'5.3-Unit P'!C124</f>
        <v>N/A</v>
      </c>
      <c r="AU41" s="24"/>
      <c r="AV41" s="28" t="str">
        <f>'5.3-Unit P'!E124</f>
        <v>N/A</v>
      </c>
      <c r="AW41" s="24"/>
      <c r="AX41" s="24"/>
      <c r="AY41" s="26"/>
      <c r="BA41" s="24"/>
      <c r="BB41" s="24"/>
      <c r="BC41" s="24"/>
      <c r="BD41" s="24"/>
      <c r="BE41" s="24"/>
      <c r="BF41" s="24"/>
      <c r="BG41" s="24"/>
      <c r="BH41" s="24"/>
      <c r="BI41" s="24"/>
      <c r="BJ41" s="24"/>
      <c r="BK41" s="24"/>
    </row>
    <row r="42" spans="8:63">
      <c r="J42" s="24"/>
      <c r="K42" s="24"/>
      <c r="P42" s="24"/>
      <c r="Q42" s="24"/>
      <c r="Z42" s="24"/>
      <c r="AM42" s="24"/>
      <c r="AN42" s="24"/>
      <c r="AO42" s="24"/>
      <c r="AP42" s="21" t="s">
        <v>238</v>
      </c>
      <c r="AQ42" s="386">
        <f>'1.0-General input'!C74</f>
        <v>0</v>
      </c>
      <c r="AR42" s="22" t="s">
        <v>279</v>
      </c>
      <c r="AT42" s="35" t="str">
        <f>'5.3-Unit P'!C125</f>
        <v>N/A</v>
      </c>
      <c r="AU42" s="361"/>
      <c r="AV42" s="368" t="str">
        <f>'5.3-Unit P'!E125</f>
        <v>N/A</v>
      </c>
      <c r="AW42" s="361"/>
      <c r="AX42" s="361"/>
      <c r="AY42" s="367"/>
      <c r="BA42" s="24"/>
      <c r="BB42" s="24"/>
      <c r="BC42" s="24"/>
      <c r="BD42" s="24"/>
      <c r="BE42" s="24"/>
      <c r="BF42" s="24"/>
      <c r="BG42" s="24"/>
      <c r="BH42" s="24"/>
      <c r="BI42" s="24"/>
      <c r="BJ42" s="24"/>
      <c r="BK42" s="24"/>
    </row>
    <row r="43" spans="8:63">
      <c r="J43" s="24"/>
      <c r="K43" s="32"/>
      <c r="L43" s="24"/>
      <c r="M43" s="24"/>
      <c r="N43" s="24"/>
      <c r="O43" s="24"/>
      <c r="P43" s="24"/>
      <c r="Q43" s="24"/>
      <c r="BA43" s="24"/>
      <c r="BB43" s="24"/>
      <c r="BC43" s="24"/>
      <c r="BD43" s="24"/>
      <c r="BE43" s="24"/>
      <c r="BF43" s="24"/>
      <c r="BG43" s="24"/>
      <c r="BH43" s="24"/>
      <c r="BI43" s="24"/>
      <c r="BJ43" s="24"/>
      <c r="BK43" s="24"/>
    </row>
    <row r="44" spans="8:63">
      <c r="J44" s="24"/>
      <c r="K44" s="46"/>
      <c r="L44" s="46"/>
      <c r="M44" s="46"/>
      <c r="N44" s="46"/>
      <c r="O44" s="46"/>
      <c r="P44" s="24"/>
      <c r="Q44" s="24"/>
      <c r="BA44" s="24"/>
      <c r="BB44" s="24"/>
      <c r="BC44" s="24"/>
      <c r="BD44" s="24"/>
      <c r="BE44" s="24"/>
      <c r="BF44" s="24"/>
      <c r="BG44" s="24"/>
      <c r="BH44" s="24"/>
      <c r="BI44" s="24"/>
      <c r="BJ44" s="24"/>
      <c r="BK44" s="24"/>
    </row>
    <row r="45" spans="8:63">
      <c r="J45" s="24"/>
      <c r="K45" s="24"/>
      <c r="L45" s="24"/>
      <c r="M45" s="29"/>
      <c r="N45" s="29"/>
      <c r="O45" s="29"/>
      <c r="P45" s="24"/>
      <c r="Q45" s="24"/>
      <c r="BA45" s="24"/>
      <c r="BB45" s="24"/>
      <c r="BC45" s="24"/>
      <c r="BD45" s="24"/>
      <c r="BE45" s="24"/>
      <c r="BF45" s="24"/>
      <c r="BG45" s="24"/>
      <c r="BH45" s="24"/>
      <c r="BI45" s="24"/>
      <c r="BJ45" s="24"/>
      <c r="BK45" s="24"/>
    </row>
    <row r="46" spans="8:63">
      <c r="J46" s="24"/>
      <c r="K46" s="24"/>
      <c r="L46" s="24"/>
      <c r="M46" s="29"/>
      <c r="N46" s="29"/>
      <c r="AM46" s="41" t="s">
        <v>311</v>
      </c>
      <c r="AN46" s="39"/>
      <c r="AO46" s="39"/>
      <c r="AP46" s="39"/>
      <c r="AQ46" s="39"/>
      <c r="AR46" s="40"/>
      <c r="BA46" s="24"/>
      <c r="BB46" s="24"/>
    </row>
    <row r="47" spans="8:63">
      <c r="J47" s="24"/>
      <c r="K47" s="24"/>
      <c r="L47" s="24"/>
      <c r="M47" s="29"/>
      <c r="N47" s="29"/>
      <c r="AM47" s="44" t="s">
        <v>312</v>
      </c>
      <c r="AN47" s="34"/>
      <c r="AO47" s="34"/>
      <c r="AP47" s="34"/>
      <c r="AQ47" s="34"/>
      <c r="AR47" s="20"/>
      <c r="BA47" s="24"/>
      <c r="BB47" s="24"/>
    </row>
    <row r="48" spans="8:63">
      <c r="J48" s="24"/>
      <c r="K48" s="24"/>
      <c r="L48" s="24"/>
      <c r="M48" s="29"/>
      <c r="N48" s="29"/>
      <c r="O48" s="29"/>
      <c r="P48" s="24"/>
      <c r="Q48" s="24"/>
      <c r="AM48" s="33" t="s">
        <v>117</v>
      </c>
      <c r="AN48" s="34"/>
      <c r="AO48" s="34"/>
      <c r="AP48" s="34"/>
      <c r="AQ48" s="50">
        <f>AN40</f>
        <v>0</v>
      </c>
      <c r="AR48" s="20" t="s">
        <v>279</v>
      </c>
      <c r="BA48" s="24"/>
      <c r="BB48" s="24"/>
    </row>
    <row r="49" spans="9:62">
      <c r="J49" s="24"/>
      <c r="K49" s="24"/>
      <c r="L49" s="24"/>
      <c r="M49" s="29"/>
      <c r="N49" s="29"/>
      <c r="O49" s="29"/>
      <c r="P49" s="24"/>
      <c r="Q49" s="24"/>
      <c r="W49" s="393" t="s">
        <v>1000</v>
      </c>
      <c r="X49" s="396"/>
      <c r="Y49" s="396"/>
      <c r="Z49" s="396"/>
      <c r="AA49" s="396"/>
      <c r="AB49" s="397"/>
      <c r="AM49" s="373" t="s">
        <v>291</v>
      </c>
      <c r="AN49" s="379"/>
      <c r="AO49" s="379"/>
      <c r="AP49" s="379"/>
      <c r="AQ49" s="379"/>
      <c r="AR49" s="380"/>
      <c r="BA49" s="24"/>
      <c r="BB49" s="24"/>
    </row>
    <row r="50" spans="9:62">
      <c r="J50" s="24"/>
      <c r="K50" s="24"/>
      <c r="L50" s="24"/>
      <c r="M50" s="29"/>
      <c r="N50" s="29"/>
      <c r="O50" s="29"/>
      <c r="P50" s="24"/>
      <c r="Q50" s="24"/>
      <c r="W50" s="175" t="s">
        <v>1001</v>
      </c>
      <c r="X50" s="176"/>
      <c r="Y50" s="176"/>
      <c r="Z50" s="176"/>
      <c r="AA50" s="177">
        <f>'4.1-Settings Database'!N22</f>
        <v>3.7616943082075913</v>
      </c>
      <c r="AB50" s="178" t="s">
        <v>279</v>
      </c>
      <c r="AM50" s="371" t="s">
        <v>295</v>
      </c>
      <c r="AN50" s="49"/>
      <c r="AO50" s="49"/>
      <c r="AP50" s="49"/>
      <c r="AQ50" s="49"/>
      <c r="AR50" s="364"/>
      <c r="BA50" s="24"/>
      <c r="BB50" s="24"/>
    </row>
    <row r="51" spans="9:62">
      <c r="J51" s="24"/>
      <c r="K51" s="24"/>
      <c r="L51" s="24"/>
      <c r="M51" s="29"/>
      <c r="N51" s="29"/>
      <c r="O51" s="29"/>
      <c r="P51" s="24"/>
      <c r="Q51" s="24"/>
      <c r="W51" s="175" t="s">
        <v>1002</v>
      </c>
      <c r="X51" s="176"/>
      <c r="Y51" s="176"/>
      <c r="Z51" s="176"/>
      <c r="AA51" s="177">
        <f>'4.1-Settings Database'!N24</f>
        <v>5.5157806522495427</v>
      </c>
      <c r="AB51" s="178" t="s">
        <v>279</v>
      </c>
      <c r="AM51" s="365" t="str">
        <f>'5.3-Unit R'!B39</f>
        <v>Water</v>
      </c>
      <c r="AN51" s="24"/>
      <c r="AO51" s="24"/>
      <c r="AP51" s="29">
        <f>'5.3-Unit R'!C39</f>
        <v>0</v>
      </c>
      <c r="AQ51" s="24" t="str">
        <f>'5.3-Unit R'!D39</f>
        <v>m3/d</v>
      </c>
      <c r="AR51" s="26"/>
      <c r="BA51" s="24"/>
      <c r="BB51" s="24"/>
    </row>
    <row r="52" spans="9:62">
      <c r="J52" s="24"/>
      <c r="K52" s="24"/>
      <c r="L52" s="24"/>
      <c r="M52" s="29"/>
      <c r="N52" s="29"/>
      <c r="O52" s="29"/>
      <c r="P52" s="24"/>
      <c r="Q52" s="24"/>
      <c r="T52" s="24"/>
      <c r="AM52" s="365" t="str">
        <f>'5.3-Unit R'!B40</f>
        <v>Electricity</v>
      </c>
      <c r="AN52" s="24"/>
      <c r="AO52" s="24"/>
      <c r="AP52" s="29">
        <f>'5.3-Unit R'!C40</f>
        <v>0</v>
      </c>
      <c r="AQ52" s="24" t="str">
        <f>'5.3-Unit R'!D40</f>
        <v>kWh/d</v>
      </c>
      <c r="AR52" s="26"/>
      <c r="BA52" s="24"/>
      <c r="BB52" s="24"/>
    </row>
    <row r="53" spans="9:62">
      <c r="J53" s="24"/>
      <c r="K53" s="24"/>
      <c r="L53" s="24"/>
      <c r="M53" s="24"/>
      <c r="N53" s="24"/>
      <c r="O53" s="24"/>
      <c r="P53" s="24"/>
      <c r="Q53" s="24"/>
      <c r="T53" s="24"/>
      <c r="AM53" s="35" t="str">
        <f>'5.3-Unit R'!B41</f>
        <v>Fuel</v>
      </c>
      <c r="AN53" s="361"/>
      <c r="AO53" s="361"/>
      <c r="AP53" s="377">
        <f>'5.3-Unit R'!C41</f>
        <v>0</v>
      </c>
      <c r="AQ53" s="361" t="str">
        <f>'5.3-Unit R'!D41</f>
        <v>L/d</v>
      </c>
      <c r="AR53" s="367"/>
      <c r="BA53" s="24"/>
      <c r="BB53" s="24"/>
    </row>
    <row r="54" spans="9:62">
      <c r="J54" s="24"/>
      <c r="K54" s="24"/>
      <c r="L54" s="24"/>
      <c r="M54" s="24"/>
      <c r="N54" s="24"/>
      <c r="AM54" s="384" t="s">
        <v>292</v>
      </c>
      <c r="AN54" s="361"/>
      <c r="AO54" s="361"/>
      <c r="AP54" s="361"/>
      <c r="AQ54" s="361"/>
      <c r="AR54" s="367"/>
      <c r="BA54" s="24"/>
      <c r="BB54" s="24"/>
      <c r="BC54" s="24"/>
      <c r="BD54" s="172"/>
      <c r="BE54" s="24"/>
      <c r="BF54" s="24"/>
      <c r="BG54" s="24"/>
      <c r="BH54" s="24"/>
      <c r="BI54" s="24"/>
      <c r="BJ54" s="24"/>
    </row>
    <row r="55" spans="9:62">
      <c r="J55" s="24"/>
      <c r="K55" s="24"/>
      <c r="L55" s="24"/>
      <c r="M55" s="24"/>
      <c r="N55" s="24"/>
      <c r="R55" s="41" t="s">
        <v>555</v>
      </c>
      <c r="S55" s="39"/>
      <c r="T55" s="39"/>
      <c r="U55" s="39"/>
      <c r="V55" s="39"/>
      <c r="W55" s="40"/>
      <c r="Y55" s="24"/>
      <c r="AB55" s="41" t="s">
        <v>554</v>
      </c>
      <c r="AC55" s="39"/>
      <c r="AD55" s="39"/>
      <c r="AE55" s="39"/>
      <c r="AF55" s="39"/>
      <c r="AG55" s="40"/>
      <c r="AM55" s="45" t="s">
        <v>5</v>
      </c>
      <c r="AN55" s="46"/>
      <c r="AO55" s="46"/>
      <c r="AP55" s="46" t="s">
        <v>293</v>
      </c>
      <c r="AQ55" s="46" t="s">
        <v>121</v>
      </c>
      <c r="AR55" s="47"/>
      <c r="BA55" s="24"/>
      <c r="BB55" s="24"/>
      <c r="BC55" s="24"/>
      <c r="BD55" s="172"/>
      <c r="BE55" s="24"/>
      <c r="BF55" s="24"/>
      <c r="BG55" s="24"/>
      <c r="BH55" s="24"/>
      <c r="BI55" s="24"/>
      <c r="BJ55" s="24"/>
    </row>
    <row r="56" spans="9:62">
      <c r="J56" s="24"/>
      <c r="K56" s="24"/>
      <c r="L56" s="24"/>
      <c r="M56" s="24"/>
      <c r="N56" s="24"/>
      <c r="R56" s="44" t="s">
        <v>302</v>
      </c>
      <c r="S56" s="34"/>
      <c r="T56" s="34"/>
      <c r="U56" s="34"/>
      <c r="V56" s="34"/>
      <c r="W56" s="20"/>
      <c r="Y56" s="24"/>
      <c r="AB56" s="44" t="s">
        <v>302</v>
      </c>
      <c r="AC56" s="34"/>
      <c r="AD56" s="34"/>
      <c r="AE56" s="34"/>
      <c r="AF56" s="34"/>
      <c r="AG56" s="20"/>
      <c r="AM56" s="23" t="str">
        <f>'5.3-Unit R'!C52</f>
        <v>General worker</v>
      </c>
      <c r="AN56" s="24"/>
      <c r="AO56" s="24"/>
      <c r="AP56" s="24">
        <f>'5.3-Unit R'!E52</f>
        <v>14</v>
      </c>
      <c r="AQ56" s="25">
        <f>'5.3-Unit R'!F52</f>
        <v>0.41767973709268474</v>
      </c>
      <c r="AR56" s="26"/>
      <c r="BA56" s="24"/>
      <c r="BB56" s="24"/>
      <c r="BC56" s="24"/>
      <c r="BD56" s="172"/>
      <c r="BE56" s="24"/>
      <c r="BF56" s="24"/>
      <c r="BG56" s="24"/>
      <c r="BH56" s="24"/>
      <c r="BI56" s="24"/>
      <c r="BJ56" s="24"/>
    </row>
    <row r="57" spans="9:62">
      <c r="J57" s="24"/>
      <c r="K57" s="24"/>
      <c r="L57" s="24"/>
      <c r="M57" s="8"/>
      <c r="N57" s="24"/>
      <c r="R57" s="363" t="s">
        <v>993</v>
      </c>
      <c r="S57" s="34"/>
      <c r="T57" s="34"/>
      <c r="U57" s="34"/>
      <c r="V57" s="390">
        <f>AA51</f>
        <v>5.5157806522495427</v>
      </c>
      <c r="W57" s="364" t="s">
        <v>279</v>
      </c>
      <c r="AB57" s="363" t="s">
        <v>995</v>
      </c>
      <c r="AC57" s="34"/>
      <c r="AD57" s="34"/>
      <c r="AE57" s="34"/>
      <c r="AF57" s="390">
        <f>'5.3-Unit N (17DOL-Egg)'!C13</f>
        <v>0.11536719250000002</v>
      </c>
      <c r="AG57" s="364" t="s">
        <v>279</v>
      </c>
      <c r="AM57" s="23" t="str">
        <f>'5.3-Unit R'!C83</f>
        <v>Waste units manager</v>
      </c>
      <c r="AN57" s="24"/>
      <c r="AO57" s="24"/>
      <c r="AP57" s="24">
        <f>'5.3-Unit R'!E83</f>
        <v>1</v>
      </c>
      <c r="AQ57" s="25">
        <f>'5.3-Unit R'!F83</f>
        <v>0.24</v>
      </c>
      <c r="AR57" s="26"/>
      <c r="BC57" s="24"/>
      <c r="BD57" s="172"/>
      <c r="BE57" s="24"/>
      <c r="BF57" s="24"/>
      <c r="BG57" s="24"/>
      <c r="BH57" s="24"/>
      <c r="BI57" s="24"/>
      <c r="BJ57" s="24"/>
    </row>
    <row r="58" spans="9:62">
      <c r="J58" s="24"/>
      <c r="K58" s="24"/>
      <c r="L58" s="24"/>
      <c r="M58" s="24"/>
      <c r="N58" s="24"/>
      <c r="R58" s="35" t="s">
        <v>994</v>
      </c>
      <c r="S58" s="361"/>
      <c r="T58" s="361"/>
      <c r="U58" s="361"/>
      <c r="V58" s="385">
        <f>'1.0-General input'!C73</f>
        <v>0</v>
      </c>
      <c r="W58" s="367" t="s">
        <v>279</v>
      </c>
      <c r="AB58" s="35" t="s">
        <v>996</v>
      </c>
      <c r="AC58" s="361"/>
      <c r="AD58" s="361"/>
      <c r="AE58" s="361"/>
      <c r="AF58" s="385">
        <f>'1.0-General input'!C72</f>
        <v>0</v>
      </c>
      <c r="AG58" s="367" t="s">
        <v>279</v>
      </c>
      <c r="AM58" s="23" t="str">
        <f>'5.3-Unit R'!C84</f>
        <v>Site manager</v>
      </c>
      <c r="AN58" s="24"/>
      <c r="AO58" s="24"/>
      <c r="AP58" s="24">
        <f>'5.3-Unit R'!E84</f>
        <v>2</v>
      </c>
      <c r="AQ58" s="25">
        <f>'5.3-Unit R'!F84</f>
        <v>0.1</v>
      </c>
      <c r="AR58" s="26"/>
      <c r="BC58" s="381"/>
      <c r="BD58" s="173"/>
      <c r="BE58" s="24"/>
      <c r="BF58" s="24"/>
      <c r="BG58" s="24"/>
      <c r="BH58" s="32"/>
      <c r="BI58" s="263"/>
      <c r="BJ58" s="24"/>
    </row>
    <row r="59" spans="9:62">
      <c r="J59" s="24"/>
      <c r="K59" s="24"/>
      <c r="L59" s="24"/>
      <c r="M59" s="24"/>
      <c r="N59" s="24"/>
      <c r="R59" s="373" t="s">
        <v>990</v>
      </c>
      <c r="S59" s="374"/>
      <c r="T59" s="374"/>
      <c r="U59" s="374"/>
      <c r="V59" s="374"/>
      <c r="W59" s="375"/>
      <c r="AB59" s="373" t="s">
        <v>990</v>
      </c>
      <c r="AC59" s="374"/>
      <c r="AD59" s="374"/>
      <c r="AE59" s="374"/>
      <c r="AF59" s="374"/>
      <c r="AG59" s="375"/>
      <c r="AM59" s="43" t="s">
        <v>2</v>
      </c>
      <c r="AN59" s="16"/>
      <c r="AO59" s="16"/>
      <c r="AP59" s="16"/>
      <c r="AQ59" s="16"/>
      <c r="AR59" s="17"/>
      <c r="BC59" s="170"/>
      <c r="BD59" s="138"/>
      <c r="BE59" s="24"/>
      <c r="BF59" s="24"/>
      <c r="BG59" s="24"/>
      <c r="BH59" s="24"/>
      <c r="BI59" s="262"/>
      <c r="BJ59" s="24"/>
    </row>
    <row r="60" spans="9:62">
      <c r="J60" s="24"/>
      <c r="K60" s="24"/>
      <c r="L60" s="24"/>
      <c r="M60" s="24"/>
      <c r="N60" s="24"/>
      <c r="R60" s="371" t="s">
        <v>307</v>
      </c>
      <c r="S60" s="34"/>
      <c r="T60" s="49" t="s">
        <v>991</v>
      </c>
      <c r="U60" s="34"/>
      <c r="V60" s="34"/>
      <c r="W60" s="364"/>
      <c r="AB60" s="371" t="s">
        <v>307</v>
      </c>
      <c r="AC60" s="34"/>
      <c r="AD60" s="49" t="s">
        <v>182</v>
      </c>
      <c r="AE60" s="34"/>
      <c r="AF60" s="34"/>
      <c r="AG60" s="364"/>
      <c r="AM60" s="45" t="s">
        <v>53</v>
      </c>
      <c r="AN60" s="46"/>
      <c r="AO60" s="46"/>
      <c r="AP60" s="46" t="s">
        <v>50</v>
      </c>
      <c r="AQ60" s="46" t="s">
        <v>114</v>
      </c>
      <c r="AR60" s="47"/>
      <c r="BC60" s="170"/>
      <c r="BD60" s="172"/>
      <c r="BE60" s="263"/>
      <c r="BF60" s="24"/>
      <c r="BG60" s="24"/>
      <c r="BH60" s="24"/>
      <c r="BI60" s="262"/>
      <c r="BJ60" s="24"/>
    </row>
    <row r="61" spans="9:62">
      <c r="J61" s="24"/>
      <c r="K61" s="24"/>
      <c r="L61" s="24"/>
      <c r="M61" s="24"/>
      <c r="N61" s="24"/>
      <c r="R61" s="365" t="str">
        <f>'5.3-Unit N (Egg-5DOL)'!C20</f>
        <v>Cocopeat</v>
      </c>
      <c r="S61" s="24"/>
      <c r="T61" s="376">
        <f>'5.3-Unit N (Egg-5DOL)'!D20</f>
        <v>4.4279999999999996E-3</v>
      </c>
      <c r="U61" s="376"/>
      <c r="V61" s="24"/>
      <c r="W61" s="26"/>
      <c r="AB61" s="365" t="str">
        <f>'5.3-Unit N (17DOL-Egg)'!C20</f>
        <v>Cocopeat</v>
      </c>
      <c r="AC61" s="24"/>
      <c r="AD61" s="29">
        <f>'5.3-Unit N (17DOL-Egg)'!D20</f>
        <v>3.15</v>
      </c>
      <c r="AE61" s="24"/>
      <c r="AF61" s="24"/>
      <c r="AG61" s="26"/>
      <c r="AM61" s="23" t="str">
        <f>'5.3-Unit R'!C110</f>
        <v>Measuring balance ("heavy" duty)</v>
      </c>
      <c r="AN61" s="24"/>
      <c r="AO61" s="24"/>
      <c r="AP61" s="28">
        <f>'5.3-Unit R'!E110</f>
        <v>3</v>
      </c>
      <c r="AQ61" s="27">
        <f>'5.3-Unit R'!M110</f>
        <v>0.2</v>
      </c>
      <c r="AR61" s="26"/>
      <c r="BC61" s="24"/>
      <c r="BD61" s="172"/>
      <c r="BE61" s="260"/>
      <c r="BF61" s="24"/>
      <c r="BG61" s="24"/>
      <c r="BH61" s="24"/>
      <c r="BI61" s="262"/>
      <c r="BJ61" s="24"/>
    </row>
    <row r="62" spans="9:62">
      <c r="J62" s="24"/>
      <c r="K62" s="24"/>
      <c r="L62" s="24"/>
      <c r="M62" s="24"/>
      <c r="N62" s="24"/>
      <c r="R62" s="365" t="str">
        <f>'5.3-Unit N (Egg-5DOL)'!C21</f>
        <v>Chicken feed</v>
      </c>
      <c r="S62" s="24"/>
      <c r="T62" s="376">
        <f>'5.3-Unit N (Egg-5DOL)'!D21</f>
        <v>1.897</v>
      </c>
      <c r="U62" s="24"/>
      <c r="V62" s="24"/>
      <c r="W62" s="26"/>
      <c r="AB62" s="365" t="str">
        <f>'5.3-Unit N (17DOL-Egg)'!C21</f>
        <v>Chicken feed</v>
      </c>
      <c r="AC62" s="24"/>
      <c r="AD62" s="29">
        <f>'5.3-Unit N (17DOL-Egg)'!D21</f>
        <v>10.6</v>
      </c>
      <c r="AE62" s="24"/>
      <c r="AF62" s="24"/>
      <c r="AG62" s="26"/>
      <c r="AM62" s="23" t="str">
        <f>'5.3-Unit R'!C111</f>
        <v>N/A</v>
      </c>
      <c r="AN62" s="24"/>
      <c r="AO62" s="24"/>
      <c r="AP62" s="28" t="str">
        <f>'5.3-Unit H'!O133</f>
        <v/>
      </c>
      <c r="AQ62" s="27">
        <f>'5.3-Unit H'!P133</f>
        <v>0</v>
      </c>
      <c r="AR62" s="26"/>
      <c r="BC62" s="170"/>
      <c r="BD62" s="172"/>
      <c r="BE62" s="24"/>
      <c r="BF62" s="24"/>
      <c r="BG62" s="24"/>
      <c r="BH62" s="24"/>
      <c r="BI62" s="262"/>
      <c r="BJ62" s="24"/>
    </row>
    <row r="63" spans="9:62">
      <c r="I63" s="38"/>
      <c r="J63" s="24"/>
      <c r="K63" s="24"/>
      <c r="L63" s="24"/>
      <c r="M63" s="24"/>
      <c r="N63" s="24"/>
      <c r="R63" s="365" t="str">
        <f>'5.3-Unit N (Egg-5DOL)'!C22</f>
        <v>Fruit water</v>
      </c>
      <c r="S63" s="24"/>
      <c r="T63" s="376">
        <f>'5.3-Unit N (Egg-5DOL)'!D22</f>
        <v>175.536</v>
      </c>
      <c r="U63" s="24"/>
      <c r="V63" s="24"/>
      <c r="W63" s="26"/>
      <c r="AB63" s="365" t="str">
        <f>'5.3-Unit N (17DOL-Egg)'!C22</f>
        <v>Fruit water</v>
      </c>
      <c r="AC63" s="24"/>
      <c r="AD63" s="29">
        <f>'5.3-Unit N (17DOL-Egg)'!D22</f>
        <v>58.58</v>
      </c>
      <c r="AE63" s="24"/>
      <c r="AF63" s="24"/>
      <c r="AG63" s="26"/>
      <c r="AM63" s="23" t="str">
        <f>'5.3-Unit R'!C112</f>
        <v>N/A</v>
      </c>
      <c r="AN63" s="24"/>
      <c r="AO63" s="24"/>
      <c r="AP63" s="28" t="str">
        <f>'5.3-Unit H'!O134</f>
        <v/>
      </c>
      <c r="AQ63" s="27">
        <f>'5.3-Unit H'!P134</f>
        <v>0</v>
      </c>
      <c r="AR63" s="26"/>
      <c r="BC63" s="24"/>
      <c r="BD63" s="172"/>
      <c r="BE63" s="261"/>
      <c r="BF63" s="24"/>
      <c r="BG63" s="24"/>
      <c r="BH63" s="24"/>
      <c r="BI63" s="24"/>
      <c r="BJ63" s="24"/>
    </row>
    <row r="64" spans="9:62">
      <c r="R64" s="365" t="str">
        <f>'5.3-Unit N (Egg-5DOL)'!C23</f>
        <v>N/A</v>
      </c>
      <c r="S64" s="24"/>
      <c r="T64" s="24" t="str">
        <f>'5.3-Unit N (Egg-5DOL)'!D23</f>
        <v>N/A</v>
      </c>
      <c r="U64" s="24"/>
      <c r="V64" s="24"/>
      <c r="W64" s="26"/>
      <c r="AB64" s="365" t="str">
        <f>'5.3-Unit N (17DOL-Egg)'!C23</f>
        <v>Compost</v>
      </c>
      <c r="AC64" s="24"/>
      <c r="AD64" s="29">
        <f>'5.3-Unit N (17DOL-Egg)'!D23</f>
        <v>670.11898258121096</v>
      </c>
      <c r="AE64" s="24"/>
      <c r="AF64" s="24"/>
      <c r="AG64" s="26"/>
      <c r="AM64" s="23" t="str">
        <f>'5.3-Unit R'!C113</f>
        <v>N/A</v>
      </c>
      <c r="AN64" s="24"/>
      <c r="AO64" s="24"/>
      <c r="AP64" s="28" t="str">
        <f>'5.3-Unit H'!O135</f>
        <v/>
      </c>
      <c r="AQ64" s="27">
        <f>'5.3-Unit H'!P135</f>
        <v>0</v>
      </c>
      <c r="AR64" s="26"/>
      <c r="AZ64" s="24"/>
      <c r="BA64" s="24"/>
      <c r="BC64" s="259"/>
      <c r="BD64" s="172"/>
      <c r="BE64" s="260"/>
      <c r="BF64" s="24"/>
      <c r="BG64" s="24"/>
      <c r="BH64" s="24"/>
      <c r="BI64" s="24"/>
      <c r="BJ64" s="24"/>
    </row>
    <row r="65" spans="18:62">
      <c r="R65" s="35" t="str">
        <f>'5.3-Unit N (Egg-5DOL)'!C24</f>
        <v>N/A</v>
      </c>
      <c r="S65" s="361"/>
      <c r="T65" s="361" t="str">
        <f>'5.3-Unit N (Egg-5DOL)'!D24</f>
        <v>N/A</v>
      </c>
      <c r="U65" s="361"/>
      <c r="V65" s="361"/>
      <c r="W65" s="367"/>
      <c r="AB65" s="35" t="str">
        <f>'5.3-Unit N (17DOL-Egg)'!C24</f>
        <v>N/A</v>
      </c>
      <c r="AC65" s="361"/>
      <c r="AD65" s="377" t="str">
        <f>'5.3-Unit N (17DOL-Egg)'!D24</f>
        <v>N/A</v>
      </c>
      <c r="AE65" s="361"/>
      <c r="AF65" s="361"/>
      <c r="AG65" s="367"/>
      <c r="AM65" s="23" t="str">
        <f>'5.3-Unit R'!C114</f>
        <v>N/A</v>
      </c>
      <c r="AN65" s="24"/>
      <c r="AO65" s="24"/>
      <c r="AP65" s="28" t="str">
        <f>'5.3-Unit H'!O136</f>
        <v/>
      </c>
      <c r="AQ65" s="27">
        <f>'5.3-Unit H'!P136</f>
        <v>0</v>
      </c>
      <c r="AR65" s="26"/>
      <c r="BA65" s="180"/>
      <c r="BB65" s="24"/>
      <c r="BC65" s="170"/>
      <c r="BD65" s="172"/>
      <c r="BE65" s="260"/>
      <c r="BF65" s="24"/>
      <c r="BG65" s="24"/>
      <c r="BH65" s="32"/>
      <c r="BI65" s="260"/>
      <c r="BJ65" s="24"/>
    </row>
    <row r="66" spans="18:62">
      <c r="R66" s="378" t="s">
        <v>291</v>
      </c>
      <c r="S66" s="34"/>
      <c r="T66" s="34"/>
      <c r="U66" s="34"/>
      <c r="V66" s="34"/>
      <c r="W66" s="364"/>
      <c r="AB66" s="378" t="s">
        <v>291</v>
      </c>
      <c r="AC66" s="34"/>
      <c r="AD66" s="34"/>
      <c r="AE66" s="34"/>
      <c r="AF66" s="34"/>
      <c r="AG66" s="364"/>
      <c r="AM66" s="23" t="str">
        <f>'5.3-Unit R'!C115</f>
        <v>N/A</v>
      </c>
      <c r="AN66" s="24"/>
      <c r="AO66" s="24"/>
      <c r="AP66" s="28" t="str">
        <f>'5.3-Unit H'!O137</f>
        <v/>
      </c>
      <c r="AQ66" s="27">
        <f>'5.3-Unit H'!P137</f>
        <v>0</v>
      </c>
      <c r="AR66" s="26"/>
      <c r="BA66" s="180"/>
      <c r="BB66" s="24"/>
      <c r="BC66" s="170"/>
      <c r="BD66" s="172"/>
      <c r="BE66" s="24"/>
      <c r="BF66" s="24"/>
      <c r="BG66" s="24"/>
      <c r="BH66" s="24"/>
      <c r="BI66" s="24"/>
      <c r="BJ66" s="24"/>
    </row>
    <row r="67" spans="18:62">
      <c r="R67" s="371" t="s">
        <v>295</v>
      </c>
      <c r="S67" s="49"/>
      <c r="T67" s="49"/>
      <c r="U67" s="34"/>
      <c r="V67" s="49"/>
      <c r="W67" s="364"/>
      <c r="AB67" s="371" t="s">
        <v>295</v>
      </c>
      <c r="AC67" s="49"/>
      <c r="AD67" s="49"/>
      <c r="AE67" s="49"/>
      <c r="AF67" s="49"/>
      <c r="AG67" s="364"/>
      <c r="AM67" s="23" t="str">
        <f>'5.3-Unit R'!C116</f>
        <v>N/A</v>
      </c>
      <c r="AN67" s="24"/>
      <c r="AO67" s="24"/>
      <c r="AP67" s="28" t="str">
        <f>'5.3-Unit H'!O138</f>
        <v/>
      </c>
      <c r="AQ67" s="27">
        <f>'5.3-Unit H'!P138</f>
        <v>0</v>
      </c>
      <c r="AR67" s="26"/>
      <c r="AZ67" s="24"/>
      <c r="BA67" s="24"/>
      <c r="BB67" s="24"/>
      <c r="BC67" s="170"/>
      <c r="BD67" s="172"/>
      <c r="BE67" s="24"/>
      <c r="BF67" s="24"/>
      <c r="BG67" s="24"/>
      <c r="BH67" s="24"/>
      <c r="BI67" s="24"/>
      <c r="BJ67" s="24"/>
    </row>
    <row r="68" spans="18:62">
      <c r="R68" s="365" t="str">
        <f>'5.3-Unit N (Egg-5DOL)'!B39</f>
        <v>Water</v>
      </c>
      <c r="S68" s="24"/>
      <c r="T68" s="29">
        <f>'5.3-Unit N (Egg-5DOL)'!C39</f>
        <v>0.17023809523809524</v>
      </c>
      <c r="U68" s="24" t="str">
        <f>'5.3-Unit N (Egg-5DOL)'!D39</f>
        <v>m3/d</v>
      </c>
      <c r="V68" s="29"/>
      <c r="W68" s="26"/>
      <c r="AB68" s="365" t="str">
        <f>'5.3-Unit N (17DOL-Egg)'!B39</f>
        <v>Water</v>
      </c>
      <c r="AC68" s="24"/>
      <c r="AD68" s="29">
        <f>'5.3-Unit N (17DOL-Egg)'!C39</f>
        <v>0.27238095238095239</v>
      </c>
      <c r="AE68" s="29" t="str">
        <f>'5.3-Unit N (17DOL-Egg)'!D39</f>
        <v>m3/d</v>
      </c>
      <c r="AF68" s="29"/>
      <c r="AG68" s="26"/>
      <c r="AM68" s="23" t="str">
        <f>'5.3-Unit R'!C117</f>
        <v>N/A</v>
      </c>
      <c r="AN68" s="24"/>
      <c r="AO68" s="24"/>
      <c r="AP68" s="28" t="str">
        <f>'5.3-Unit H'!O139</f>
        <v/>
      </c>
      <c r="AQ68" s="27">
        <f>'5.3-Unit H'!P139</f>
        <v>0</v>
      </c>
      <c r="AR68" s="26"/>
      <c r="AZ68" s="24"/>
      <c r="BA68" s="24"/>
      <c r="BB68" s="24"/>
      <c r="BC68" s="170"/>
      <c r="BD68" s="24"/>
      <c r="BE68" s="181"/>
      <c r="BF68" s="24"/>
      <c r="BG68" s="24"/>
      <c r="BH68" s="24"/>
      <c r="BI68" s="24"/>
      <c r="BJ68" s="24"/>
    </row>
    <row r="69" spans="18:62">
      <c r="R69" s="365" t="str">
        <f>'5.3-Unit N (Egg-5DOL)'!B40</f>
        <v>Electricity</v>
      </c>
      <c r="S69" s="24"/>
      <c r="T69" s="29">
        <f>'5.3-Unit N (Egg-5DOL)'!C40</f>
        <v>4.630584387400793</v>
      </c>
      <c r="U69" s="24" t="str">
        <f>'5.3-Unit N (Egg-5DOL)'!D40</f>
        <v>kWh/d</v>
      </c>
      <c r="V69" s="29"/>
      <c r="W69" s="26"/>
      <c r="AB69" s="365" t="str">
        <f>'5.3-Unit N (17DOL-Egg)'!B40</f>
        <v>Electricity</v>
      </c>
      <c r="AC69" s="24"/>
      <c r="AD69" s="29">
        <f>'5.3-Unit N (17DOL-Egg)'!C40</f>
        <v>14.606774863591269</v>
      </c>
      <c r="AE69" s="29" t="str">
        <f>'5.3-Unit N (17DOL-Egg)'!D40</f>
        <v>kWh/d</v>
      </c>
      <c r="AF69" s="29"/>
      <c r="AG69" s="26"/>
      <c r="AM69" s="23" t="str">
        <f>'5.3-Unit R'!C118</f>
        <v>N/A</v>
      </c>
      <c r="AN69" s="24"/>
      <c r="AO69" s="24"/>
      <c r="AP69" s="28" t="str">
        <f>'5.3-Unit H'!O140</f>
        <v/>
      </c>
      <c r="AQ69" s="27">
        <f>'5.3-Unit H'!P140</f>
        <v>0</v>
      </c>
      <c r="AR69" s="26"/>
      <c r="AZ69" s="24"/>
      <c r="BA69" s="24"/>
      <c r="BB69" s="179"/>
      <c r="BC69" s="24"/>
      <c r="BD69" s="24"/>
      <c r="BE69" s="24"/>
      <c r="BF69" s="24"/>
      <c r="BG69" s="24"/>
      <c r="BH69" s="24"/>
      <c r="BI69" s="24"/>
      <c r="BJ69" s="24"/>
    </row>
    <row r="70" spans="18:62">
      <c r="R70" s="35" t="str">
        <f>'5.3-Unit N (Egg-5DOL)'!B41</f>
        <v>Fuel</v>
      </c>
      <c r="S70" s="361"/>
      <c r="T70" s="377">
        <f>'5.3-Unit N (Egg-5DOL)'!C41</f>
        <v>0</v>
      </c>
      <c r="U70" s="361" t="str">
        <f>'5.3-Unit N (Egg-5DOL)'!D41</f>
        <v>L/d</v>
      </c>
      <c r="V70" s="361"/>
      <c r="W70" s="367"/>
      <c r="AB70" s="35" t="str">
        <f>'5.3-Unit N (17DOL-Egg)'!B41</f>
        <v>Fuel</v>
      </c>
      <c r="AC70" s="361"/>
      <c r="AD70" s="377">
        <f>'5.3-Unit N (17DOL-Egg)'!C41</f>
        <v>0</v>
      </c>
      <c r="AE70" s="377" t="str">
        <f>'5.3-Unit N (17DOL-Egg)'!D41</f>
        <v>L/d</v>
      </c>
      <c r="AF70" s="361"/>
      <c r="AG70" s="367"/>
      <c r="AM70" s="23" t="str">
        <f>'5.3-Unit R'!C119</f>
        <v>N/A</v>
      </c>
      <c r="AN70" s="24"/>
      <c r="AO70" s="24"/>
      <c r="AP70" s="28" t="str">
        <f>'5.3-Unit H'!O141</f>
        <v/>
      </c>
      <c r="AQ70" s="27">
        <f>'5.3-Unit H'!P141</f>
        <v>0</v>
      </c>
      <c r="AR70" s="51"/>
      <c r="AZ70" s="24"/>
      <c r="BA70" s="174"/>
      <c r="BB70" s="170"/>
      <c r="BC70" s="24"/>
      <c r="BD70" s="24"/>
      <c r="BE70" s="24"/>
      <c r="BF70" s="24"/>
      <c r="BG70" s="24"/>
      <c r="BH70" s="24"/>
      <c r="BI70" s="24"/>
      <c r="BJ70" s="24"/>
    </row>
    <row r="71" spans="18:62">
      <c r="R71" s="384" t="s">
        <v>304</v>
      </c>
      <c r="S71" s="361"/>
      <c r="T71" s="361"/>
      <c r="U71" s="361"/>
      <c r="V71" s="361"/>
      <c r="W71" s="367"/>
      <c r="AB71" s="384" t="s">
        <v>303</v>
      </c>
      <c r="AC71" s="361"/>
      <c r="AD71" s="361"/>
      <c r="AE71" s="361"/>
      <c r="AF71" s="361"/>
      <c r="AG71" s="367"/>
      <c r="AM71" s="23" t="str">
        <f>'5.3-Unit R'!C120</f>
        <v>N/A</v>
      </c>
      <c r="AN71" s="24"/>
      <c r="AO71" s="24"/>
      <c r="AP71" s="28" t="str">
        <f>'5.3-Unit H'!O142</f>
        <v/>
      </c>
      <c r="AQ71" s="27">
        <f>'5.3-Unit H'!P142</f>
        <v>0</v>
      </c>
      <c r="AR71" s="26"/>
      <c r="AZ71" s="24"/>
      <c r="BA71" s="174"/>
      <c r="BB71" s="170"/>
      <c r="BC71" s="24"/>
      <c r="BD71" s="24"/>
      <c r="BE71" s="24"/>
      <c r="BF71" s="24"/>
      <c r="BG71" s="24"/>
      <c r="BH71" s="24"/>
      <c r="BI71" s="24"/>
      <c r="BJ71" s="24"/>
    </row>
    <row r="72" spans="18:62">
      <c r="R72" s="48" t="s">
        <v>5</v>
      </c>
      <c r="S72" s="49"/>
      <c r="T72" s="49"/>
      <c r="U72" s="49" t="s">
        <v>293</v>
      </c>
      <c r="V72" s="49" t="s">
        <v>121</v>
      </c>
      <c r="W72" s="52"/>
      <c r="AB72" s="48" t="s">
        <v>5</v>
      </c>
      <c r="AC72" s="49"/>
      <c r="AD72" s="49"/>
      <c r="AE72" s="49" t="s">
        <v>293</v>
      </c>
      <c r="AF72" s="49" t="s">
        <v>121</v>
      </c>
      <c r="AG72" s="52"/>
      <c r="AM72" s="35" t="str">
        <f>'5.3-Unit R'!C121</f>
        <v>N/A</v>
      </c>
      <c r="AN72" s="361"/>
      <c r="AO72" s="361"/>
      <c r="AP72" s="42" t="str">
        <f>'5.3-Unit H'!O143</f>
        <v/>
      </c>
      <c r="AQ72" s="37">
        <f>'5.3-Unit H'!P143</f>
        <v>0</v>
      </c>
      <c r="AR72" s="22"/>
      <c r="AZ72" s="24"/>
      <c r="BA72" s="174"/>
      <c r="BB72" s="170"/>
      <c r="BC72" s="24"/>
      <c r="BD72" s="24"/>
      <c r="BE72" s="24"/>
      <c r="BF72" s="24"/>
      <c r="BG72" s="24"/>
      <c r="BH72" s="24"/>
      <c r="BI72" s="24"/>
      <c r="BJ72" s="24"/>
    </row>
    <row r="73" spans="18:62">
      <c r="R73" s="23" t="str">
        <f>'5.3-Unit N (Egg-5DOL)'!C52</f>
        <v>Nursery staff</v>
      </c>
      <c r="S73" s="24"/>
      <c r="T73" s="24"/>
      <c r="U73" s="24">
        <f>'5.3-Unit N (Egg-5DOL)'!E52</f>
        <v>11</v>
      </c>
      <c r="V73" s="25">
        <f>'5.3-Unit N (Egg-5DOL)'!F52</f>
        <v>0.1</v>
      </c>
      <c r="W73" s="26"/>
      <c r="AB73" s="23" t="str">
        <f>'5.3-Unit N (17DOL-Egg)'!C52</f>
        <v>Nursery staff</v>
      </c>
      <c r="AC73" s="24"/>
      <c r="AD73" s="24"/>
      <c r="AE73" s="24">
        <f>'5.3-Unit N (17DOL-Egg)'!E52</f>
        <v>11</v>
      </c>
      <c r="AF73" s="25">
        <f>'5.3-Unit N (17DOL-Egg)'!F52</f>
        <v>0.9</v>
      </c>
      <c r="AG73" s="26"/>
      <c r="AZ73" s="24"/>
      <c r="BA73" s="179"/>
      <c r="BB73" s="170"/>
      <c r="BC73" s="24"/>
      <c r="BD73" s="24"/>
      <c r="BE73" s="24"/>
      <c r="BF73" s="24"/>
      <c r="BG73" s="24"/>
      <c r="BH73" s="24"/>
      <c r="BI73" s="24"/>
      <c r="BJ73" s="24"/>
    </row>
    <row r="74" spans="18:62">
      <c r="R74" s="23" t="str">
        <f>'5.3-Unit N (Egg-5DOL)'!C83</f>
        <v>Nursery manager</v>
      </c>
      <c r="S74" s="24"/>
      <c r="T74" s="24"/>
      <c r="U74" s="24">
        <f>'5.3-Unit N (Egg-5DOL)'!E83</f>
        <v>1</v>
      </c>
      <c r="V74" s="25">
        <f>'5.3-Unit N (Egg-5DOL)'!F83</f>
        <v>0.25</v>
      </c>
      <c r="W74" s="26"/>
      <c r="AB74" s="23" t="str">
        <f>'5.3-Unit N (17DOL-Egg)'!C83</f>
        <v>Nursery manager</v>
      </c>
      <c r="AC74" s="24"/>
      <c r="AD74" s="24"/>
      <c r="AE74" s="24">
        <f>'5.3-Unit N (17DOL-Egg)'!E83</f>
        <v>1</v>
      </c>
      <c r="AF74" s="25">
        <f>'5.3-Unit N (17DOL-Egg)'!F83</f>
        <v>0.5</v>
      </c>
      <c r="AG74" s="26"/>
      <c r="AZ74" s="24"/>
      <c r="BA74" s="264"/>
      <c r="BB74" s="24"/>
    </row>
    <row r="75" spans="18:62">
      <c r="R75" s="35" t="str">
        <f>'5.3-Unit N (Egg-5DOL)'!C84</f>
        <v>Site manager</v>
      </c>
      <c r="S75" s="36"/>
      <c r="T75" s="36"/>
      <c r="U75" s="36">
        <f>'5.3-Unit N (Egg-5DOL)'!E84</f>
        <v>2</v>
      </c>
      <c r="V75" s="53">
        <f>'5.3-Unit N (Egg-5DOL)'!F84</f>
        <v>0.05</v>
      </c>
      <c r="W75" s="22"/>
      <c r="AB75" s="23" t="str">
        <f>'5.3-Unit N (17DOL-Egg)'!C84</f>
        <v>Site manager</v>
      </c>
      <c r="AC75" s="24"/>
      <c r="AD75" s="24"/>
      <c r="AE75" s="24">
        <f>'5.3-Unit N (17DOL-Egg)'!E84</f>
        <v>2</v>
      </c>
      <c r="AF75" s="25">
        <f>'5.3-Unit N (17DOL-Egg)'!F84</f>
        <v>0.1</v>
      </c>
      <c r="AG75" s="26"/>
    </row>
    <row r="76" spans="18:62">
      <c r="R76" s="43" t="s">
        <v>306</v>
      </c>
      <c r="S76" s="16"/>
      <c r="T76" s="16"/>
      <c r="U76" s="16"/>
      <c r="V76" s="16"/>
      <c r="W76" s="17"/>
      <c r="AB76" s="43" t="s">
        <v>305</v>
      </c>
      <c r="AC76" s="16"/>
      <c r="AD76" s="16"/>
      <c r="AE76" s="16"/>
      <c r="AF76" s="16"/>
      <c r="AG76" s="17"/>
    </row>
    <row r="77" spans="18:62">
      <c r="R77" s="371" t="s">
        <v>53</v>
      </c>
      <c r="S77" s="49"/>
      <c r="T77" s="49"/>
      <c r="U77" s="49" t="s">
        <v>50</v>
      </c>
      <c r="V77" s="49" t="s">
        <v>87</v>
      </c>
      <c r="W77" s="364"/>
      <c r="AB77" s="371" t="s">
        <v>53</v>
      </c>
      <c r="AC77" s="49"/>
      <c r="AD77" s="49"/>
      <c r="AE77" s="49" t="s">
        <v>50</v>
      </c>
      <c r="AF77" s="49" t="s">
        <v>87</v>
      </c>
      <c r="AG77" s="372"/>
    </row>
    <row r="78" spans="18:62">
      <c r="R78" s="365" t="str">
        <f>'5.3-Unit N (Egg-5DOL)'!C110</f>
        <v>High pressure cleaner</v>
      </c>
      <c r="S78" s="24"/>
      <c r="T78" s="24"/>
      <c r="U78" s="28">
        <f>'5.3-Unit N (Egg-5DOL)'!E110</f>
        <v>2</v>
      </c>
      <c r="V78" s="25">
        <f>'5.3-Unit N (Egg-5DOL)'!M110</f>
        <v>0.05</v>
      </c>
      <c r="W78" s="26"/>
      <c r="AB78" s="365" t="str">
        <f>'5.3-Unit N (17DOL-Egg)'!C110</f>
        <v>High pressure cleaner</v>
      </c>
      <c r="AC78" s="24"/>
      <c r="AD78" s="24"/>
      <c r="AE78" s="28">
        <f>'5.3-Unit N (17DOL-Egg)'!E110</f>
        <v>2</v>
      </c>
      <c r="AF78" s="27">
        <f>'5.3-Unit N (17DOL-Egg)'!M110</f>
        <v>0.08</v>
      </c>
      <c r="AG78" s="26"/>
    </row>
    <row r="79" spans="18:62">
      <c r="R79" s="365" t="str">
        <f>'5.3-Unit N (Egg-5DOL)'!C111</f>
        <v>Hatchling crate</v>
      </c>
      <c r="S79" s="24"/>
      <c r="T79" s="24"/>
      <c r="U79" s="28">
        <f>'5.3-Unit N (Egg-5DOL)'!E111</f>
        <v>10</v>
      </c>
      <c r="V79" s="25">
        <f>'5.3-Unit N (Egg-5DOL)'!M111</f>
        <v>1</v>
      </c>
      <c r="W79" s="26"/>
      <c r="AB79" s="365" t="str">
        <f>'5.3-Unit N (17DOL-Egg)'!C111</f>
        <v xml:space="preserve">Pupation crates </v>
      </c>
      <c r="AC79" s="24"/>
      <c r="AD79" s="24"/>
      <c r="AE79" s="28">
        <f>'5.3-Unit N (17DOL-Egg)'!E111</f>
        <v>282</v>
      </c>
      <c r="AF79" s="27">
        <f>'5.3-Unit N (17DOL-Egg)'!M111</f>
        <v>1</v>
      </c>
      <c r="AG79" s="26"/>
    </row>
    <row r="80" spans="18:62">
      <c r="R80" s="365" t="str">
        <f>'5.3-Unit N (Egg-5DOL)'!C112</f>
        <v>Mobile hatching frame</v>
      </c>
      <c r="S80" s="24"/>
      <c r="T80" s="24"/>
      <c r="U80" s="28">
        <f>'5.3-Unit N (Egg-5DOL)'!E112</f>
        <v>1</v>
      </c>
      <c r="V80" s="25">
        <f>'5.3-Unit N (Egg-5DOL)'!M112</f>
        <v>1</v>
      </c>
      <c r="W80" s="26"/>
      <c r="AB80" s="365" t="str">
        <f>'5.3-Unit N (17DOL-Egg)'!C112</f>
        <v>Pupation cage (Dark cage)</v>
      </c>
      <c r="AC80" s="24"/>
      <c r="AD80" s="24"/>
      <c r="AE80" s="28">
        <f>'5.3-Unit N (17DOL-Egg)'!E112</f>
        <v>18</v>
      </c>
      <c r="AF80" s="27">
        <f>'5.3-Unit N (17DOL-Egg)'!M112</f>
        <v>1</v>
      </c>
      <c r="AG80" s="26"/>
    </row>
    <row r="81" spans="18:33">
      <c r="R81" s="365" t="str">
        <f>'5.3-Unit N (Egg-5DOL)'!C113</f>
        <v>Oviball holder</v>
      </c>
      <c r="S81" s="24"/>
      <c r="T81" s="24"/>
      <c r="U81" s="28">
        <f>'5.3-Unit N (Egg-5DOL)'!E113</f>
        <v>1</v>
      </c>
      <c r="V81" s="25">
        <f>'5.3-Unit N (Egg-5DOL)'!M113</f>
        <v>0.5</v>
      </c>
      <c r="W81" s="26"/>
      <c r="AB81" s="365" t="str">
        <f>'5.3-Unit N (17DOL-Egg)'!C113</f>
        <v>Pupation cage frame</v>
      </c>
      <c r="AC81" s="24"/>
      <c r="AD81" s="24"/>
      <c r="AE81" s="28">
        <f>'5.3-Unit N (17DOL-Egg)'!E113</f>
        <v>18</v>
      </c>
      <c r="AF81" s="27">
        <f>'5.3-Unit N (17DOL-Egg)'!M113</f>
        <v>1</v>
      </c>
      <c r="AG81" s="26"/>
    </row>
    <row r="82" spans="18:33">
      <c r="R82" s="365" t="str">
        <f>'5.3-Unit N (Egg-5DOL)'!C114</f>
        <v>Egg media</v>
      </c>
      <c r="S82" s="24"/>
      <c r="T82" s="24"/>
      <c r="U82" s="28">
        <f>'5.3-Unit N (Egg-5DOL)'!E114</f>
        <v>200</v>
      </c>
      <c r="V82" s="25">
        <f>'5.3-Unit N (Egg-5DOL)'!M114</f>
        <v>0.5</v>
      </c>
      <c r="W82" s="26"/>
      <c r="AB82" s="365" t="str">
        <f>'5.3-Unit N (17DOL-Egg)'!C114</f>
        <v>Oviposition cage (Love cage)</v>
      </c>
      <c r="AC82" s="24"/>
      <c r="AD82" s="24"/>
      <c r="AE82" s="28">
        <f>'5.3-Unit N (17DOL-Egg)'!E114</f>
        <v>20</v>
      </c>
      <c r="AF82" s="27">
        <f>'5.3-Unit N (17DOL-Egg)'!M114</f>
        <v>1</v>
      </c>
      <c r="AG82" s="26"/>
    </row>
    <row r="83" spans="18:33">
      <c r="R83" s="365" t="str">
        <f>'5.3-Unit N (Egg-5DOL)'!C115</f>
        <v>Working table</v>
      </c>
      <c r="S83" s="24"/>
      <c r="T83" s="24"/>
      <c r="U83" s="28">
        <f>'5.3-Unit N (Egg-5DOL)'!E115</f>
        <v>1</v>
      </c>
      <c r="V83" s="25">
        <f>'5.3-Unit N (Egg-5DOL)'!M115</f>
        <v>0.5</v>
      </c>
      <c r="W83" s="26"/>
      <c r="AB83" s="365" t="str">
        <f>'5.3-Unit N (17DOL-Egg)'!C115</f>
        <v>Attractant container</v>
      </c>
      <c r="AC83" s="24"/>
      <c r="AD83" s="24"/>
      <c r="AE83" s="28">
        <f>'5.3-Unit N (17DOL-Egg)'!E115</f>
        <v>20</v>
      </c>
      <c r="AF83" s="27">
        <f>'5.3-Unit N (17DOL-Egg)'!M115</f>
        <v>1</v>
      </c>
      <c r="AG83" s="26"/>
    </row>
    <row r="84" spans="18:33">
      <c r="R84" s="365" t="str">
        <f>'5.3-Unit N (Egg-5DOL)'!C116</f>
        <v>Measuring balance (nursery)</v>
      </c>
      <c r="S84" s="24"/>
      <c r="T84" s="24"/>
      <c r="U84" s="28">
        <f>'5.3-Unit N (Egg-5DOL)'!E116</f>
        <v>3</v>
      </c>
      <c r="V84" s="25">
        <f>'5.3-Unit N (Egg-5DOL)'!M116</f>
        <v>0.1</v>
      </c>
      <c r="W84" s="26"/>
      <c r="AB84" s="365" t="str">
        <f>'5.3-Unit N (17DOL-Egg)'!C116</f>
        <v>Shade box</v>
      </c>
      <c r="AC84" s="24"/>
      <c r="AD84" s="24"/>
      <c r="AE84" s="28">
        <f>'5.3-Unit N (17DOL-Egg)'!E116</f>
        <v>20</v>
      </c>
      <c r="AF84" s="27">
        <f>'5.3-Unit N (17DOL-Egg)'!M116</f>
        <v>1</v>
      </c>
      <c r="AG84" s="26"/>
    </row>
    <row r="85" spans="18:33">
      <c r="R85" s="365" t="str">
        <f>'5.3-Unit N (Egg-5DOL)'!C117</f>
        <v>Precision balance (lab)</v>
      </c>
      <c r="S85" s="24"/>
      <c r="T85" s="24"/>
      <c r="U85" s="28">
        <f>'5.3-Unit N (Egg-5DOL)'!E117</f>
        <v>3</v>
      </c>
      <c r="V85" s="25">
        <f>'5.3-Unit N (Egg-5DOL)'!M117</f>
        <v>0.5</v>
      </c>
      <c r="W85" s="26"/>
      <c r="AB85" s="365" t="str">
        <f>'5.3-Unit N (17DOL-Egg)'!C117</f>
        <v>Mobile fly harvester with attracting light</v>
      </c>
      <c r="AC85" s="24"/>
      <c r="AD85" s="24"/>
      <c r="AE85" s="28">
        <f>'5.3-Unit N (17DOL-Egg)'!E117</f>
        <v>2</v>
      </c>
      <c r="AF85" s="27">
        <f>'5.3-Unit N (17DOL-Egg)'!M117</f>
        <v>1</v>
      </c>
      <c r="AG85" s="26"/>
    </row>
    <row r="86" spans="18:33">
      <c r="R86" s="365" t="str">
        <f>'5.3-Unit N (Egg-5DOL)'!C118</f>
        <v>Mixer (compost)</v>
      </c>
      <c r="S86" s="24"/>
      <c r="T86" s="24"/>
      <c r="U86" s="28">
        <f>'5.3-Unit N (Egg-5DOL)'!E118</f>
        <v>1</v>
      </c>
      <c r="V86" s="25">
        <f>'5.3-Unit N (Egg-5DOL)'!M118</f>
        <v>0.5</v>
      </c>
      <c r="W86" s="26"/>
      <c r="AB86" s="365" t="str">
        <f>'5.3-Unit N (17DOL-Egg)'!C118</f>
        <v>Oviposition cage frame</v>
      </c>
      <c r="AC86" s="24"/>
      <c r="AD86" s="24"/>
      <c r="AE86" s="28">
        <f>'5.3-Unit N (17DOL-Egg)'!E118</f>
        <v>7</v>
      </c>
      <c r="AF86" s="27">
        <f>'5.3-Unit N (17DOL-Egg)'!M118</f>
        <v>1</v>
      </c>
      <c r="AG86" s="26"/>
    </row>
    <row r="87" spans="18:33">
      <c r="R87" s="365" t="str">
        <f>'5.3-Unit N (Egg-5DOL)'!C119</f>
        <v>Blower</v>
      </c>
      <c r="S87" s="24"/>
      <c r="T87" s="24"/>
      <c r="U87" s="28">
        <f>'5.3-Unit N (Egg-5DOL)'!E119</f>
        <v>19.898611111111109</v>
      </c>
      <c r="V87" s="25">
        <f>'5.3-Unit N (Egg-5DOL)'!M119</f>
        <v>0.5</v>
      </c>
      <c r="W87" s="26"/>
      <c r="AB87" s="365" t="str">
        <f>'5.3-Unit N (17DOL-Egg)'!C119</f>
        <v>Oviball holder</v>
      </c>
      <c r="AC87" s="24"/>
      <c r="AD87" s="24"/>
      <c r="AE87" s="28">
        <f>'5.3-Unit N (17DOL-Egg)'!E119</f>
        <v>1</v>
      </c>
      <c r="AF87" s="27">
        <f>'5.3-Unit N (17DOL-Egg)'!M119</f>
        <v>0.5</v>
      </c>
      <c r="AG87" s="51"/>
    </row>
    <row r="88" spans="18:33">
      <c r="R88" s="365" t="str">
        <f>'5.3-Unit N (Egg-5DOL)'!C120</f>
        <v>N/A</v>
      </c>
      <c r="S88" s="24"/>
      <c r="T88" s="24"/>
      <c r="U88" s="28" t="str">
        <f>'5.3-Unit N (Egg-5DOL)'!E120</f>
        <v>N/A</v>
      </c>
      <c r="V88" s="25" t="str">
        <f>'5.3-Unit N (Egg-5DOL)'!M120</f>
        <v/>
      </c>
      <c r="W88" s="26"/>
      <c r="AB88" s="365" t="str">
        <f>'5.3-Unit N (17DOL-Egg)'!C120</f>
        <v>Egg media</v>
      </c>
      <c r="AC88" s="24"/>
      <c r="AD88" s="24"/>
      <c r="AE88" s="28">
        <f>'5.3-Unit N (17DOL-Egg)'!E120</f>
        <v>200</v>
      </c>
      <c r="AF88" s="27">
        <f>'5.3-Unit N (17DOL-Egg)'!M120</f>
        <v>0.5</v>
      </c>
      <c r="AG88" s="26"/>
    </row>
    <row r="89" spans="18:33">
      <c r="R89" s="365" t="str">
        <f>'5.3-Unit N (Egg-5DOL)'!C121</f>
        <v>N/A</v>
      </c>
      <c r="S89" s="24"/>
      <c r="T89" s="24"/>
      <c r="U89" s="28" t="str">
        <f>'5.3-Unit N (Egg-5DOL)'!E121</f>
        <v>N/A</v>
      </c>
      <c r="V89" s="25" t="str">
        <f>'5.3-Unit N (Egg-5DOL)'!M121</f>
        <v/>
      </c>
      <c r="W89" s="26"/>
      <c r="AB89" s="365" t="str">
        <f>'5.3-Unit N (17DOL-Egg)'!C121</f>
        <v>Working table</v>
      </c>
      <c r="AC89" s="24"/>
      <c r="AD89" s="24"/>
      <c r="AE89" s="28">
        <f>'5.3-Unit N (17DOL-Egg)'!E121</f>
        <v>1</v>
      </c>
      <c r="AF89" s="27">
        <f>'5.3-Unit N (17DOL-Egg)'!M121</f>
        <v>0.5</v>
      </c>
      <c r="AG89" s="26"/>
    </row>
    <row r="90" spans="18:33">
      <c r="R90" s="365" t="str">
        <f>'5.3-Unit N (Egg-5DOL)'!C122</f>
        <v>N/A</v>
      </c>
      <c r="S90" s="24"/>
      <c r="T90" s="24"/>
      <c r="U90" s="28" t="str">
        <f>'5.3-Unit N (Egg-5DOL)'!E122</f>
        <v>N/A</v>
      </c>
      <c r="V90" s="25" t="str">
        <f>'5.3-Unit N (Egg-5DOL)'!M122</f>
        <v/>
      </c>
      <c r="W90" s="26"/>
      <c r="AB90" s="365" t="str">
        <f>'5.3-Unit N (17DOL-Egg)'!C122</f>
        <v>Nursery Larvero</v>
      </c>
      <c r="AC90" s="24"/>
      <c r="AD90" s="24"/>
      <c r="AE90" s="28">
        <f>'5.3-Unit N (17DOL-Egg)'!E122</f>
        <v>68</v>
      </c>
      <c r="AF90" s="27">
        <f>'5.3-Unit N (17DOL-Egg)'!M122</f>
        <v>1</v>
      </c>
      <c r="AG90" s="26"/>
    </row>
    <row r="91" spans="18:33">
      <c r="R91" s="365" t="str">
        <f>'5.3-Unit N (Egg-5DOL)'!C123</f>
        <v>N/A</v>
      </c>
      <c r="S91" s="24"/>
      <c r="T91" s="24"/>
      <c r="U91" s="28" t="str">
        <f>'5.3-Unit N (Egg-5DOL)'!E123</f>
        <v>N/A</v>
      </c>
      <c r="V91" s="25" t="str">
        <f>'5.3-Unit N (Egg-5DOL)'!M123</f>
        <v/>
      </c>
      <c r="W91" s="26"/>
      <c r="AB91" s="365" t="str">
        <f>'5.3-Unit N (17DOL-Egg)'!C123</f>
        <v>Outer box</v>
      </c>
      <c r="AC91" s="24"/>
      <c r="AD91" s="24"/>
      <c r="AE91" s="28">
        <f>'5.3-Unit N (17DOL-Egg)'!E123</f>
        <v>68</v>
      </c>
      <c r="AF91" s="27">
        <f>'5.3-Unit N (17DOL-Egg)'!M123</f>
        <v>1</v>
      </c>
      <c r="AG91" s="26"/>
    </row>
    <row r="92" spans="18:33">
      <c r="R92" s="365" t="str">
        <f>'5.3-Unit N (Egg-5DOL)'!C124</f>
        <v>N/A</v>
      </c>
      <c r="S92" s="24"/>
      <c r="T92" s="24"/>
      <c r="U92" s="28" t="str">
        <f>'5.3-Unit N (Egg-5DOL)'!E124</f>
        <v>N/A</v>
      </c>
      <c r="V92" s="25" t="str">
        <f>'5.3-Unit N (Egg-5DOL)'!M124</f>
        <v/>
      </c>
      <c r="W92" s="26"/>
      <c r="AB92" s="365" t="str">
        <f>'5.3-Unit N (17DOL-Egg)'!C124</f>
        <v>Mobile Larvero frame</v>
      </c>
      <c r="AC92" s="24"/>
      <c r="AD92" s="24"/>
      <c r="AE92" s="28">
        <f>'5.3-Unit N (17DOL-Egg)'!E124</f>
        <v>12</v>
      </c>
      <c r="AF92" s="27">
        <f>'5.3-Unit N (17DOL-Egg)'!M124</f>
        <v>1</v>
      </c>
      <c r="AG92" s="26"/>
    </row>
    <row r="93" spans="18:33">
      <c r="R93" s="365" t="str">
        <f>'5.3-Unit N (Egg-5DOL)'!C125</f>
        <v>N/A</v>
      </c>
      <c r="S93" s="24"/>
      <c r="T93" s="24"/>
      <c r="U93" s="28" t="str">
        <f>'5.3-Unit N (Egg-5DOL)'!E125</f>
        <v>N/A</v>
      </c>
      <c r="V93" s="25" t="str">
        <f>'5.3-Unit N (Egg-5DOL)'!M125</f>
        <v/>
      </c>
      <c r="W93" s="26"/>
      <c r="AB93" s="365" t="str">
        <f>'5.3-Unit N (17DOL-Egg)'!C125</f>
        <v>Measuring balance (nursery)</v>
      </c>
      <c r="AC93" s="24"/>
      <c r="AD93" s="24"/>
      <c r="AE93" s="28">
        <f>'5.3-Unit N (17DOL-Egg)'!E125</f>
        <v>3</v>
      </c>
      <c r="AF93" s="27">
        <f>'5.3-Unit N (17DOL-Egg)'!M125</f>
        <v>0.1</v>
      </c>
      <c r="AG93" s="26"/>
    </row>
    <row r="94" spans="18:33">
      <c r="R94" s="365" t="str">
        <f>'5.3-Unit N (Egg-5DOL)'!C126</f>
        <v>N/A</v>
      </c>
      <c r="S94" s="24"/>
      <c r="T94" s="24"/>
      <c r="U94" s="28" t="str">
        <f>'5.3-Unit N (Egg-5DOL)'!E126</f>
        <v>N/A</v>
      </c>
      <c r="V94" s="25" t="str">
        <f>'5.3-Unit N (Egg-5DOL)'!M126</f>
        <v/>
      </c>
      <c r="W94" s="26"/>
      <c r="AB94" s="365" t="str">
        <f>'5.3-Unit N (17DOL-Egg)'!C126</f>
        <v>Precision balance (lab)</v>
      </c>
      <c r="AC94" s="24"/>
      <c r="AD94" s="24"/>
      <c r="AE94" s="28">
        <f>'5.3-Unit N (17DOL-Egg)'!E126</f>
        <v>3</v>
      </c>
      <c r="AF94" s="27">
        <f>'5.3-Unit N (17DOL-Egg)'!M126</f>
        <v>0.5</v>
      </c>
      <c r="AG94" s="26"/>
    </row>
    <row r="95" spans="18:33">
      <c r="R95" s="365" t="str">
        <f>'5.3-Unit N (Egg-5DOL)'!C127</f>
        <v>N/A</v>
      </c>
      <c r="S95" s="24"/>
      <c r="T95" s="24"/>
      <c r="U95" s="28" t="str">
        <f>'5.3-Unit N (Egg-5DOL)'!E127</f>
        <v>N/A</v>
      </c>
      <c r="V95" s="25" t="str">
        <f>'5.3-Unit N (Egg-5DOL)'!M127</f>
        <v/>
      </c>
      <c r="W95" s="26"/>
      <c r="AB95" s="365" t="str">
        <f>'5.3-Unit N (17DOL-Egg)'!C127</f>
        <v>Washing machine</v>
      </c>
      <c r="AC95" s="24"/>
      <c r="AD95" s="24"/>
      <c r="AE95" s="28">
        <f>'5.3-Unit N (17DOL-Egg)'!E127</f>
        <v>2</v>
      </c>
      <c r="AF95" s="27">
        <f>'5.3-Unit N (17DOL-Egg)'!M127</f>
        <v>1</v>
      </c>
      <c r="AG95" s="26"/>
    </row>
    <row r="96" spans="18:33">
      <c r="R96" s="365" t="str">
        <f>'5.3-Unit N (Egg-5DOL)'!C128</f>
        <v>N/A</v>
      </c>
      <c r="S96" s="24"/>
      <c r="T96" s="24"/>
      <c r="U96" s="28" t="str">
        <f>'5.3-Unit N (Egg-5DOL)'!E128</f>
        <v>N/A</v>
      </c>
      <c r="V96" s="25" t="str">
        <f>'5.3-Unit N (Egg-5DOL)'!M128</f>
        <v/>
      </c>
      <c r="W96" s="26"/>
      <c r="AB96" s="365" t="str">
        <f>'5.3-Unit N (17DOL-Egg)'!C128</f>
        <v>Mixer (compost)</v>
      </c>
      <c r="AC96" s="24"/>
      <c r="AD96" s="24"/>
      <c r="AE96" s="28">
        <f>'5.3-Unit N (17DOL-Egg)'!E128</f>
        <v>1</v>
      </c>
      <c r="AF96" s="27">
        <f>'5.3-Unit N (17DOL-Egg)'!M128</f>
        <v>0.5</v>
      </c>
      <c r="AG96" s="26"/>
    </row>
    <row r="97" spans="18:33">
      <c r="R97" s="365" t="str">
        <f>'5.3-Unit N (Egg-5DOL)'!C129</f>
        <v>N/A</v>
      </c>
      <c r="S97" s="24"/>
      <c r="T97" s="24"/>
      <c r="U97" s="28" t="str">
        <f>'5.3-Unit N (Egg-5DOL)'!E129</f>
        <v>N/A</v>
      </c>
      <c r="V97" s="25" t="str">
        <f>'5.3-Unit N (Egg-5DOL)'!M129</f>
        <v/>
      </c>
      <c r="W97" s="26"/>
      <c r="AB97" s="365" t="str">
        <f>'5.3-Unit N (17DOL-Egg)'!C129</f>
        <v>Blower</v>
      </c>
      <c r="AC97" s="24"/>
      <c r="AD97" s="24"/>
      <c r="AE97" s="28">
        <f>'5.3-Unit N (17DOL-Egg)'!E129</f>
        <v>19.898611111111109</v>
      </c>
      <c r="AF97" s="27">
        <f>'5.3-Unit N (17DOL-Egg)'!M129</f>
        <v>0.5</v>
      </c>
      <c r="AG97" s="26"/>
    </row>
    <row r="98" spans="18:33">
      <c r="R98" s="365" t="str">
        <f>'5.3-Unit N (Egg-5DOL)'!C130</f>
        <v>N/A</v>
      </c>
      <c r="S98" s="24"/>
      <c r="T98" s="24"/>
      <c r="U98" s="28" t="str">
        <f>'5.3-Unit N (Egg-5DOL)'!E130</f>
        <v>N/A</v>
      </c>
      <c r="V98" s="25" t="str">
        <f>'5.3-Unit N (Egg-5DOL)'!M130</f>
        <v/>
      </c>
      <c r="W98" s="26"/>
      <c r="AB98" s="365" t="str">
        <f>'5.3-Unit N (17DOL-Egg)'!C130</f>
        <v>N/A</v>
      </c>
      <c r="AC98" s="24"/>
      <c r="AD98" s="24"/>
      <c r="AE98" s="28" t="str">
        <f>'5.3-Unit N (17DOL-Egg)'!E130</f>
        <v>N/A</v>
      </c>
      <c r="AF98" s="27" t="str">
        <f>'5.3-Unit N (17DOL-Egg)'!M130</f>
        <v/>
      </c>
      <c r="AG98" s="26"/>
    </row>
    <row r="99" spans="18:33">
      <c r="R99" s="35" t="str">
        <f>'5.3-Unit N (Egg-5DOL)'!C131</f>
        <v>N/A</v>
      </c>
      <c r="S99" s="361"/>
      <c r="T99" s="361"/>
      <c r="U99" s="368" t="str">
        <f>'5.3-Unit N (Egg-5DOL)'!E131</f>
        <v>N/A</v>
      </c>
      <c r="V99" s="370" t="str">
        <f>'5.3-Unit N (Egg-5DOL)'!M131</f>
        <v/>
      </c>
      <c r="W99" s="367"/>
      <c r="AB99" s="35" t="str">
        <f>'5.3-Unit N (17DOL-Egg)'!C131</f>
        <v>N/A</v>
      </c>
      <c r="AC99" s="361"/>
      <c r="AD99" s="361"/>
      <c r="AE99" s="368" t="str">
        <f>'5.3-Unit N (17DOL-Egg)'!E131</f>
        <v>N/A</v>
      </c>
      <c r="AF99" s="369" t="str">
        <f>'5.3-Unit N (17DOL-Egg)'!M131</f>
        <v/>
      </c>
      <c r="AG99" s="367"/>
    </row>
  </sheetData>
  <sheetProtection algorithmName="SHA-512" hashValue="Qv5uwVTlRiABoNsUCoET4Z8lRv906Bk5DhTa+v2EAvIJg/oraQ/9DzA8/h9SaHEyWzNhHM420/avaD7cQ3uPJA==" saltValue="hKD88k2/qg9hw1ORFjAn1g==" spinCount="100000" sheet="1" objects="1" scenario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79998168889431442"/>
  </sheetPr>
  <dimension ref="B1:AO128"/>
  <sheetViews>
    <sheetView zoomScale="85" zoomScaleNormal="85" workbookViewId="0">
      <selection activeCell="B13" sqref="B13"/>
    </sheetView>
  </sheetViews>
  <sheetFormatPr defaultColWidth="8.7109375" defaultRowHeight="15"/>
  <cols>
    <col min="1" max="1" width="1.5703125" style="6" customWidth="1"/>
    <col min="2" max="2" width="30" style="6" customWidth="1"/>
    <col min="3" max="3" width="13.42578125" style="6" customWidth="1"/>
    <col min="4" max="4" width="8.7109375" style="6"/>
    <col min="5" max="5" width="3.140625" style="6" customWidth="1"/>
    <col min="6" max="6" width="28.42578125" style="6" customWidth="1"/>
    <col min="7" max="7" width="20.7109375" style="6" customWidth="1"/>
    <col min="8" max="8" width="7.85546875" style="6" customWidth="1"/>
    <col min="9" max="9" width="3.28515625" style="6" customWidth="1"/>
    <col min="10" max="10" width="28" style="6" customWidth="1"/>
    <col min="11" max="11" width="21" style="6" customWidth="1"/>
    <col min="12" max="12" width="5.42578125" style="6" customWidth="1"/>
    <col min="13" max="13" width="3.7109375" style="6" customWidth="1"/>
    <col min="14" max="14" width="31.85546875" style="6" customWidth="1"/>
    <col min="15" max="15" width="11.42578125" style="6" customWidth="1"/>
    <col min="16" max="16" width="8.85546875" style="6" customWidth="1"/>
    <col min="17" max="19" width="8.7109375" style="6"/>
    <col min="20" max="20" width="12.140625" style="6" customWidth="1"/>
    <col min="21" max="16384" width="8.7109375" style="6"/>
  </cols>
  <sheetData>
    <row r="1" spans="2:32" ht="5.0999999999999996" customHeight="1"/>
    <row r="2" spans="2:32" ht="18.75">
      <c r="B2" s="883" t="s">
        <v>950</v>
      </c>
      <c r="C2" s="883"/>
      <c r="D2" s="883"/>
      <c r="E2" s="883"/>
      <c r="F2" s="883"/>
      <c r="G2" s="883"/>
      <c r="H2" s="883"/>
      <c r="I2" s="883"/>
      <c r="J2" s="883"/>
      <c r="K2" s="883"/>
      <c r="L2" s="883"/>
      <c r="M2" s="883"/>
      <c r="N2" s="883"/>
      <c r="O2" s="883"/>
      <c r="P2" s="883"/>
    </row>
    <row r="3" spans="2:32" s="343" customFormat="1">
      <c r="B3" s="320"/>
    </row>
    <row r="4" spans="2:32" s="352" customFormat="1" ht="15.75">
      <c r="B4" s="884" t="s">
        <v>948</v>
      </c>
      <c r="C4" s="884"/>
      <c r="D4" s="884"/>
      <c r="F4" s="884" t="s">
        <v>960</v>
      </c>
      <c r="G4" s="884"/>
      <c r="H4" s="884"/>
      <c r="J4" s="884" t="s">
        <v>951</v>
      </c>
      <c r="K4" s="884"/>
      <c r="L4" s="884"/>
      <c r="N4" s="884" t="s">
        <v>952</v>
      </c>
      <c r="O4" s="884"/>
      <c r="P4" s="884"/>
    </row>
    <row r="5" spans="2:32">
      <c r="B5" s="320"/>
      <c r="F5" s="320"/>
      <c r="G5" s="320"/>
    </row>
    <row r="6" spans="2:32">
      <c r="B6" s="320" t="s">
        <v>145</v>
      </c>
      <c r="C6" s="320" t="s">
        <v>798</v>
      </c>
      <c r="D6" s="320" t="s">
        <v>78</v>
      </c>
      <c r="F6" s="320" t="s">
        <v>145</v>
      </c>
      <c r="G6" s="320" t="s">
        <v>798</v>
      </c>
      <c r="H6" s="320" t="s">
        <v>78</v>
      </c>
      <c r="J6" s="320" t="s">
        <v>145</v>
      </c>
      <c r="K6" s="320" t="s">
        <v>798</v>
      </c>
      <c r="L6" s="320" t="s">
        <v>78</v>
      </c>
      <c r="N6" s="320" t="s">
        <v>145</v>
      </c>
      <c r="O6" s="320" t="s">
        <v>798</v>
      </c>
      <c r="P6" s="320" t="s">
        <v>78</v>
      </c>
    </row>
    <row r="7" spans="2:32">
      <c r="B7" s="226" t="s">
        <v>962</v>
      </c>
      <c r="C7" s="158">
        <f>'1.0-General input'!E14</f>
        <v>5</v>
      </c>
      <c r="D7" s="12" t="s">
        <v>868</v>
      </c>
      <c r="F7" s="12" t="s">
        <v>957</v>
      </c>
      <c r="G7" s="274">
        <f>'5.1-Financial Analysis'!C19</f>
        <v>66321.39499999999</v>
      </c>
      <c r="H7" s="12"/>
      <c r="J7" s="12" t="s">
        <v>92</v>
      </c>
      <c r="K7" s="121">
        <f>'5.1-Financial Analysis'!D114</f>
        <v>306314.94807867077</v>
      </c>
      <c r="L7" s="12"/>
      <c r="N7" s="12" t="s">
        <v>95</v>
      </c>
      <c r="O7" s="268">
        <f>'5.1-Financial Analysis'!D123</f>
        <v>0.71689228765755864</v>
      </c>
      <c r="P7" s="12"/>
    </row>
    <row r="8" spans="2:32">
      <c r="B8" s="12"/>
      <c r="C8" s="158">
        <f>'1.0-General input'!E15</f>
        <v>1825</v>
      </c>
      <c r="D8" s="12" t="s">
        <v>865</v>
      </c>
      <c r="F8" s="12"/>
      <c r="G8" s="274">
        <f>G7/C8</f>
        <v>36.3404904109589</v>
      </c>
      <c r="H8" s="12" t="s">
        <v>641</v>
      </c>
      <c r="J8" s="12" t="s">
        <v>909</v>
      </c>
      <c r="K8" s="121">
        <f>'5.1-Financial Analysis'!D115</f>
        <v>86720.124206846172</v>
      </c>
      <c r="L8" s="12"/>
      <c r="N8" s="12" t="s">
        <v>161</v>
      </c>
      <c r="O8" s="268">
        <f>'5.1-Financial Analysis'!D125</f>
        <v>0.71943265367042941</v>
      </c>
      <c r="P8" s="12"/>
    </row>
    <row r="9" spans="2:32">
      <c r="B9" s="342" t="s">
        <v>910</v>
      </c>
      <c r="C9" s="294">
        <f>'4.1-Settings Database'!J21</f>
        <v>0.16840686988608591</v>
      </c>
      <c r="D9" s="12"/>
      <c r="F9" s="12" t="s">
        <v>958</v>
      </c>
      <c r="G9" s="274">
        <f>'5.1-Financial Analysis'!D33+'5.1-Financial Analysis'!D52+'5.1-Financial Analysis'!D85</f>
        <v>100505.2387901795</v>
      </c>
      <c r="H9" s="12"/>
      <c r="J9" s="12" t="s">
        <v>135</v>
      </c>
      <c r="K9" s="121">
        <f>'5.1-Financial Analysis'!D85</f>
        <v>13785.114583333332</v>
      </c>
      <c r="L9" s="12"/>
      <c r="N9" s="12" t="s">
        <v>955</v>
      </c>
      <c r="O9" s="268">
        <f>'5.1-Financial Analysis'!D124</f>
        <v>0.67188921265322388</v>
      </c>
      <c r="P9" s="12"/>
    </row>
    <row r="10" spans="2:32">
      <c r="B10" s="342" t="s">
        <v>911</v>
      </c>
      <c r="C10" s="294">
        <f>'4.1-Settings Database'!J22</f>
        <v>0.4</v>
      </c>
      <c r="D10" s="12"/>
      <c r="F10" s="12"/>
      <c r="G10" s="274">
        <f>G9/C8</f>
        <v>55.071363720646303</v>
      </c>
      <c r="H10" s="12" t="s">
        <v>641</v>
      </c>
      <c r="J10" s="12" t="s">
        <v>93</v>
      </c>
      <c r="K10" s="121">
        <f>'5.1-Financial Analysis'!D116</f>
        <v>219594.8238718246</v>
      </c>
      <c r="L10" s="12"/>
      <c r="N10" s="12" t="s">
        <v>956</v>
      </c>
      <c r="O10" s="268">
        <f>'5.1-Financial Analysis'!D126</f>
        <v>0.51152609900163659</v>
      </c>
      <c r="P10" s="12"/>
    </row>
    <row r="11" spans="2:32">
      <c r="B11" s="12" t="s">
        <v>947</v>
      </c>
      <c r="C11" s="12">
        <f>'2.3-Staff input'!K3</f>
        <v>35</v>
      </c>
      <c r="D11" s="12"/>
      <c r="F11" s="12" t="s">
        <v>866</v>
      </c>
      <c r="G11" s="38">
        <f>'5.1-Financial Analysis'!C130</f>
        <v>0.33394570185932615</v>
      </c>
      <c r="H11" s="12" t="s">
        <v>800</v>
      </c>
      <c r="J11" s="12" t="s">
        <v>159</v>
      </c>
      <c r="K11" s="121">
        <f>'5.1-Financial Analysis'!D117</f>
        <v>220372.97595515792</v>
      </c>
      <c r="L11" s="12"/>
      <c r="N11" s="12" t="s">
        <v>673</v>
      </c>
      <c r="O11" s="268">
        <f>'5.1-Financial Analysis'!D127</f>
        <v>2.5322245082126917</v>
      </c>
      <c r="P11" s="12"/>
    </row>
    <row r="12" spans="2:32">
      <c r="B12" s="12" t="s">
        <v>949</v>
      </c>
      <c r="C12" s="183">
        <f>'5.3-Unit SG&amp;A'!D43</f>
        <v>932.88833333333343</v>
      </c>
      <c r="D12" s="12" t="s">
        <v>946</v>
      </c>
      <c r="F12" s="12" t="s">
        <v>867</v>
      </c>
      <c r="G12" s="38">
        <f>'5.1-Financial Analysis'!C131</f>
        <v>0.28588197651447578</v>
      </c>
      <c r="H12" s="12" t="s">
        <v>800</v>
      </c>
      <c r="J12" s="12" t="s">
        <v>157</v>
      </c>
      <c r="K12" s="121">
        <f>'5.1-Financial Analysis'!D118</f>
        <v>205809.70928849126</v>
      </c>
      <c r="L12" s="12"/>
      <c r="N12" s="12"/>
      <c r="O12" s="12"/>
      <c r="P12" s="12"/>
    </row>
    <row r="13" spans="2:32">
      <c r="B13" s="12"/>
      <c r="C13" s="12"/>
      <c r="D13" s="12"/>
      <c r="F13" s="12" t="s">
        <v>688</v>
      </c>
      <c r="G13" s="268">
        <f>'5.1-Financial Analysis'!C132</f>
        <v>2.9969890783943716</v>
      </c>
      <c r="H13" s="12"/>
      <c r="J13" s="12" t="s">
        <v>787</v>
      </c>
      <c r="K13" s="121">
        <f>'5.1-Financial Analysis'!D119</f>
        <v>45278.136043468076</v>
      </c>
      <c r="L13" s="12"/>
      <c r="N13" s="12"/>
      <c r="O13" s="12"/>
      <c r="P13" s="12"/>
      <c r="AD13" s="345"/>
      <c r="AE13" s="345"/>
      <c r="AF13" s="345"/>
    </row>
    <row r="14" spans="2:32">
      <c r="B14" s="182"/>
      <c r="C14" s="12"/>
      <c r="D14" s="12"/>
      <c r="E14" s="320"/>
      <c r="F14" s="226" t="s">
        <v>961</v>
      </c>
      <c r="G14" s="121">
        <f>'5.1-Financial Analysis'!C134</f>
        <v>734974.7191359729</v>
      </c>
      <c r="H14" s="12"/>
      <c r="J14" s="12" t="s">
        <v>788</v>
      </c>
      <c r="K14" s="121">
        <f>'5.1-Financial Analysis'!D120</f>
        <v>3843.4827884518509</v>
      </c>
      <c r="L14" s="12"/>
      <c r="N14" s="12"/>
      <c r="O14" s="24"/>
      <c r="P14" s="24"/>
      <c r="Q14" s="345"/>
      <c r="R14" s="345"/>
      <c r="AD14" s="345"/>
      <c r="AE14" s="317"/>
      <c r="AF14" s="345"/>
    </row>
    <row r="15" spans="2:32">
      <c r="B15" s="12"/>
      <c r="C15" s="12"/>
      <c r="D15" s="12"/>
      <c r="E15" s="320"/>
      <c r="F15" s="12"/>
      <c r="G15" s="12"/>
      <c r="H15" s="12"/>
      <c r="J15" s="12" t="s">
        <v>94</v>
      </c>
      <c r="K15" s="121">
        <f>'5.1-Financial Analysis'!D121</f>
        <v>156688.09045657131</v>
      </c>
      <c r="L15" s="12"/>
      <c r="M15" s="345"/>
      <c r="N15" s="24"/>
      <c r="O15" s="24"/>
      <c r="P15" s="24"/>
      <c r="Q15" s="345"/>
      <c r="R15" s="345"/>
      <c r="AD15" s="345"/>
      <c r="AE15" s="317"/>
      <c r="AF15" s="345"/>
    </row>
    <row r="16" spans="2:32">
      <c r="J16" s="344"/>
      <c r="K16" s="344"/>
      <c r="L16" s="345"/>
      <c r="M16" s="345"/>
      <c r="N16" s="345"/>
      <c r="O16" s="345"/>
      <c r="P16" s="345"/>
      <c r="Q16" s="345"/>
      <c r="R16" s="345"/>
      <c r="AD16" s="345"/>
      <c r="AE16" s="344"/>
      <c r="AF16" s="345"/>
    </row>
    <row r="17" spans="5:32">
      <c r="F17" s="6" t="str">
        <f>"Amount in "&amp;General_Currency_Selection</f>
        <v>Amount in USD</v>
      </c>
      <c r="J17" s="344"/>
      <c r="K17" s="345"/>
      <c r="L17" s="345"/>
      <c r="M17" s="345"/>
      <c r="N17" s="345"/>
      <c r="O17" s="345"/>
      <c r="P17" s="345"/>
      <c r="Q17" s="345"/>
      <c r="R17" s="345"/>
      <c r="AD17" s="345"/>
      <c r="AE17" s="344"/>
      <c r="AF17" s="345"/>
    </row>
    <row r="18" spans="5:32">
      <c r="J18" s="345"/>
      <c r="K18" s="345"/>
      <c r="L18" s="345"/>
      <c r="M18" s="345"/>
      <c r="N18" s="345"/>
      <c r="O18" s="345"/>
      <c r="P18" s="345"/>
      <c r="Q18" s="345"/>
      <c r="R18" s="345"/>
      <c r="AD18" s="345"/>
      <c r="AE18" s="345"/>
      <c r="AF18" s="345"/>
    </row>
    <row r="19" spans="5:32">
      <c r="J19" s="345"/>
      <c r="K19" s="345"/>
      <c r="L19" s="345"/>
      <c r="M19" s="345"/>
      <c r="N19" s="345"/>
      <c r="O19" s="345"/>
      <c r="P19" s="345"/>
      <c r="Q19" s="345"/>
      <c r="R19" s="345"/>
      <c r="AD19" s="345"/>
      <c r="AE19" s="345"/>
      <c r="AF19" s="345"/>
    </row>
    <row r="20" spans="5:32">
      <c r="J20" s="345"/>
      <c r="K20" s="345"/>
      <c r="L20" s="345"/>
      <c r="M20" s="345"/>
      <c r="N20" s="345"/>
      <c r="O20" s="345"/>
      <c r="P20" s="345"/>
      <c r="Q20" s="345"/>
      <c r="R20" s="345"/>
      <c r="AD20" s="345"/>
      <c r="AE20" s="345"/>
      <c r="AF20" s="345"/>
    </row>
    <row r="21" spans="5:32">
      <c r="J21" s="345"/>
      <c r="K21" s="345"/>
      <c r="L21" s="345"/>
      <c r="M21" s="345"/>
      <c r="N21" s="345"/>
      <c r="O21" s="345"/>
      <c r="P21" s="345"/>
      <c r="Q21" s="345"/>
      <c r="R21" s="345"/>
      <c r="AD21" s="345"/>
      <c r="AE21" s="345"/>
      <c r="AF21" s="345"/>
    </row>
    <row r="22" spans="5:32">
      <c r="J22" s="345"/>
      <c r="K22" s="345"/>
      <c r="L22" s="345"/>
      <c r="M22" s="345"/>
      <c r="N22" s="345"/>
      <c r="O22" s="345"/>
      <c r="P22" s="345"/>
      <c r="Q22" s="345"/>
      <c r="R22" s="345"/>
      <c r="AB22" s="346"/>
      <c r="AD22" s="345"/>
      <c r="AE22" s="345"/>
      <c r="AF22" s="345"/>
    </row>
    <row r="23" spans="5:32">
      <c r="J23" s="345"/>
      <c r="K23" s="345"/>
      <c r="L23" s="345"/>
      <c r="M23" s="345"/>
      <c r="N23" s="345"/>
      <c r="O23" s="345"/>
      <c r="P23" s="345"/>
      <c r="Q23" s="345"/>
      <c r="R23" s="345"/>
      <c r="AD23" s="345"/>
      <c r="AE23" s="345"/>
      <c r="AF23" s="345"/>
    </row>
    <row r="24" spans="5:32">
      <c r="F24" s="345"/>
      <c r="J24" s="345"/>
      <c r="K24" s="345"/>
      <c r="L24" s="345"/>
      <c r="M24" s="345"/>
      <c r="N24" s="345"/>
      <c r="O24" s="345"/>
      <c r="P24" s="345"/>
      <c r="Q24" s="345"/>
      <c r="R24" s="345"/>
      <c r="AD24" s="345"/>
      <c r="AE24" s="345"/>
      <c r="AF24" s="345"/>
    </row>
    <row r="25" spans="5:32">
      <c r="E25" s="320"/>
      <c r="J25" s="345"/>
      <c r="K25" s="345"/>
      <c r="L25" s="345"/>
      <c r="M25" s="345"/>
      <c r="N25" s="345"/>
      <c r="O25" s="345"/>
      <c r="P25" s="345"/>
      <c r="Q25" s="345"/>
      <c r="R25" s="345"/>
      <c r="T25" s="347"/>
    </row>
    <row r="26" spans="5:32">
      <c r="J26" s="345"/>
      <c r="K26" s="345"/>
      <c r="L26" s="345"/>
      <c r="M26" s="345"/>
      <c r="N26" s="345"/>
      <c r="O26" s="345"/>
      <c r="P26" s="345"/>
      <c r="Q26" s="345"/>
      <c r="R26" s="345"/>
      <c r="T26" s="347"/>
    </row>
    <row r="27" spans="5:32">
      <c r="J27" s="345"/>
      <c r="K27" s="345"/>
      <c r="L27" s="345"/>
      <c r="M27" s="345"/>
      <c r="N27" s="345"/>
      <c r="O27" s="345"/>
      <c r="P27" s="345"/>
      <c r="Q27" s="345"/>
      <c r="R27" s="345"/>
      <c r="T27" s="347"/>
    </row>
    <row r="28" spans="5:32">
      <c r="T28" s="347"/>
    </row>
    <row r="29" spans="5:32">
      <c r="T29" s="347"/>
    </row>
    <row r="30" spans="5:32">
      <c r="T30" s="347"/>
    </row>
    <row r="31" spans="5:32">
      <c r="T31" s="347"/>
    </row>
    <row r="32" spans="5:32">
      <c r="T32" s="347"/>
    </row>
    <row r="33" spans="2:34">
      <c r="T33" s="347"/>
    </row>
    <row r="34" spans="2:34">
      <c r="T34" s="347"/>
    </row>
    <row r="35" spans="2:34">
      <c r="T35" s="347"/>
    </row>
    <row r="36" spans="2:34">
      <c r="T36" s="347"/>
    </row>
    <row r="37" spans="2:34">
      <c r="E37" s="320"/>
      <c r="T37" s="347"/>
    </row>
    <row r="38" spans="2:34">
      <c r="T38" s="347"/>
    </row>
    <row r="39" spans="2:34">
      <c r="T39" s="347"/>
    </row>
    <row r="40" spans="2:34">
      <c r="T40" s="347"/>
    </row>
    <row r="41" spans="2:34">
      <c r="T41" s="347"/>
    </row>
    <row r="42" spans="2:34">
      <c r="T42" s="347"/>
    </row>
    <row r="43" spans="2:34">
      <c r="T43" s="347"/>
    </row>
    <row r="44" spans="2:34">
      <c r="F44" s="345"/>
      <c r="T44" s="347"/>
    </row>
    <row r="45" spans="2:34">
      <c r="F45" s="345"/>
    </row>
    <row r="46" spans="2:34">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row>
    <row r="47" spans="2:34">
      <c r="B47" s="317"/>
      <c r="C47" s="317"/>
      <c r="D47" s="317"/>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row>
    <row r="48" spans="2:34">
      <c r="B48" s="345"/>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c r="AE48" s="345"/>
      <c r="AF48" s="345"/>
      <c r="AG48" s="345"/>
      <c r="AH48" s="345"/>
    </row>
    <row r="49" spans="2:41">
      <c r="B49" s="317"/>
      <c r="C49" s="345"/>
      <c r="D49" s="345"/>
      <c r="E49" s="345"/>
      <c r="F49" s="345"/>
      <c r="G49" s="345"/>
      <c r="H49" s="345"/>
      <c r="I49" s="345"/>
      <c r="J49" s="345"/>
      <c r="K49" s="345"/>
      <c r="L49" s="345"/>
      <c r="M49" s="345"/>
      <c r="N49" s="345"/>
      <c r="O49" s="345"/>
      <c r="P49" s="317"/>
      <c r="Q49" s="345"/>
      <c r="R49" s="345"/>
      <c r="S49" s="345"/>
      <c r="T49" s="345"/>
      <c r="U49" s="345"/>
      <c r="V49" s="345"/>
      <c r="W49" s="345"/>
      <c r="X49" s="317"/>
      <c r="Y49" s="345"/>
      <c r="Z49" s="345"/>
      <c r="AA49" s="345"/>
      <c r="AB49" s="345"/>
      <c r="AC49" s="345"/>
      <c r="AD49" s="345"/>
      <c r="AE49" s="345"/>
      <c r="AF49" s="345"/>
      <c r="AG49" s="345"/>
      <c r="AH49" s="345"/>
      <c r="AO49" s="320"/>
    </row>
    <row r="50" spans="2:41">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row>
    <row r="51" spans="2:41">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c r="AG51" s="345"/>
      <c r="AH51" s="345"/>
    </row>
    <row r="52" spans="2:41">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row>
    <row r="53" spans="2:41">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row>
    <row r="54" spans="2:41">
      <c r="B54" s="345"/>
      <c r="C54" s="345"/>
      <c r="D54" s="345"/>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row>
    <row r="55" spans="2:41">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row>
    <row r="56" spans="2:41">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row>
    <row r="57" spans="2:41">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5"/>
      <c r="AH57" s="345"/>
    </row>
    <row r="58" spans="2:41">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5"/>
      <c r="AH58" s="345"/>
    </row>
    <row r="59" spans="2:41">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c r="AG59" s="345"/>
      <c r="AH59" s="345"/>
    </row>
    <row r="60" spans="2:41">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c r="AG60" s="345"/>
      <c r="AH60" s="345"/>
    </row>
    <row r="61" spans="2:41">
      <c r="B61" s="345"/>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c r="AG61" s="345"/>
      <c r="AH61" s="345"/>
    </row>
    <row r="62" spans="2:41" ht="15.75">
      <c r="B62" s="884" t="s">
        <v>959</v>
      </c>
      <c r="C62" s="884"/>
      <c r="D62" s="884"/>
      <c r="E62" s="884"/>
      <c r="F62" s="884"/>
      <c r="G62" s="884"/>
      <c r="H62" s="884"/>
      <c r="I62" s="884"/>
      <c r="J62" s="884"/>
      <c r="K62" s="884"/>
      <c r="L62" s="884"/>
      <c r="M62" s="884"/>
      <c r="N62" s="884"/>
      <c r="O62" s="884"/>
      <c r="P62" s="884"/>
      <c r="Q62" s="345"/>
      <c r="R62" s="345"/>
      <c r="S62" s="345"/>
      <c r="T62" s="345"/>
      <c r="U62" s="345"/>
      <c r="V62" s="345"/>
      <c r="W62" s="345"/>
      <c r="X62" s="345"/>
      <c r="Y62" s="345"/>
      <c r="Z62" s="345"/>
      <c r="AA62" s="345"/>
      <c r="AB62" s="345"/>
      <c r="AC62" s="345"/>
      <c r="AD62" s="345"/>
      <c r="AE62" s="345"/>
      <c r="AF62" s="345"/>
      <c r="AG62" s="345"/>
      <c r="AH62" s="345"/>
    </row>
    <row r="63" spans="2:41">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row>
    <row r="64" spans="2:41">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row>
    <row r="65" spans="2:34">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45"/>
      <c r="AG65" s="345"/>
      <c r="AH65" s="345"/>
    </row>
    <row r="66" spans="2:34">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row>
    <row r="67" spans="2:34">
      <c r="B67" s="317"/>
      <c r="C67" s="345"/>
      <c r="D67" s="345"/>
      <c r="E67" s="345"/>
      <c r="F67" s="345"/>
      <c r="G67" s="345"/>
      <c r="H67" s="345"/>
      <c r="I67" s="345"/>
      <c r="J67" s="345"/>
      <c r="K67" s="317"/>
      <c r="L67" s="345"/>
      <c r="M67" s="345"/>
      <c r="N67" s="345"/>
      <c r="O67" s="345"/>
      <c r="P67" s="345"/>
      <c r="Q67" s="345"/>
      <c r="R67" s="345"/>
      <c r="S67" s="345"/>
      <c r="T67" s="345"/>
      <c r="U67" s="317"/>
      <c r="V67" s="345"/>
      <c r="W67" s="345"/>
      <c r="X67" s="345"/>
      <c r="Y67" s="345"/>
      <c r="Z67" s="345"/>
      <c r="AA67" s="345"/>
      <c r="AB67" s="345"/>
      <c r="AC67" s="345"/>
      <c r="AD67" s="345"/>
      <c r="AE67" s="345"/>
      <c r="AF67" s="345"/>
      <c r="AG67" s="345"/>
      <c r="AH67" s="345"/>
    </row>
    <row r="68" spans="2:34">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5"/>
      <c r="AD68" s="345"/>
      <c r="AE68" s="345"/>
      <c r="AF68" s="345"/>
      <c r="AG68" s="345"/>
      <c r="AH68" s="345"/>
    </row>
    <row r="69" spans="2:34">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5"/>
      <c r="AH69" s="345"/>
    </row>
    <row r="70" spans="2:34">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c r="AA70" s="345"/>
      <c r="AB70" s="345"/>
      <c r="AC70" s="345"/>
      <c r="AD70" s="345"/>
      <c r="AE70" s="345"/>
      <c r="AF70" s="345"/>
      <c r="AG70" s="345"/>
      <c r="AH70" s="345"/>
    </row>
    <row r="71" spans="2:34">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45"/>
      <c r="AG71" s="345"/>
      <c r="AH71" s="345"/>
    </row>
    <row r="72" spans="2:34">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row>
    <row r="73" spans="2:34">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row>
    <row r="74" spans="2:34">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row>
    <row r="75" spans="2:34">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row>
    <row r="76" spans="2:34">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row>
    <row r="77" spans="2:34">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row>
    <row r="78" spans="2:34">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row>
    <row r="79" spans="2:34">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row>
    <row r="80" spans="2:34">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row>
    <row r="81" spans="2:34">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row>
    <row r="82" spans="2:34">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row>
    <row r="83" spans="2:34">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row>
    <row r="84" spans="2:34">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row>
    <row r="85" spans="2:34">
      <c r="B85" s="317"/>
      <c r="C85" s="345"/>
      <c r="D85" s="345"/>
      <c r="E85" s="345"/>
      <c r="F85" s="345"/>
      <c r="G85" s="345"/>
      <c r="H85" s="345"/>
      <c r="I85" s="348"/>
      <c r="J85" s="348"/>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row>
    <row r="86" spans="2:34">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row>
    <row r="87" spans="2:34">
      <c r="B87" s="349"/>
      <c r="C87" s="345"/>
      <c r="D87" s="345"/>
      <c r="E87" s="345"/>
      <c r="F87" s="345"/>
      <c r="G87" s="882"/>
      <c r="H87" s="882"/>
      <c r="I87" s="882"/>
      <c r="J87" s="882"/>
      <c r="K87" s="882"/>
      <c r="L87" s="348"/>
      <c r="M87" s="348"/>
      <c r="N87" s="345"/>
      <c r="O87" s="345"/>
      <c r="P87" s="345"/>
      <c r="Q87" s="345"/>
      <c r="R87" s="345"/>
      <c r="S87" s="345"/>
      <c r="T87" s="345"/>
      <c r="U87" s="345"/>
      <c r="V87" s="345"/>
      <c r="W87" s="345"/>
      <c r="X87" s="345"/>
      <c r="Y87" s="345"/>
      <c r="Z87" s="345"/>
      <c r="AA87" s="345"/>
      <c r="AB87" s="345"/>
      <c r="AC87" s="345"/>
      <c r="AD87" s="345"/>
      <c r="AE87" s="345"/>
      <c r="AF87" s="345"/>
      <c r="AG87" s="345"/>
      <c r="AH87" s="345"/>
    </row>
    <row r="88" spans="2:34">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row>
    <row r="89" spans="2:34">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row>
    <row r="90" spans="2:34">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row>
    <row r="91" spans="2:34">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row>
    <row r="92" spans="2:34">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row>
    <row r="93" spans="2:34">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row>
    <row r="94" spans="2:34">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row>
    <row r="95" spans="2:34">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row>
    <row r="96" spans="2:34">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row>
    <row r="97" spans="2:34">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row>
    <row r="98" spans="2:34">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row>
    <row r="99" spans="2:34">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row>
    <row r="100" spans="2:34">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row>
    <row r="101" spans="2:34">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row>
    <row r="102" spans="2:34">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row>
    <row r="103" spans="2:34">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row>
    <row r="104" spans="2:34">
      <c r="B104" s="345"/>
      <c r="C104" s="345"/>
      <c r="D104" s="345"/>
      <c r="E104" s="345"/>
      <c r="F104" s="345"/>
      <c r="G104" s="345"/>
      <c r="H104" s="350"/>
      <c r="I104" s="350"/>
      <c r="J104" s="345"/>
      <c r="K104" s="345"/>
      <c r="L104" s="345"/>
      <c r="M104" s="351"/>
      <c r="N104" s="351"/>
      <c r="O104" s="351"/>
      <c r="P104" s="345"/>
      <c r="Q104" s="345"/>
      <c r="R104" s="345"/>
      <c r="S104" s="345"/>
      <c r="T104" s="345"/>
      <c r="U104" s="345"/>
      <c r="V104" s="345"/>
      <c r="W104" s="345"/>
      <c r="X104" s="345"/>
      <c r="Y104" s="345"/>
      <c r="Z104" s="345"/>
      <c r="AA104" s="345"/>
      <c r="AB104" s="345"/>
      <c r="AC104" s="345"/>
      <c r="AD104" s="345"/>
      <c r="AE104" s="345"/>
      <c r="AF104" s="345"/>
      <c r="AG104" s="345"/>
      <c r="AH104" s="345"/>
    </row>
    <row r="105" spans="2:34">
      <c r="B105" s="345"/>
      <c r="C105" s="345"/>
      <c r="D105" s="345"/>
      <c r="E105" s="345"/>
      <c r="F105" s="345"/>
      <c r="G105" s="345"/>
      <c r="H105" s="350"/>
      <c r="I105" s="350"/>
      <c r="J105" s="345"/>
      <c r="K105" s="345"/>
      <c r="L105" s="345"/>
      <c r="M105" s="351"/>
      <c r="N105" s="351"/>
      <c r="O105" s="351"/>
      <c r="P105" s="345"/>
      <c r="Q105" s="345"/>
      <c r="R105" s="345"/>
      <c r="S105" s="345"/>
      <c r="T105" s="345"/>
      <c r="U105" s="345"/>
      <c r="V105" s="345"/>
      <c r="W105" s="345"/>
      <c r="X105" s="345"/>
      <c r="Y105" s="345"/>
      <c r="Z105" s="345"/>
      <c r="AA105" s="345"/>
      <c r="AB105" s="345"/>
      <c r="AC105" s="345"/>
      <c r="AD105" s="345"/>
      <c r="AE105" s="345"/>
      <c r="AF105" s="345"/>
      <c r="AG105" s="345"/>
      <c r="AH105" s="345"/>
    </row>
    <row r="106" spans="2:34" ht="30.95" customHeight="1">
      <c r="B106" s="881" t="s">
        <v>1003</v>
      </c>
      <c r="C106" s="881"/>
      <c r="D106" s="881"/>
      <c r="E106" s="881"/>
      <c r="F106" s="881"/>
      <c r="G106" s="881"/>
      <c r="H106" s="881"/>
      <c r="I106" s="881"/>
      <c r="J106" s="881"/>
      <c r="K106" s="881"/>
      <c r="L106" s="881"/>
      <c r="M106" s="881"/>
      <c r="N106" s="881"/>
      <c r="O106" s="881"/>
      <c r="P106" s="881"/>
      <c r="Q106" s="345"/>
      <c r="R106" s="345"/>
      <c r="S106" s="345"/>
      <c r="T106" s="345"/>
      <c r="U106" s="345"/>
      <c r="V106" s="345"/>
      <c r="W106" s="345"/>
      <c r="X106" s="345"/>
      <c r="Y106" s="345"/>
      <c r="Z106" s="345"/>
      <c r="AA106" s="345"/>
      <c r="AB106" s="345"/>
      <c r="AC106" s="345"/>
      <c r="AD106" s="345"/>
      <c r="AE106" s="345"/>
      <c r="AF106" s="345"/>
      <c r="AG106" s="345"/>
      <c r="AH106" s="345"/>
    </row>
    <row r="107" spans="2:34">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row>
    <row r="108" spans="2:34">
      <c r="J108" s="6" t="str">
        <f>"NPV in "&amp;General_Currency_Selection</f>
        <v>NPV in USD</v>
      </c>
    </row>
    <row r="128" spans="3:3">
      <c r="C128" s="488"/>
    </row>
  </sheetData>
  <sheetProtection algorithmName="SHA-512" hashValue="xd+09j2QDuH+AH8j8iua46bB7LYoKfRxkDtmFnnSxI5S8yNXui/kwnmheE16Hq3qNxc1BzBzHwDwQuBaMB0gJA==" saltValue="Zyi98LR+lUwhajmnf3y7pg==" spinCount="100000" sheet="1" objects="1" scenarios="1"/>
  <mergeCells count="8">
    <mergeCell ref="B106:P106"/>
    <mergeCell ref="G87:K87"/>
    <mergeCell ref="B2:P2"/>
    <mergeCell ref="B4:D4"/>
    <mergeCell ref="F4:H4"/>
    <mergeCell ref="J4:L4"/>
    <mergeCell ref="N4:P4"/>
    <mergeCell ref="B62:P62"/>
  </mergeCells>
  <conditionalFormatting sqref="G7 K7:K8 K10:K15 T25:T44">
    <cfRule type="expression" dxfId="925" priority="33">
      <formula>IF(INDIRECT("General_Currency_Selection")="CHF",TRUE)</formula>
    </cfRule>
    <cfRule type="expression" dxfId="924" priority="34">
      <formula>IF(INDIRECT("General_Currency_Selection")="EUR",TRUE)</formula>
    </cfRule>
    <cfRule type="expression" dxfId="923" priority="35">
      <formula>IF(INDIRECT("General_Currency_Selection")="USD",TRUE)</formula>
    </cfRule>
  </conditionalFormatting>
  <conditionalFormatting sqref="K9">
    <cfRule type="expression" dxfId="922" priority="15">
      <formula>IF(INDIRECT("General_Currency_Selection")="CHF",TRUE)</formula>
    </cfRule>
    <cfRule type="expression" dxfId="921" priority="16">
      <formula>IF(INDIRECT("General_Currency_Selection")="EUR",TRUE)</formula>
    </cfRule>
    <cfRule type="expression" dxfId="920" priority="17">
      <formula>IF(INDIRECT("General_Currency_Selection")="USD",TRUE)</formula>
    </cfRule>
  </conditionalFormatting>
  <conditionalFormatting sqref="G9">
    <cfRule type="expression" dxfId="919" priority="12">
      <formula>IF(INDIRECT("General_Currency_Selection")="CHF",TRUE)</formula>
    </cfRule>
    <cfRule type="expression" dxfId="918" priority="13">
      <formula>IF(INDIRECT("General_Currency_Selection")="EUR",TRUE)</formula>
    </cfRule>
    <cfRule type="expression" dxfId="917" priority="14">
      <formula>IF(INDIRECT("General_Currency_Selection")="USD",TRUE)</formula>
    </cfRule>
  </conditionalFormatting>
  <conditionalFormatting sqref="G10">
    <cfRule type="expression" dxfId="916" priority="9">
      <formula>IF(INDIRECT("General_Currency_Selection")="CHF",TRUE)</formula>
    </cfRule>
    <cfRule type="expression" dxfId="915" priority="10">
      <formula>IF(INDIRECT("General_Currency_Selection")="EUR",TRUE)</formula>
    </cfRule>
    <cfRule type="expression" dxfId="914" priority="11">
      <formula>IF(INDIRECT("General_Currency_Selection")="USD",TRUE)</formula>
    </cfRule>
  </conditionalFormatting>
  <conditionalFormatting sqref="G8">
    <cfRule type="expression" dxfId="913" priority="6">
      <formula>IF(INDIRECT("General_Currency_Selection")="CHF",TRUE)</formula>
    </cfRule>
    <cfRule type="expression" dxfId="912" priority="7">
      <formula>IF(INDIRECT("General_Currency_Selection")="EUR",TRUE)</formula>
    </cfRule>
    <cfRule type="expression" dxfId="911" priority="8">
      <formula>IF(INDIRECT("General_Currency_Selection")="USD",TRUE)</formula>
    </cfRule>
  </conditionalFormatting>
  <conditionalFormatting sqref="G14">
    <cfRule type="expression" dxfId="910" priority="1">
      <formula>IF(INDIRECT("General_Currency_Selection")="CHF",TRUE)</formula>
    </cfRule>
    <cfRule type="expression" dxfId="909" priority="2">
      <formula>IF(INDIRECT("General_Currency_Selection")="EUR",TRUE)</formula>
    </cfRule>
    <cfRule type="expression" dxfId="908" priority="3">
      <formula>IF(INDIRECT("General_Currency_Selection")="USD",TRUE)</formula>
    </cfRule>
  </conditionalFormatting>
  <conditionalFormatting sqref="G14">
    <cfRule type="cellIs" dxfId="907" priority="5" operator="greaterThan">
      <formula>0</formula>
    </cfRule>
  </conditionalFormatting>
  <conditionalFormatting sqref="G14">
    <cfRule type="cellIs" dxfId="906" priority="4"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'1.0-General input'!$C$47:$C$61</xm:f>
          </x14:formula1>
          <xm:sqref>G87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B1:T66"/>
  <sheetViews>
    <sheetView topLeftCell="A16" zoomScaleNormal="100" workbookViewId="0">
      <selection activeCell="E50" sqref="E50"/>
    </sheetView>
  </sheetViews>
  <sheetFormatPr defaultColWidth="8.7109375" defaultRowHeight="15"/>
  <cols>
    <col min="1" max="1" width="0.85546875" style="505" customWidth="1"/>
    <col min="2" max="2" width="45.140625" style="505" bestFit="1" customWidth="1"/>
    <col min="3" max="3" width="52" style="505" customWidth="1"/>
    <col min="4" max="4" width="31" style="505" customWidth="1"/>
    <col min="5" max="5" width="20.42578125" style="505" bestFit="1" customWidth="1"/>
    <col min="6" max="6" width="22.5703125" style="505" customWidth="1"/>
    <col min="7" max="7" width="27.85546875" style="505" customWidth="1"/>
    <col min="8" max="8" width="42.85546875" style="505" bestFit="1" customWidth="1"/>
    <col min="9" max="9" width="25" style="505" customWidth="1"/>
    <col min="10" max="10" width="24.85546875" style="505" customWidth="1"/>
    <col min="11" max="11" width="16.140625" style="505" bestFit="1" customWidth="1"/>
    <col min="12" max="12" width="50.140625" style="505" bestFit="1" customWidth="1"/>
    <col min="13" max="13" width="17.7109375" style="505" customWidth="1"/>
    <col min="14" max="14" width="53.85546875" style="505" bestFit="1" customWidth="1"/>
    <col min="15" max="15" width="19.28515625" style="505" customWidth="1"/>
    <col min="16" max="16" width="28.5703125" style="505" customWidth="1"/>
    <col min="17" max="17" width="26.28515625" style="505" customWidth="1"/>
    <col min="18" max="18" width="21.42578125" style="505" customWidth="1"/>
    <col min="19" max="19" width="16.42578125" style="505" customWidth="1"/>
    <col min="20" max="20" width="20.28515625" style="505" customWidth="1"/>
    <col min="21" max="16384" width="8.7109375" style="505"/>
  </cols>
  <sheetData>
    <row r="1" spans="2:15" ht="5.0999999999999996" customHeight="1">
      <c r="B1" s="504"/>
      <c r="C1" s="504"/>
      <c r="D1" s="504"/>
      <c r="E1" s="504"/>
      <c r="F1" s="504"/>
      <c r="G1" s="504"/>
    </row>
    <row r="2" spans="2:15" ht="18.75">
      <c r="B2" s="506" t="s">
        <v>170</v>
      </c>
      <c r="C2" s="506"/>
      <c r="D2" s="506"/>
      <c r="E2" s="506"/>
      <c r="F2" s="506"/>
      <c r="G2" s="506"/>
      <c r="H2" s="506"/>
      <c r="I2" s="506"/>
      <c r="J2" s="506"/>
      <c r="K2" s="506"/>
      <c r="L2" s="506"/>
      <c r="M2" s="506"/>
      <c r="N2" s="506"/>
      <c r="O2" s="506"/>
    </row>
    <row r="3" spans="2:15">
      <c r="C3" s="504"/>
      <c r="D3" s="504"/>
      <c r="E3" s="504"/>
      <c r="F3" s="504"/>
      <c r="G3" s="504"/>
    </row>
    <row r="4" spans="2:15">
      <c r="B4" s="505" t="s">
        <v>1084</v>
      </c>
      <c r="C4" s="504"/>
      <c r="D4" s="504"/>
      <c r="E4" s="504"/>
      <c r="F4" s="504"/>
      <c r="G4" s="504"/>
    </row>
    <row r="5" spans="2:15" s="504" customFormat="1">
      <c r="B5" s="505" t="s">
        <v>1085</v>
      </c>
    </row>
    <row r="6" spans="2:15" s="504" customFormat="1">
      <c r="B6" s="505" t="s">
        <v>1037</v>
      </c>
    </row>
    <row r="7" spans="2:15" ht="15.75" thickBot="1">
      <c r="C7" s="504"/>
      <c r="D7" s="504"/>
      <c r="E7" s="504"/>
      <c r="F7" s="504"/>
      <c r="G7" s="504"/>
    </row>
    <row r="8" spans="2:15" ht="16.5" thickBot="1">
      <c r="B8" s="507" t="s">
        <v>552</v>
      </c>
      <c r="C8" s="633" t="s">
        <v>1078</v>
      </c>
      <c r="D8" s="504"/>
      <c r="E8" s="504"/>
      <c r="F8" s="508"/>
      <c r="G8" s="504"/>
      <c r="H8" s="509"/>
    </row>
    <row r="9" spans="2:15" ht="15.75" thickBot="1">
      <c r="C9" s="504"/>
      <c r="D9" s="504"/>
      <c r="E9" s="504"/>
      <c r="F9" s="504"/>
      <c r="G9" s="504"/>
      <c r="L9" s="504"/>
      <c r="M9" s="504"/>
      <c r="N9" s="504"/>
      <c r="O9" s="504"/>
    </row>
    <row r="10" spans="2:15" ht="18.600000000000001" customHeight="1">
      <c r="B10" s="893" t="s">
        <v>274</v>
      </c>
      <c r="C10" s="510"/>
      <c r="D10" s="511" t="s">
        <v>1078</v>
      </c>
      <c r="E10" s="512" t="s">
        <v>548</v>
      </c>
      <c r="F10" s="513"/>
      <c r="G10" s="514" t="s">
        <v>553</v>
      </c>
      <c r="H10" s="515"/>
      <c r="I10" s="515"/>
      <c r="J10" s="516"/>
      <c r="L10" s="885" t="s">
        <v>796</v>
      </c>
      <c r="M10" s="885"/>
      <c r="N10" s="504"/>
      <c r="O10" s="504"/>
    </row>
    <row r="11" spans="2:15" ht="14.45" customHeight="1">
      <c r="B11" s="894"/>
      <c r="C11" s="517" t="s">
        <v>549</v>
      </c>
      <c r="D11" s="518" t="s">
        <v>1083</v>
      </c>
      <c r="E11" s="634"/>
      <c r="F11" s="519"/>
      <c r="G11" s="520"/>
      <c r="H11" s="504"/>
      <c r="I11" s="504"/>
      <c r="J11" s="521"/>
      <c r="L11" s="522" t="s">
        <v>735</v>
      </c>
      <c r="M11" s="523">
        <f>J18*M20*1000/Staff_Days_Operation</f>
        <v>6517000</v>
      </c>
      <c r="N11" s="524"/>
      <c r="O11" s="504"/>
    </row>
    <row r="12" spans="2:15" ht="14.45" customHeight="1">
      <c r="B12" s="894"/>
      <c r="C12" s="517" t="s">
        <v>914</v>
      </c>
      <c r="D12" s="525">
        <v>0.25</v>
      </c>
      <c r="E12" s="635">
        <v>0.25</v>
      </c>
      <c r="F12" s="519"/>
      <c r="G12" s="520"/>
      <c r="H12" s="504"/>
      <c r="I12" s="504"/>
      <c r="J12" s="521"/>
      <c r="L12" s="522" t="s">
        <v>768</v>
      </c>
      <c r="M12" s="523">
        <f>M11/J29</f>
        <v>10861666.666666668</v>
      </c>
      <c r="N12" s="524"/>
      <c r="O12" s="504"/>
    </row>
    <row r="13" spans="2:15" ht="22.5" customHeight="1">
      <c r="B13" s="886" t="s">
        <v>206</v>
      </c>
      <c r="C13" s="517" t="s">
        <v>174</v>
      </c>
      <c r="D13" s="526">
        <v>0.95</v>
      </c>
      <c r="E13" s="636">
        <v>0.95</v>
      </c>
      <c r="F13" s="519"/>
      <c r="G13" s="888" t="s">
        <v>206</v>
      </c>
      <c r="H13" s="895" t="s">
        <v>174</v>
      </c>
      <c r="I13" s="895"/>
      <c r="J13" s="527">
        <f>INDEX('4.1-Settings Database'!$D$13:$E$44,MATCH(H13,$C$13:$C$44,0),MATCH('4.1-Settings Database'!$C$8,'4.1-Settings Database'!$D$10:$E$10,0))</f>
        <v>0.95</v>
      </c>
      <c r="L13" s="522" t="s">
        <v>733</v>
      </c>
      <c r="M13" s="523">
        <f>M12/J27</f>
        <v>43446.666666666672</v>
      </c>
      <c r="N13" s="528"/>
      <c r="O13" s="504"/>
    </row>
    <row r="14" spans="2:15">
      <c r="B14" s="886"/>
      <c r="C14" s="517" t="s">
        <v>175</v>
      </c>
      <c r="D14" s="526">
        <v>0.98</v>
      </c>
      <c r="E14" s="636">
        <v>0.98</v>
      </c>
      <c r="F14" s="519"/>
      <c r="G14" s="888"/>
      <c r="H14" s="895" t="s">
        <v>175</v>
      </c>
      <c r="I14" s="895"/>
      <c r="J14" s="527">
        <f>INDEX('4.1-Settings Database'!$D$13:$E$44,MATCH(H14,$C$13:$C$44,0),MATCH('4.1-Settings Database'!$C$8,'4.1-Settings Database'!$D$10:$E$10,0))</f>
        <v>0.98</v>
      </c>
      <c r="L14" s="522" t="s">
        <v>734</v>
      </c>
      <c r="M14" s="523">
        <f>M13/J25</f>
        <v>61192.488262910811</v>
      </c>
      <c r="N14" s="528"/>
      <c r="O14" s="504"/>
    </row>
    <row r="15" spans="2:15">
      <c r="B15" s="886"/>
      <c r="C15" s="517" t="s">
        <v>176</v>
      </c>
      <c r="D15" s="526">
        <v>1</v>
      </c>
      <c r="E15" s="636">
        <v>1</v>
      </c>
      <c r="F15" s="519"/>
      <c r="G15" s="888"/>
      <c r="H15" s="895" t="s">
        <v>176</v>
      </c>
      <c r="I15" s="895"/>
      <c r="J15" s="527">
        <f>INDEX('4.1-Settings Database'!$D$13:$E$44,MATCH(H15,$C$13:$C$44,0),MATCH('4.1-Settings Database'!$C$8,'4.1-Settings Database'!$D$10:$E$10,0))</f>
        <v>1</v>
      </c>
      <c r="L15" s="522" t="s">
        <v>736</v>
      </c>
      <c r="M15" s="523">
        <f>M14/J23</f>
        <v>67244.492596605283</v>
      </c>
      <c r="N15" s="528"/>
      <c r="O15" s="504"/>
    </row>
    <row r="16" spans="2:15" ht="15.75" customHeight="1">
      <c r="B16" s="886" t="s">
        <v>207</v>
      </c>
      <c r="C16" s="517" t="s">
        <v>885</v>
      </c>
      <c r="D16" s="529">
        <v>12</v>
      </c>
      <c r="E16" s="637">
        <v>12</v>
      </c>
      <c r="F16" s="519"/>
      <c r="G16" s="888" t="s">
        <v>207</v>
      </c>
      <c r="H16" s="895" t="s">
        <v>885</v>
      </c>
      <c r="I16" s="895"/>
      <c r="J16" s="530">
        <f>INDEX('4.1-Settings Database'!$D$13:$E$44,MATCH(H16,$C$13:$C$44,0),MATCH('4.1-Settings Database'!$C$8,'4.1-Settings Database'!$D$10:$E$10,0))</f>
        <v>12</v>
      </c>
      <c r="N16" s="531"/>
      <c r="O16" s="504"/>
    </row>
    <row r="17" spans="2:20" ht="30">
      <c r="B17" s="886"/>
      <c r="C17" s="517" t="s">
        <v>201</v>
      </c>
      <c r="D17" s="526">
        <v>0.8</v>
      </c>
      <c r="E17" s="638">
        <v>0.8</v>
      </c>
      <c r="F17" s="519"/>
      <c r="G17" s="888"/>
      <c r="H17" s="895" t="s">
        <v>201</v>
      </c>
      <c r="I17" s="895"/>
      <c r="J17" s="527">
        <f>INDEX('4.1-Settings Database'!$D$13:$E$44,MATCH(H17,$C$13:$C$44,0),MATCH('4.1-Settings Database'!$C$8,'4.1-Settings Database'!$D$10:$E$10,0))</f>
        <v>0.8</v>
      </c>
      <c r="L17" s="532"/>
      <c r="M17" s="533"/>
      <c r="N17" s="528"/>
      <c r="O17" s="504"/>
      <c r="P17" s="504"/>
      <c r="Q17" s="504"/>
      <c r="R17" s="504"/>
      <c r="S17" s="504"/>
      <c r="T17" s="504"/>
    </row>
    <row r="18" spans="2:20" ht="15" customHeight="1">
      <c r="B18" s="886"/>
      <c r="C18" s="517" t="s">
        <v>202</v>
      </c>
      <c r="D18" s="534">
        <v>1400</v>
      </c>
      <c r="E18" s="639">
        <v>1400</v>
      </c>
      <c r="F18" s="519"/>
      <c r="G18" s="888"/>
      <c r="H18" s="895" t="s">
        <v>202</v>
      </c>
      <c r="I18" s="895"/>
      <c r="J18" s="530">
        <f>INDEX('4.1-Settings Database'!$D$13:$E$44,MATCH(H18,$C$13:$C$44,0),MATCH('4.1-Settings Database'!$C$8,'4.1-Settings Database'!$D$10:$E$10,0))</f>
        <v>1400</v>
      </c>
      <c r="L18" s="896" t="s">
        <v>797</v>
      </c>
      <c r="M18" s="897"/>
      <c r="N18" s="897"/>
      <c r="O18" s="898"/>
      <c r="P18" s="504"/>
      <c r="Q18" s="504"/>
      <c r="R18" s="504"/>
      <c r="S18" s="504"/>
      <c r="T18" s="504"/>
    </row>
    <row r="19" spans="2:20">
      <c r="B19" s="886"/>
      <c r="C19" s="517" t="s">
        <v>204</v>
      </c>
      <c r="D19" s="535">
        <v>2.3188166049382094E-3</v>
      </c>
      <c r="E19" s="640">
        <v>2.3188166049382094E-3</v>
      </c>
      <c r="F19" s="519"/>
      <c r="G19" s="888"/>
      <c r="H19" s="895" t="s">
        <v>204</v>
      </c>
      <c r="I19" s="895"/>
      <c r="J19" s="536">
        <f>INDEX('4.1-Settings Database'!$D$13:$E$44,MATCH(H19,$C$13:$C$44,0),MATCH('4.1-Settings Database'!$C$8,'4.1-Settings Database'!$D$10:$E$10,0))</f>
        <v>2.3188166049382094E-3</v>
      </c>
      <c r="L19" s="537" t="s">
        <v>171</v>
      </c>
      <c r="M19" s="538">
        <f>'1.0-General input'!E15</f>
        <v>1825</v>
      </c>
      <c r="N19" s="539"/>
      <c r="O19" s="540"/>
      <c r="P19" s="504"/>
      <c r="Q19" s="504"/>
      <c r="R19" s="504"/>
      <c r="S19" s="504"/>
      <c r="T19" s="504"/>
    </row>
    <row r="20" spans="2:20" ht="15.75" thickBot="1">
      <c r="B20" s="886"/>
      <c r="C20" s="541" t="s">
        <v>203</v>
      </c>
      <c r="D20" s="542">
        <v>0.15326179744017801</v>
      </c>
      <c r="E20" s="641">
        <v>0.15326179744017801</v>
      </c>
      <c r="F20" s="519"/>
      <c r="G20" s="888"/>
      <c r="H20" s="895" t="s">
        <v>203</v>
      </c>
      <c r="I20" s="895"/>
      <c r="J20" s="536">
        <f>INDEX('4.1-Settings Database'!$D$13:$E$44,MATCH(H20,$C$13:$C$44,0),MATCH('4.1-Settings Database'!$C$8,'4.1-Settings Database'!$D$10:$E$10,0))</f>
        <v>0.15326179744017801</v>
      </c>
      <c r="L20" s="543" t="s">
        <v>258</v>
      </c>
      <c r="M20" s="538">
        <f>M19*J13*J14*J15</f>
        <v>1699.075</v>
      </c>
      <c r="N20" s="544"/>
      <c r="O20" s="545"/>
      <c r="P20" s="504"/>
      <c r="Q20" s="504"/>
      <c r="R20" s="504"/>
      <c r="S20" s="504"/>
      <c r="T20" s="504"/>
    </row>
    <row r="21" spans="2:20">
      <c r="B21" s="887"/>
      <c r="C21" s="546" t="s">
        <v>205</v>
      </c>
      <c r="D21" s="547">
        <f>(D18*D17*D20-D18*D19)/1000</f>
        <v>0.16840686988608591</v>
      </c>
      <c r="E21" s="548">
        <f>(E18*E17*E20-E18*E19)/1000</f>
        <v>0.16840686988608591</v>
      </c>
      <c r="F21" s="519"/>
      <c r="G21" s="888"/>
      <c r="H21" s="895" t="s">
        <v>205</v>
      </c>
      <c r="I21" s="895"/>
      <c r="J21" s="527">
        <f>INDEX('4.1-Settings Database'!$D$13:$E$44,MATCH(H21,$C$13:$C$44,0),MATCH('4.1-Settings Database'!$C$8,'4.1-Settings Database'!$D$10:$E$10,0))</f>
        <v>0.16840686988608591</v>
      </c>
      <c r="L21" s="549"/>
      <c r="M21" s="550" t="s">
        <v>166</v>
      </c>
      <c r="N21" s="551" t="s">
        <v>1021</v>
      </c>
      <c r="O21" s="552" t="s">
        <v>164</v>
      </c>
      <c r="P21" s="504"/>
      <c r="Q21" s="504"/>
      <c r="R21" s="504"/>
      <c r="S21" s="504"/>
      <c r="T21" s="504"/>
    </row>
    <row r="22" spans="2:20" ht="14.45" customHeight="1" thickBot="1">
      <c r="B22" s="887"/>
      <c r="C22" s="553" t="s">
        <v>177</v>
      </c>
      <c r="D22" s="554">
        <v>0.4</v>
      </c>
      <c r="E22" s="642">
        <v>0.4</v>
      </c>
      <c r="F22" s="519"/>
      <c r="G22" s="888"/>
      <c r="H22" s="895" t="s">
        <v>177</v>
      </c>
      <c r="I22" s="895"/>
      <c r="J22" s="527">
        <f>INDEX('4.1-Settings Database'!$D$13:$E$44,MATCH(H22,$C$13:$C$44,0),MATCH('4.1-Settings Database'!$C$8,'4.1-Settings Database'!$D$10:$E$10,0))</f>
        <v>0.4</v>
      </c>
      <c r="L22" s="555" t="s">
        <v>165</v>
      </c>
      <c r="M22" s="556">
        <f>M20*J18*J17*J20/1000</f>
        <v>291.65168310395092</v>
      </c>
      <c r="N22" s="557">
        <f>M15*Staff_Days_Operation*J20/1000/1000</f>
        <v>3.7616943082075913</v>
      </c>
      <c r="O22" s="558">
        <f>M22-N22</f>
        <v>287.88998879574331</v>
      </c>
      <c r="P22" s="504"/>
      <c r="Q22" s="504"/>
      <c r="R22" s="504"/>
      <c r="S22" s="504"/>
      <c r="T22" s="504"/>
    </row>
    <row r="23" spans="2:20" ht="14.45" customHeight="1">
      <c r="B23" s="886" t="s">
        <v>878</v>
      </c>
      <c r="C23" s="559" t="s">
        <v>162</v>
      </c>
      <c r="D23" s="560">
        <v>0.91</v>
      </c>
      <c r="E23" s="643">
        <v>0.91</v>
      </c>
      <c r="F23" s="519"/>
      <c r="G23" s="890" t="s">
        <v>878</v>
      </c>
      <c r="H23" s="895" t="s">
        <v>162</v>
      </c>
      <c r="I23" s="895"/>
      <c r="J23" s="527">
        <f>INDEX('4.1-Settings Database'!$D$13:$E$44,MATCH(H23,$C$13:$C$44,0),MATCH('4.1-Settings Database'!$C$8,'4.1-Settings Database'!$D$10:$E$10,0))</f>
        <v>0.91</v>
      </c>
      <c r="L23" s="555" t="s">
        <v>167</v>
      </c>
      <c r="M23" s="561">
        <f>N23</f>
        <v>0.11536719250000002</v>
      </c>
      <c r="N23" s="562">
        <f>M12*Staff_Days_Operation*J33/1000/1000</f>
        <v>0.11536719250000002</v>
      </c>
      <c r="O23" s="563"/>
      <c r="P23" s="504"/>
      <c r="Q23" s="504"/>
      <c r="R23" s="504"/>
      <c r="S23" s="504"/>
      <c r="T23" s="504"/>
    </row>
    <row r="24" spans="2:20">
      <c r="B24" s="886"/>
      <c r="C24" s="517" t="s">
        <v>763</v>
      </c>
      <c r="D24" s="564">
        <v>10</v>
      </c>
      <c r="E24" s="644">
        <v>10</v>
      </c>
      <c r="F24" s="519"/>
      <c r="G24" s="891"/>
      <c r="H24" s="895" t="s">
        <v>763</v>
      </c>
      <c r="I24" s="895"/>
      <c r="J24" s="530">
        <f>INDEX('4.1-Settings Database'!$D$13:$E$44,MATCH(H24,$C$13:$C$44,0),MATCH('4.1-Settings Database'!$C$8,'4.1-Settings Database'!$D$10:$E$10,0))</f>
        <v>10</v>
      </c>
      <c r="L24" s="555" t="s">
        <v>168</v>
      </c>
      <c r="M24" s="561">
        <f>N24</f>
        <v>5.5157806522495427</v>
      </c>
      <c r="N24" s="565">
        <f>M11*Staff_Days_Operation*J19/1000/1000</f>
        <v>5.5157806522495427</v>
      </c>
      <c r="O24" s="566"/>
      <c r="P24" s="504"/>
      <c r="Q24" s="567"/>
      <c r="R24" s="568"/>
      <c r="S24" s="569"/>
      <c r="T24" s="504"/>
    </row>
    <row r="25" spans="2:20" ht="14.45" customHeight="1">
      <c r="B25" s="886"/>
      <c r="C25" s="517" t="s">
        <v>163</v>
      </c>
      <c r="D25" s="570">
        <v>0.71</v>
      </c>
      <c r="E25" s="636">
        <v>0.71</v>
      </c>
      <c r="F25" s="519"/>
      <c r="G25" s="891"/>
      <c r="H25" s="895" t="s">
        <v>163</v>
      </c>
      <c r="I25" s="895"/>
      <c r="J25" s="527">
        <f>INDEX('4.1-Settings Database'!$D$13:$E$44,MATCH(H25,$C$13:$C$44,0),MATCH('4.1-Settings Database'!$C$8,'4.1-Settings Database'!$D$10:$E$10,0))</f>
        <v>0.71</v>
      </c>
      <c r="L25" s="555" t="s">
        <v>266</v>
      </c>
      <c r="M25" s="561">
        <f>M20*(1-J22)</f>
        <v>1019.4449999999999</v>
      </c>
      <c r="N25" s="571"/>
      <c r="O25" s="572"/>
      <c r="P25" s="504"/>
      <c r="Q25" s="573"/>
      <c r="R25" s="574"/>
      <c r="S25" s="504"/>
      <c r="T25" s="504"/>
    </row>
    <row r="26" spans="2:20" ht="14.45" customHeight="1">
      <c r="B26" s="886"/>
      <c r="C26" s="517" t="s">
        <v>764</v>
      </c>
      <c r="D26" s="564">
        <v>23</v>
      </c>
      <c r="E26" s="644">
        <v>23</v>
      </c>
      <c r="F26" s="519"/>
      <c r="G26" s="891"/>
      <c r="H26" s="895" t="s">
        <v>764</v>
      </c>
      <c r="I26" s="895"/>
      <c r="J26" s="530">
        <f>INDEX('4.1-Settings Database'!$D$13:$E$44,MATCH(H26,$C$13:$C$44,0),MATCH('4.1-Settings Database'!$C$8,'4.1-Settings Database'!$D$10:$E$10,0))</f>
        <v>23</v>
      </c>
      <c r="N26" s="504"/>
      <c r="P26" s="504"/>
      <c r="Q26" s="575"/>
      <c r="R26" s="574"/>
      <c r="S26" s="504"/>
      <c r="T26" s="504"/>
    </row>
    <row r="27" spans="2:20" ht="14.45" customHeight="1">
      <c r="B27" s="886"/>
      <c r="C27" s="517" t="s">
        <v>762</v>
      </c>
      <c r="D27" s="576">
        <v>250</v>
      </c>
      <c r="E27" s="644">
        <v>250</v>
      </c>
      <c r="F27" s="519"/>
      <c r="G27" s="891"/>
      <c r="H27" s="895" t="s">
        <v>762</v>
      </c>
      <c r="I27" s="895"/>
      <c r="J27" s="530">
        <f>INDEX('4.1-Settings Database'!$D$13:$E$44,MATCH(H27,$C$13:$C$44,0),MATCH('4.1-Settings Database'!$C$8,'4.1-Settings Database'!$D$10:$E$10,0))</f>
        <v>250</v>
      </c>
      <c r="N27" s="504"/>
      <c r="P27" s="504"/>
      <c r="Q27" s="577"/>
      <c r="R27" s="574"/>
      <c r="S27" s="504"/>
      <c r="T27" s="504"/>
    </row>
    <row r="28" spans="2:20">
      <c r="B28" s="886"/>
      <c r="C28" s="517" t="s">
        <v>765</v>
      </c>
      <c r="D28" s="564">
        <v>4</v>
      </c>
      <c r="E28" s="644">
        <v>4</v>
      </c>
      <c r="F28" s="519"/>
      <c r="G28" s="891"/>
      <c r="H28" s="895" t="s">
        <v>765</v>
      </c>
      <c r="I28" s="895"/>
      <c r="J28" s="530">
        <f>INDEX('4.1-Settings Database'!$D$13:$E$44,MATCH(H28,$C$13:$C$44,0),MATCH('4.1-Settings Database'!$C$8,'4.1-Settings Database'!$D$10:$E$10,0))</f>
        <v>4</v>
      </c>
      <c r="L28" s="578"/>
      <c r="M28" s="579"/>
      <c r="N28" s="504"/>
      <c r="O28" s="504"/>
      <c r="P28" s="504"/>
      <c r="Q28" s="504"/>
      <c r="R28" s="568"/>
      <c r="S28" s="504"/>
      <c r="T28" s="504"/>
    </row>
    <row r="29" spans="2:20" ht="14.45" customHeight="1">
      <c r="B29" s="886"/>
      <c r="C29" s="517" t="s">
        <v>173</v>
      </c>
      <c r="D29" s="570">
        <v>0.6</v>
      </c>
      <c r="E29" s="636">
        <v>0.6</v>
      </c>
      <c r="F29" s="519"/>
      <c r="G29" s="891"/>
      <c r="H29" s="895" t="s">
        <v>173</v>
      </c>
      <c r="I29" s="895"/>
      <c r="J29" s="527">
        <f>INDEX('4.1-Settings Database'!$D$13:$E$44,MATCH(H29,$C$13:$C$44,0),MATCH('4.1-Settings Database'!$C$8,'4.1-Settings Database'!$D$10:$E$10,0))</f>
        <v>0.6</v>
      </c>
      <c r="L29" s="578"/>
      <c r="M29" s="580"/>
      <c r="N29" s="504"/>
      <c r="O29" s="504"/>
      <c r="P29" s="504"/>
      <c r="Q29" s="504"/>
      <c r="R29" s="574"/>
      <c r="S29" s="504"/>
      <c r="T29" s="504"/>
    </row>
    <row r="30" spans="2:20">
      <c r="B30" s="886"/>
      <c r="C30" s="517" t="s">
        <v>766</v>
      </c>
      <c r="D30" s="564">
        <v>5</v>
      </c>
      <c r="E30" s="644">
        <v>5</v>
      </c>
      <c r="F30" s="519"/>
      <c r="G30" s="891"/>
      <c r="H30" s="895" t="s">
        <v>766</v>
      </c>
      <c r="I30" s="895"/>
      <c r="J30" s="530">
        <f>INDEX('4.1-Settings Database'!$D$13:$E$44,MATCH(H30,$C$13:$C$44,0),MATCH('4.1-Settings Database'!$C$8,'4.1-Settings Database'!$D$10:$E$10,0))</f>
        <v>5</v>
      </c>
      <c r="L30" s="578"/>
      <c r="M30" s="580"/>
      <c r="N30" s="504"/>
      <c r="O30" s="504"/>
      <c r="P30" s="504"/>
      <c r="Q30" s="504"/>
      <c r="R30" s="574"/>
      <c r="S30" s="504"/>
      <c r="T30" s="504"/>
    </row>
    <row r="31" spans="2:20">
      <c r="B31" s="886"/>
      <c r="C31" s="517" t="s">
        <v>208</v>
      </c>
      <c r="D31" s="564" t="s">
        <v>169</v>
      </c>
      <c r="E31" s="636" t="s">
        <v>169</v>
      </c>
      <c r="F31" s="524"/>
      <c r="G31" s="891"/>
      <c r="H31" s="895" t="s">
        <v>208</v>
      </c>
      <c r="I31" s="895"/>
      <c r="J31" s="527" t="str">
        <f>INDEX('4.1-Settings Database'!$D$13:$E$44,MATCH(H31,$C$13:$C$44,0),MATCH('4.1-Settings Database'!$C$8,'4.1-Settings Database'!$D$10:$E$10,0))</f>
        <v>n/a</v>
      </c>
      <c r="L31" s="504"/>
      <c r="M31" s="504"/>
      <c r="N31" s="504"/>
      <c r="O31" s="504"/>
      <c r="P31" s="504"/>
      <c r="Q31" s="504"/>
      <c r="R31" s="574"/>
      <c r="S31" s="504"/>
      <c r="T31" s="504"/>
    </row>
    <row r="32" spans="2:20" ht="16.5" customHeight="1">
      <c r="B32" s="886"/>
      <c r="C32" s="517" t="s">
        <v>767</v>
      </c>
      <c r="D32" s="581">
        <v>12</v>
      </c>
      <c r="E32" s="644">
        <v>12</v>
      </c>
      <c r="F32" s="582"/>
      <c r="G32" s="891"/>
      <c r="H32" s="895" t="s">
        <v>767</v>
      </c>
      <c r="I32" s="895"/>
      <c r="J32" s="530">
        <f>INDEX('4.1-Settings Database'!$D$13:$E$44,MATCH(H32,$C$13:$C$44,0),MATCH('4.1-Settings Database'!$C$8,'4.1-Settings Database'!$D$10:$E$10,0))</f>
        <v>12</v>
      </c>
      <c r="L32" s="578"/>
      <c r="M32" s="583"/>
      <c r="N32" s="584"/>
      <c r="O32" s="585"/>
      <c r="P32" s="504"/>
      <c r="Q32" s="504"/>
      <c r="R32" s="574"/>
      <c r="S32" s="504"/>
      <c r="T32" s="504"/>
    </row>
    <row r="33" spans="2:20">
      <c r="B33" s="886"/>
      <c r="C33" s="517" t="s">
        <v>209</v>
      </c>
      <c r="D33" s="535">
        <v>2.9099999999999999E-5</v>
      </c>
      <c r="E33" s="645">
        <v>2.9099999999999999E-5</v>
      </c>
      <c r="F33" s="582"/>
      <c r="G33" s="891"/>
      <c r="H33" s="895" t="s">
        <v>209</v>
      </c>
      <c r="I33" s="895"/>
      <c r="J33" s="536">
        <f>INDEX('4.1-Settings Database'!$D$13:$E$44,MATCH(H33,$C$13:$C$44,0),MATCH('4.1-Settings Database'!$C$8,'4.1-Settings Database'!$D$10:$E$10,0))</f>
        <v>2.9099999999999999E-5</v>
      </c>
      <c r="L33" s="578"/>
      <c r="M33" s="583"/>
      <c r="N33" s="584"/>
      <c r="O33" s="585"/>
      <c r="P33" s="504"/>
      <c r="Q33" s="504"/>
      <c r="R33" s="568"/>
      <c r="S33" s="504"/>
      <c r="T33" s="504"/>
    </row>
    <row r="34" spans="2:20">
      <c r="B34" s="886"/>
      <c r="C34" s="517" t="s">
        <v>210</v>
      </c>
      <c r="D34" s="564" t="s">
        <v>169</v>
      </c>
      <c r="E34" s="636" t="s">
        <v>169</v>
      </c>
      <c r="F34" s="582"/>
      <c r="G34" s="892"/>
      <c r="H34" s="895" t="s">
        <v>210</v>
      </c>
      <c r="I34" s="895"/>
      <c r="J34" s="527" t="str">
        <f>INDEX('4.1-Settings Database'!$D$13:$E$44,MATCH(H34,$C$13:$C$44,0),MATCH('4.1-Settings Database'!$C$8,'4.1-Settings Database'!$D$10:$E$10,0))</f>
        <v>n/a</v>
      </c>
      <c r="L34" s="578"/>
      <c r="M34" s="586"/>
      <c r="N34" s="585"/>
      <c r="O34" s="504"/>
      <c r="P34" s="504"/>
      <c r="Q34" s="504"/>
      <c r="R34" s="574"/>
      <c r="S34" s="504"/>
      <c r="T34" s="504"/>
    </row>
    <row r="35" spans="2:20" ht="22.5" customHeight="1">
      <c r="B35" s="886" t="s">
        <v>576</v>
      </c>
      <c r="C35" s="587" t="s">
        <v>575</v>
      </c>
      <c r="D35" s="588">
        <v>0.26</v>
      </c>
      <c r="E35" s="636">
        <v>0.26</v>
      </c>
      <c r="F35" s="582"/>
      <c r="G35" s="890" t="s">
        <v>576</v>
      </c>
      <c r="H35" s="895" t="s">
        <v>575</v>
      </c>
      <c r="I35" s="895"/>
      <c r="J35" s="527">
        <f>INDEX('4.1-Settings Database'!$D$13:$E$44,MATCH(H35,$C$13:$C$44,0),MATCH('4.1-Settings Database'!$C$8,'4.1-Settings Database'!$D$10:$E$10,0))</f>
        <v>0.26</v>
      </c>
      <c r="L35" s="578"/>
      <c r="M35" s="583"/>
      <c r="N35" s="589"/>
      <c r="O35" s="504"/>
      <c r="P35" s="504"/>
      <c r="Q35" s="504"/>
      <c r="R35" s="574"/>
      <c r="S35" s="504"/>
      <c r="T35" s="504"/>
    </row>
    <row r="36" spans="2:20" ht="24.6" customHeight="1">
      <c r="B36" s="886"/>
      <c r="C36" s="587" t="s">
        <v>571</v>
      </c>
      <c r="D36" s="588">
        <v>0.26</v>
      </c>
      <c r="E36" s="636">
        <v>0.26</v>
      </c>
      <c r="F36" s="582"/>
      <c r="G36" s="891"/>
      <c r="H36" s="895" t="s">
        <v>571</v>
      </c>
      <c r="I36" s="895"/>
      <c r="J36" s="527">
        <f>INDEX('4.1-Settings Database'!$D$13:$E$44,MATCH(H36,$C$13:$C$44,0),MATCH('4.1-Settings Database'!$C$8,'4.1-Settings Database'!$D$10:$E$10,0))</f>
        <v>0.26</v>
      </c>
      <c r="L36" s="578"/>
      <c r="M36" s="583"/>
      <c r="N36" s="590"/>
      <c r="O36" s="504"/>
      <c r="P36" s="504"/>
      <c r="Q36" s="504"/>
      <c r="R36" s="574"/>
      <c r="S36" s="504"/>
      <c r="T36" s="504"/>
    </row>
    <row r="37" spans="2:20">
      <c r="B37" s="886"/>
      <c r="C37" s="587" t="s">
        <v>572</v>
      </c>
      <c r="D37" s="591">
        <f>D40*D36</f>
        <v>0.17680000000000001</v>
      </c>
      <c r="E37" s="636">
        <v>0.17680000000000001</v>
      </c>
      <c r="F37" s="582"/>
      <c r="G37" s="891"/>
      <c r="H37" s="895" t="s">
        <v>572</v>
      </c>
      <c r="I37" s="895"/>
      <c r="J37" s="527">
        <f>INDEX('4.1-Settings Database'!$D$13:$E$44,MATCH(H37,$C$13:$C$44,0),MATCH('4.1-Settings Database'!$C$8,'4.1-Settings Database'!$D$10:$E$10,0))</f>
        <v>0.17680000000000001</v>
      </c>
      <c r="L37" s="578"/>
      <c r="M37" s="592"/>
      <c r="N37" s="504"/>
      <c r="O37" s="504"/>
      <c r="P37" s="504"/>
      <c r="Q37" s="504"/>
      <c r="R37" s="574"/>
      <c r="S37" s="504"/>
      <c r="T37" s="504"/>
    </row>
    <row r="38" spans="2:20">
      <c r="B38" s="886"/>
      <c r="C38" s="587" t="s">
        <v>573</v>
      </c>
      <c r="D38" s="588">
        <f>0.27*D36</f>
        <v>7.0200000000000012E-2</v>
      </c>
      <c r="E38" s="636">
        <v>7.0200000000000012E-2</v>
      </c>
      <c r="F38" s="582"/>
      <c r="G38" s="891"/>
      <c r="H38" s="895" t="s">
        <v>573</v>
      </c>
      <c r="I38" s="895"/>
      <c r="J38" s="527">
        <f>INDEX('4.1-Settings Database'!$D$13:$E$44,MATCH(H38,$C$13:$C$44,0),MATCH('4.1-Settings Database'!$C$8,'4.1-Settings Database'!$D$10:$E$10,0))</f>
        <v>7.0200000000000012E-2</v>
      </c>
      <c r="L38" s="578"/>
      <c r="M38" s="504"/>
      <c r="N38" s="504"/>
      <c r="O38" s="504"/>
      <c r="P38" s="504"/>
      <c r="Q38" s="504"/>
      <c r="R38" s="574"/>
      <c r="S38" s="504"/>
      <c r="T38" s="504"/>
    </row>
    <row r="39" spans="2:20">
      <c r="B39" s="886"/>
      <c r="C39" s="587" t="s">
        <v>574</v>
      </c>
      <c r="D39" s="591">
        <f>D37*0.98</f>
        <v>0.173264</v>
      </c>
      <c r="E39" s="636">
        <v>0.173264</v>
      </c>
      <c r="F39" s="582"/>
      <c r="G39" s="891"/>
      <c r="H39" s="895" t="s">
        <v>574</v>
      </c>
      <c r="I39" s="895"/>
      <c r="J39" s="527">
        <f>INDEX('4.1-Settings Database'!$D$13:$E$44,MATCH(H39,$C$13:$C$44,0),MATCH('4.1-Settings Database'!$C$8,'4.1-Settings Database'!$D$10:$E$10,0))</f>
        <v>0.173264</v>
      </c>
      <c r="L39" s="593"/>
      <c r="M39" s="504"/>
      <c r="N39" s="594"/>
      <c r="O39" s="594"/>
      <c r="P39" s="594"/>
      <c r="Q39" s="504"/>
      <c r="R39" s="574"/>
      <c r="S39" s="504"/>
      <c r="T39" s="504"/>
    </row>
    <row r="40" spans="2:20" ht="30" customHeight="1">
      <c r="B40" s="886"/>
      <c r="C40" s="595" t="s">
        <v>1036</v>
      </c>
      <c r="D40" s="591">
        <v>0.68</v>
      </c>
      <c r="E40" s="636">
        <v>0.68</v>
      </c>
      <c r="F40" s="582"/>
      <c r="G40" s="892"/>
      <c r="H40" s="895" t="s">
        <v>1036</v>
      </c>
      <c r="I40" s="895"/>
      <c r="J40" s="527">
        <f>INDEX('4.1-Settings Database'!$D$13:$E$40,MATCH(H40,$C$13:$C$40,0),MATCH('4.1-Settings Database'!$C$8,'4.1-Settings Database'!$D$10:$E$10,0))</f>
        <v>0.68</v>
      </c>
      <c r="L40" s="578"/>
      <c r="M40" s="596"/>
      <c r="N40" s="504"/>
      <c r="O40" s="585"/>
      <c r="P40" s="585"/>
      <c r="Q40" s="504"/>
      <c r="R40" s="574"/>
      <c r="S40" s="504"/>
      <c r="T40" s="504"/>
    </row>
    <row r="41" spans="2:20" ht="30.75" thickBot="1">
      <c r="B41" s="597" t="s">
        <v>880</v>
      </c>
      <c r="C41" s="598" t="s">
        <v>879</v>
      </c>
      <c r="D41" s="599">
        <v>0.30303030303030304</v>
      </c>
      <c r="E41" s="646">
        <v>0.30303030303030304</v>
      </c>
      <c r="F41" s="582"/>
      <c r="G41" s="600" t="s">
        <v>880</v>
      </c>
      <c r="H41" s="895" t="s">
        <v>879</v>
      </c>
      <c r="I41" s="895"/>
      <c r="J41" s="527">
        <f>INDEX('4.1-Settings Database'!$D$13:$E$44,MATCH(H41,$C$13:$C$44,0),MATCH('4.1-Settings Database'!$C$8,'4.1-Settings Database'!$D$10:$E$10,0))</f>
        <v>0.30303030303030304</v>
      </c>
      <c r="L41" s="504"/>
      <c r="M41" s="578"/>
      <c r="N41" s="578"/>
      <c r="O41" s="578"/>
      <c r="P41" s="578"/>
      <c r="Q41" s="578"/>
      <c r="R41" s="574"/>
      <c r="S41" s="504"/>
      <c r="T41" s="504"/>
    </row>
    <row r="42" spans="2:20">
      <c r="D42" s="601"/>
      <c r="E42" s="601"/>
      <c r="F42" s="582"/>
      <c r="L42" s="504"/>
      <c r="M42" s="594"/>
      <c r="N42" s="602"/>
      <c r="O42" s="602"/>
      <c r="P42" s="602"/>
      <c r="Q42" s="596"/>
      <c r="R42" s="574"/>
      <c r="S42" s="504"/>
      <c r="T42" s="504"/>
    </row>
    <row r="43" spans="2:20">
      <c r="D43" s="601"/>
      <c r="E43" s="601"/>
      <c r="F43" s="582"/>
      <c r="L43" s="504"/>
      <c r="M43" s="594"/>
      <c r="N43" s="602"/>
      <c r="O43" s="602"/>
      <c r="P43" s="602"/>
      <c r="Q43" s="596"/>
      <c r="R43" s="574"/>
      <c r="S43" s="504"/>
      <c r="T43" s="504"/>
    </row>
    <row r="44" spans="2:20">
      <c r="B44" s="603"/>
      <c r="C44" s="532"/>
      <c r="D44" s="604"/>
      <c r="E44" s="604"/>
      <c r="F44" s="582"/>
      <c r="G44" s="603"/>
      <c r="H44" s="504"/>
      <c r="I44" s="504"/>
      <c r="J44" s="504"/>
      <c r="K44" s="504"/>
      <c r="L44" s="504"/>
      <c r="M44" s="605"/>
      <c r="N44" s="592"/>
      <c r="O44" s="592"/>
      <c r="P44" s="592"/>
      <c r="Q44" s="592"/>
      <c r="R44" s="574"/>
      <c r="S44" s="504"/>
      <c r="T44" s="504"/>
    </row>
    <row r="45" spans="2:20" ht="18.75">
      <c r="B45" s="506" t="s">
        <v>1043</v>
      </c>
      <c r="C45" s="606"/>
      <c r="D45" s="606"/>
      <c r="E45" s="606"/>
      <c r="F45" s="606"/>
      <c r="G45" s="607"/>
      <c r="H45" s="606"/>
      <c r="I45" s="606"/>
      <c r="J45" s="606"/>
      <c r="K45" s="606"/>
      <c r="L45" s="606"/>
      <c r="M45" s="607"/>
      <c r="N45" s="607"/>
      <c r="O45" s="607"/>
    </row>
    <row r="46" spans="2:20" ht="30" customHeight="1">
      <c r="B46" s="899" t="s">
        <v>1038</v>
      </c>
      <c r="C46" s="899"/>
      <c r="D46" s="899"/>
      <c r="E46" s="899"/>
      <c r="F46" s="899"/>
      <c r="H46" s="504"/>
      <c r="I46" s="608"/>
      <c r="J46" s="504"/>
      <c r="K46" s="504"/>
      <c r="L46" s="504"/>
    </row>
    <row r="47" spans="2:20">
      <c r="B47" s="609"/>
      <c r="C47" s="902" t="s">
        <v>774</v>
      </c>
      <c r="D47" s="903"/>
      <c r="E47" s="903"/>
      <c r="F47" s="904"/>
      <c r="H47" s="504"/>
      <c r="I47" s="610"/>
      <c r="J47" s="504"/>
    </row>
    <row r="48" spans="2:20">
      <c r="B48" s="609"/>
      <c r="C48" s="611" t="s">
        <v>269</v>
      </c>
      <c r="D48" s="611" t="s">
        <v>270</v>
      </c>
      <c r="E48" s="611" t="s">
        <v>271</v>
      </c>
      <c r="F48" s="612" t="s">
        <v>272</v>
      </c>
      <c r="H48" s="504"/>
      <c r="I48" s="610"/>
      <c r="J48" s="504"/>
    </row>
    <row r="49" spans="2:14">
      <c r="B49" s="613" t="s">
        <v>130</v>
      </c>
      <c r="C49" s="647">
        <v>2.8038439434842255E-3</v>
      </c>
      <c r="D49" s="647">
        <v>9.5999999999999992E-3</v>
      </c>
      <c r="E49" s="647">
        <v>0.01</v>
      </c>
      <c r="F49" s="647">
        <v>3.0000000000000001E-3</v>
      </c>
      <c r="G49" s="614"/>
      <c r="H49" s="504"/>
      <c r="I49" s="610"/>
      <c r="J49" s="614"/>
    </row>
    <row r="50" spans="2:14">
      <c r="B50" s="613" t="s">
        <v>268</v>
      </c>
      <c r="C50" s="615">
        <f>C49*1000*'4.1-Settings Database'!$J$13*'4.1-Settings Database'!$J$14*'4.1-Settings Database'!$J$15</f>
        <v>2.6103787113838135</v>
      </c>
      <c r="D50" s="615">
        <f>D49*1000*('4.1-Settings Database'!$J$13*'4.1-Settings Database'!$J$14*'4.1-Settings Database'!$J$15*('4.1-Settings Database'!$J$21+1-'4.1-Settings Database'!$J$22+('4.1-Settings Database'!$J$18*'4.1-Settings Database'!$J$19/1000)))</f>
        <v>6.8967277576974952</v>
      </c>
      <c r="E50" s="615">
        <f>E49*1000*'4.1-Settings Database'!$J$13*'4.1-Settings Database'!$J$14*'4.1-Settings Database'!$J$15*('4.1-Settings Database'!$J$21+('4.1-Settings Database'!$J$18*'4.1-Settings Database'!$J$19/1000))</f>
        <v>1.5980914142682245</v>
      </c>
      <c r="F50" s="615">
        <f>F49*1000*'4.1-Settings Database'!$J$13*'4.1-Settings Database'!$J$14*'4.1-Settings Database'!$J$15*(1-'4.1-Settings Database'!$J$22)</f>
        <v>1.6757999999999997</v>
      </c>
      <c r="G50" s="614"/>
      <c r="H50" s="504"/>
      <c r="I50" s="504"/>
      <c r="J50" s="614"/>
    </row>
    <row r="51" spans="2:14">
      <c r="B51" s="613" t="s">
        <v>275</v>
      </c>
      <c r="C51" s="616">
        <f>C50/SUM($C$50:$F$50)</f>
        <v>0.2042390379224214</v>
      </c>
      <c r="D51" s="616">
        <f>D50/SUM($C$50:$F$50)</f>
        <v>0.5396079258163573</v>
      </c>
      <c r="E51" s="616">
        <f>E50/SUM($C$50:$F$50)</f>
        <v>0.12503651349087075</v>
      </c>
      <c r="F51" s="616">
        <f>F50/SUM($C$50:$F$50)</f>
        <v>0.13111652277035041</v>
      </c>
      <c r="H51" s="504"/>
      <c r="I51" s="504"/>
      <c r="J51" s="617"/>
    </row>
    <row r="52" spans="2:14">
      <c r="B52" s="609"/>
      <c r="C52" s="618"/>
      <c r="D52" s="618"/>
      <c r="E52" s="618"/>
      <c r="F52" s="618"/>
      <c r="G52" s="619"/>
      <c r="H52" s="504"/>
    </row>
    <row r="53" spans="2:14">
      <c r="B53" s="609"/>
      <c r="C53" s="889" t="s">
        <v>264</v>
      </c>
      <c r="D53" s="889"/>
      <c r="H53" s="504"/>
    </row>
    <row r="54" spans="2:14">
      <c r="B54" s="609"/>
      <c r="C54" s="620" t="s">
        <v>262</v>
      </c>
      <c r="D54" s="620" t="s">
        <v>263</v>
      </c>
      <c r="H54" s="504"/>
    </row>
    <row r="55" spans="2:14">
      <c r="B55" s="621" t="s">
        <v>118</v>
      </c>
      <c r="C55" s="648">
        <v>120</v>
      </c>
      <c r="D55" s="648">
        <v>0.76</v>
      </c>
      <c r="E55" s="614"/>
      <c r="F55" s="614"/>
      <c r="G55" s="614"/>
      <c r="H55" s="622"/>
      <c r="I55" s="614"/>
      <c r="J55" s="614"/>
      <c r="K55" s="614"/>
      <c r="L55" s="614"/>
      <c r="M55" s="614"/>
      <c r="N55" s="614"/>
    </row>
    <row r="56" spans="2:14">
      <c r="B56" s="609"/>
    </row>
    <row r="57" spans="2:14">
      <c r="B57" s="623"/>
      <c r="C57" s="900" t="s">
        <v>589</v>
      </c>
      <c r="D57" s="900"/>
      <c r="E57" s="900"/>
      <c r="F57" s="900"/>
      <c r="G57" s="900"/>
      <c r="H57" s="900"/>
      <c r="I57" s="900"/>
      <c r="J57" s="901"/>
    </row>
    <row r="58" spans="2:14" ht="30">
      <c r="B58" s="624" t="s">
        <v>526</v>
      </c>
      <c r="C58" s="625" t="s">
        <v>616</v>
      </c>
      <c r="D58" s="625" t="s">
        <v>744</v>
      </c>
      <c r="E58" s="625" t="s">
        <v>745</v>
      </c>
      <c r="F58" s="625" t="s">
        <v>746</v>
      </c>
      <c r="G58" s="625" t="s">
        <v>747</v>
      </c>
      <c r="H58" s="625" t="s">
        <v>748</v>
      </c>
      <c r="I58" s="626" t="s">
        <v>749</v>
      </c>
      <c r="J58" s="626" t="s">
        <v>590</v>
      </c>
    </row>
    <row r="59" spans="2:14">
      <c r="B59" s="627" t="s">
        <v>614</v>
      </c>
      <c r="C59" s="628" t="s">
        <v>615</v>
      </c>
      <c r="D59" s="629" t="s">
        <v>1034</v>
      </c>
      <c r="E59" s="649">
        <v>1</v>
      </c>
      <c r="F59" s="649">
        <v>320</v>
      </c>
      <c r="G59" s="630">
        <v>1</v>
      </c>
      <c r="H59" s="631">
        <f>F59*G59</f>
        <v>320</v>
      </c>
      <c r="I59" s="631">
        <f>H59*E59</f>
        <v>320</v>
      </c>
      <c r="J59" s="632">
        <f>'1.0-General input'!$E$121/I59</f>
        <v>2.5000000000000001E-2</v>
      </c>
    </row>
    <row r="60" spans="2:14">
      <c r="B60" s="627" t="s">
        <v>1039</v>
      </c>
      <c r="C60" s="628" t="s">
        <v>611</v>
      </c>
      <c r="D60" s="628" t="s">
        <v>750</v>
      </c>
      <c r="E60" s="648">
        <v>3</v>
      </c>
      <c r="F60" s="648">
        <v>210</v>
      </c>
      <c r="G60" s="630">
        <f>D35</f>
        <v>0.26</v>
      </c>
      <c r="H60" s="631">
        <f>F60*G60</f>
        <v>54.6</v>
      </c>
      <c r="I60" s="631">
        <f>H60*E60</f>
        <v>163.80000000000001</v>
      </c>
      <c r="J60" s="632">
        <f>'1.0-General input'!$E$121/I60</f>
        <v>4.884004884004884E-2</v>
      </c>
    </row>
    <row r="61" spans="2:14">
      <c r="B61" s="627" t="s">
        <v>1039</v>
      </c>
      <c r="C61" s="628" t="s">
        <v>751</v>
      </c>
      <c r="D61" s="628" t="s">
        <v>752</v>
      </c>
      <c r="E61" s="648">
        <v>3</v>
      </c>
      <c r="F61" s="648">
        <v>160</v>
      </c>
      <c r="G61" s="630">
        <f>D35</f>
        <v>0.26</v>
      </c>
      <c r="H61" s="631">
        <f>F61*G61</f>
        <v>41.6</v>
      </c>
      <c r="I61" s="631">
        <f>H61*E61</f>
        <v>124.80000000000001</v>
      </c>
      <c r="J61" s="632">
        <f>'1.0-General input'!$E$121/I61</f>
        <v>6.4102564102564097E-2</v>
      </c>
    </row>
    <row r="62" spans="2:14">
      <c r="B62" s="627" t="s">
        <v>1040</v>
      </c>
      <c r="C62" s="628" t="s">
        <v>612</v>
      </c>
      <c r="D62" s="628" t="s">
        <v>753</v>
      </c>
      <c r="E62" s="648">
        <v>2</v>
      </c>
      <c r="F62" s="648">
        <v>160</v>
      </c>
      <c r="G62" s="630">
        <f>D40</f>
        <v>0.68</v>
      </c>
      <c r="H62" s="631">
        <f>F62*G62</f>
        <v>108.80000000000001</v>
      </c>
      <c r="I62" s="631">
        <f>H62*E62</f>
        <v>217.60000000000002</v>
      </c>
      <c r="J62" s="632">
        <f>'1.0-General input'!$E$121/I62</f>
        <v>3.6764705882352935E-2</v>
      </c>
    </row>
    <row r="63" spans="2:14">
      <c r="B63" s="627" t="s">
        <v>1041</v>
      </c>
      <c r="C63" s="628" t="s">
        <v>613</v>
      </c>
      <c r="D63" s="628" t="s">
        <v>754</v>
      </c>
      <c r="E63" s="648">
        <v>2</v>
      </c>
      <c r="F63" s="648">
        <v>135</v>
      </c>
      <c r="G63" s="630">
        <v>0.98</v>
      </c>
      <c r="H63" s="631">
        <f>F63*G63</f>
        <v>132.30000000000001</v>
      </c>
      <c r="I63" s="631">
        <f>H63*E63</f>
        <v>264.60000000000002</v>
      </c>
      <c r="J63" s="632">
        <f>'1.0-General input'!$E$121/I63</f>
        <v>3.023431594860166E-2</v>
      </c>
    </row>
    <row r="64" spans="2:14">
      <c r="B64" s="627" t="s">
        <v>1042</v>
      </c>
      <c r="C64" s="627" t="s">
        <v>755</v>
      </c>
      <c r="D64" s="627" t="s">
        <v>668</v>
      </c>
      <c r="E64" s="627" t="s">
        <v>668</v>
      </c>
      <c r="F64" s="627" t="s">
        <v>668</v>
      </c>
      <c r="G64" s="627"/>
      <c r="H64" s="627"/>
      <c r="I64" s="627"/>
      <c r="J64" s="627"/>
    </row>
    <row r="66" spans="2:3">
      <c r="B66" s="621" t="s">
        <v>265</v>
      </c>
      <c r="C66" s="650">
        <v>0.1</v>
      </c>
    </row>
  </sheetData>
  <sheetProtection algorithmName="SHA-512" hashValue="xcnTsLIG7sHrAJttXX+t+8qmczZ/ux3JVlb8ZaaEtqM/GOM1WhFbnkNrilUscW9lyfCkPYVSvoX6ONIXgcx2Rg==" saltValue="urxg6NUM3jnfw7ozLMdNow==" spinCount="100000" sheet="1" objects="1" scenarios="1"/>
  <mergeCells count="44">
    <mergeCell ref="H41:I41"/>
    <mergeCell ref="B46:F46"/>
    <mergeCell ref="C57:J57"/>
    <mergeCell ref="H36:I36"/>
    <mergeCell ref="H37:I37"/>
    <mergeCell ref="H38:I38"/>
    <mergeCell ref="H39:I39"/>
    <mergeCell ref="H40:I40"/>
    <mergeCell ref="C47:F47"/>
    <mergeCell ref="H31:I31"/>
    <mergeCell ref="H32:I32"/>
    <mergeCell ref="H33:I33"/>
    <mergeCell ref="H34:I34"/>
    <mergeCell ref="H35:I35"/>
    <mergeCell ref="H13:I13"/>
    <mergeCell ref="H14:I14"/>
    <mergeCell ref="H15:I15"/>
    <mergeCell ref="H19:I19"/>
    <mergeCell ref="H20:I20"/>
    <mergeCell ref="H27:I27"/>
    <mergeCell ref="H28:I28"/>
    <mergeCell ref="H29:I29"/>
    <mergeCell ref="H30:I30"/>
    <mergeCell ref="H21:I21"/>
    <mergeCell ref="H22:I22"/>
    <mergeCell ref="H23:I23"/>
    <mergeCell ref="H24:I24"/>
    <mergeCell ref="H25:I25"/>
    <mergeCell ref="L10:M10"/>
    <mergeCell ref="B16:B22"/>
    <mergeCell ref="G16:G22"/>
    <mergeCell ref="C53:D53"/>
    <mergeCell ref="B23:B34"/>
    <mergeCell ref="B35:B40"/>
    <mergeCell ref="G35:G40"/>
    <mergeCell ref="B10:B12"/>
    <mergeCell ref="G13:G15"/>
    <mergeCell ref="B13:B15"/>
    <mergeCell ref="H16:I16"/>
    <mergeCell ref="H17:I17"/>
    <mergeCell ref="H18:I18"/>
    <mergeCell ref="G23:G34"/>
    <mergeCell ref="L18:O18"/>
    <mergeCell ref="H26:I26"/>
  </mergeCells>
  <dataValidations count="1">
    <dataValidation type="list" allowBlank="1" showInputMessage="1" showErrorMessage="1" sqref="C8">
      <formula1>$D$10:$E$10</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1:C50"/>
  <sheetViews>
    <sheetView zoomScaleNormal="100" workbookViewId="0">
      <selection activeCell="E14" sqref="E14"/>
    </sheetView>
  </sheetViews>
  <sheetFormatPr defaultColWidth="8.85546875" defaultRowHeight="15"/>
  <cols>
    <col min="1" max="1" width="2.28515625" style="12" customWidth="1"/>
    <col min="2" max="2" width="26.85546875" style="12" customWidth="1"/>
    <col min="3" max="3" width="70.85546875" style="12" bestFit="1" customWidth="1"/>
    <col min="4" max="4" width="10.85546875" style="12" customWidth="1"/>
    <col min="5" max="16384" width="8.85546875" style="12"/>
  </cols>
  <sheetData>
    <row r="1" spans="2:3" ht="8.25" customHeight="1"/>
    <row r="2" spans="2:3" ht="18.75">
      <c r="B2" s="410" t="s">
        <v>593</v>
      </c>
      <c r="C2" s="410"/>
    </row>
    <row r="4" spans="2:3" ht="63" customHeight="1">
      <c r="B4" s="864" t="s">
        <v>1082</v>
      </c>
      <c r="C4" s="864"/>
    </row>
    <row r="6" spans="2:3">
      <c r="B6" s="275" t="s">
        <v>723</v>
      </c>
      <c r="C6" s="276" t="s">
        <v>1060</v>
      </c>
    </row>
    <row r="7" spans="2:3">
      <c r="B7" s="852" t="s">
        <v>722</v>
      </c>
      <c r="C7" s="853">
        <v>1.1160399999999999</v>
      </c>
    </row>
    <row r="8" spans="2:3">
      <c r="B8" s="854" t="s">
        <v>564</v>
      </c>
      <c r="C8" s="853">
        <v>1</v>
      </c>
    </row>
    <row r="9" spans="2:3">
      <c r="B9" s="853" t="s">
        <v>565</v>
      </c>
      <c r="C9" s="853">
        <v>1.21828</v>
      </c>
    </row>
    <row r="10" spans="2:3">
      <c r="B10" s="855" t="s">
        <v>566</v>
      </c>
      <c r="C10" s="853">
        <v>6.9999999999999994E-5</v>
      </c>
    </row>
    <row r="13" spans="2:3" ht="32.1" customHeight="1">
      <c r="B13" s="905" t="s">
        <v>1077</v>
      </c>
      <c r="C13" s="905"/>
    </row>
    <row r="15" spans="2:3">
      <c r="B15" s="166" t="s">
        <v>62</v>
      </c>
      <c r="C15" s="166" t="s">
        <v>63</v>
      </c>
    </row>
    <row r="16" spans="2:3">
      <c r="B16" s="167" t="s">
        <v>64</v>
      </c>
      <c r="C16" s="167" t="s">
        <v>538</v>
      </c>
    </row>
    <row r="17" spans="2:3">
      <c r="B17" s="168" t="s">
        <v>65</v>
      </c>
      <c r="C17" s="168" t="s">
        <v>539</v>
      </c>
    </row>
    <row r="18" spans="2:3">
      <c r="B18" s="167" t="s">
        <v>66</v>
      </c>
      <c r="C18" s="167" t="s">
        <v>540</v>
      </c>
    </row>
    <row r="19" spans="2:3">
      <c r="B19" s="168" t="s">
        <v>532</v>
      </c>
      <c r="C19" s="168" t="s">
        <v>75</v>
      </c>
    </row>
    <row r="20" spans="2:3">
      <c r="B20" s="167" t="s">
        <v>533</v>
      </c>
      <c r="C20" s="167" t="s">
        <v>76</v>
      </c>
    </row>
    <row r="21" spans="2:3">
      <c r="B21" s="143" t="s">
        <v>534</v>
      </c>
      <c r="C21" s="168" t="s">
        <v>442</v>
      </c>
    </row>
    <row r="22" spans="2:3">
      <c r="B22" s="167" t="s">
        <v>537</v>
      </c>
      <c r="C22" s="167" t="s">
        <v>536</v>
      </c>
    </row>
    <row r="23" spans="2:3">
      <c r="B23" s="143" t="s">
        <v>535</v>
      </c>
      <c r="C23" s="168" t="s">
        <v>191</v>
      </c>
    </row>
    <row r="24" spans="2:3">
      <c r="B24" s="169" t="s">
        <v>135</v>
      </c>
      <c r="C24" s="167" t="s">
        <v>134</v>
      </c>
    </row>
    <row r="25" spans="2:3">
      <c r="B25" s="144"/>
      <c r="C25" s="144"/>
    </row>
    <row r="26" spans="2:3">
      <c r="B26" t="s">
        <v>67</v>
      </c>
    </row>
    <row r="27" spans="2:3">
      <c r="B27" s="3" t="s">
        <v>68</v>
      </c>
    </row>
    <row r="28" spans="2:3">
      <c r="B28" s="4" t="s">
        <v>69</v>
      </c>
    </row>
    <row r="29" spans="2:3" ht="30">
      <c r="B29" s="7" t="s">
        <v>134</v>
      </c>
    </row>
    <row r="31" spans="2:3">
      <c r="B31" s="5" t="s">
        <v>1027</v>
      </c>
    </row>
    <row r="32" spans="2:3">
      <c r="B32" s="5" t="s">
        <v>444</v>
      </c>
    </row>
    <row r="33" spans="2:3">
      <c r="B33" s="5" t="s">
        <v>445</v>
      </c>
    </row>
    <row r="35" spans="2:3">
      <c r="B35" t="s">
        <v>524</v>
      </c>
      <c r="C35" t="s">
        <v>525</v>
      </c>
    </row>
    <row r="36" spans="2:3">
      <c r="B36" s="5" t="s">
        <v>449</v>
      </c>
      <c r="C36" s="5" t="s">
        <v>450</v>
      </c>
    </row>
    <row r="37" spans="2:3">
      <c r="B37" s="5" t="s">
        <v>102</v>
      </c>
      <c r="C37" s="5" t="s">
        <v>447</v>
      </c>
    </row>
    <row r="38" spans="2:3">
      <c r="B38" s="5" t="s">
        <v>101</v>
      </c>
      <c r="C38" s="5" t="s">
        <v>448</v>
      </c>
    </row>
    <row r="39" spans="2:3">
      <c r="B39" s="5" t="s">
        <v>103</v>
      </c>
      <c r="C39" s="5" t="s">
        <v>556</v>
      </c>
    </row>
    <row r="41" spans="2:3">
      <c r="B41" s="5" t="s">
        <v>520</v>
      </c>
    </row>
    <row r="42" spans="2:3">
      <c r="B42" s="5" t="s">
        <v>522</v>
      </c>
    </row>
    <row r="43" spans="2:3">
      <c r="B43" s="5" t="s">
        <v>107</v>
      </c>
    </row>
    <row r="44" spans="2:3">
      <c r="B44" s="5" t="s">
        <v>523</v>
      </c>
    </row>
    <row r="45" spans="2:3">
      <c r="B45"/>
    </row>
    <row r="47" spans="2:3">
      <c r="B47" t="s">
        <v>719</v>
      </c>
    </row>
    <row r="48" spans="2:3">
      <c r="B48" t="s">
        <v>720</v>
      </c>
    </row>
    <row r="49" spans="2:2">
      <c r="B49" t="s">
        <v>721</v>
      </c>
    </row>
    <row r="50" spans="2:2">
      <c r="B50" t="s">
        <v>940</v>
      </c>
    </row>
  </sheetData>
  <sheetProtection algorithmName="SHA-512" hashValue="v3yQRULzRXaFSpf6AzljIW6emrxa2ifZ7nJjLyPpbDOBqUwp+E502AX+uwOJ8MHiGISU3DD8tjIFh6Vhq/n3AA==" saltValue="9PiKzTK2lyEH4sRxVmUYBw==" spinCount="100000" sheet="1" objects="1" scenarios="1"/>
  <mergeCells count="2">
    <mergeCell ref="B4:C4"/>
    <mergeCell ref="B13:C13"/>
  </mergeCells>
  <conditionalFormatting sqref="B6">
    <cfRule type="expression" dxfId="905" priority="1">
      <formula>IF($M$17="CHF",TRUE)</formula>
    </cfRule>
    <cfRule type="expression" dxfId="904" priority="2">
      <formula>IF($M$17="EUR",TRUE)</formula>
    </cfRule>
    <cfRule type="expression" dxfId="903" priority="3">
      <formula>IF($M$17="USD",TRUE)</formula>
    </cfRule>
  </conditionalFormatting>
  <dataValidations count="2">
    <dataValidation type="list" allowBlank="1" showInputMessage="1" showErrorMessage="1" sqref="B27:B28">
      <formula1>"Manufacturing Direct Labor, Manufacturing Overhead, General &amp; Admin Overhead"</formula1>
    </dataValidation>
    <dataValidation type="list" allowBlank="1" showInputMessage="1" showErrorMessage="1" sqref="B29">
      <formula1>"Manufacturing Direct Labor, Manufacturing Overhead, Selling, General &amp; Admin Overhead"</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70</vt:i4>
      </vt:variant>
    </vt:vector>
  </HeadingPairs>
  <TitlesOfParts>
    <vt:vector size="91" baseType="lpstr">
      <vt:lpstr>Info</vt:lpstr>
      <vt:lpstr>1.0-General input</vt:lpstr>
      <vt:lpstr>2.1-Material input</vt:lpstr>
      <vt:lpstr>2.2-Equipment input</vt:lpstr>
      <vt:lpstr>2.3-Staff input</vt:lpstr>
      <vt:lpstr>3.1-Process Overview</vt:lpstr>
      <vt:lpstr>3.2-Results Dashboard</vt:lpstr>
      <vt:lpstr>4.1-Settings Database</vt:lpstr>
      <vt:lpstr>4.2-Settings Internal</vt:lpstr>
      <vt:lpstr>5.0 Appendix</vt:lpstr>
      <vt:lpstr>5.1-Financial Analysis</vt:lpstr>
      <vt:lpstr>5.2-Cost Breakdown Analysis</vt:lpstr>
      <vt:lpstr>5.3-Unit W</vt:lpstr>
      <vt:lpstr>5.3-Unit T</vt:lpstr>
      <vt:lpstr>5.3-Unit H</vt:lpstr>
      <vt:lpstr>5.3-Unit N (17DOL-Egg)</vt:lpstr>
      <vt:lpstr>5.3-Unit N (Egg-5DOL)</vt:lpstr>
      <vt:lpstr>5.3-Unit N (5DOL-17DOL)</vt:lpstr>
      <vt:lpstr>5.3-Unit P</vt:lpstr>
      <vt:lpstr>5.3-Unit R</vt:lpstr>
      <vt:lpstr>5.3-Unit SG&amp;A</vt:lpstr>
      <vt:lpstr>Equipment_Allocation_New</vt:lpstr>
      <vt:lpstr>Equipment_Allocation_Unit_H</vt:lpstr>
      <vt:lpstr>Equipment_Allocation_Unit_N_17DOL</vt:lpstr>
      <vt:lpstr>Equipment_Allocation_Unit_N_5DOL</vt:lpstr>
      <vt:lpstr>Equipment_Allocation_Unit_N_Egg</vt:lpstr>
      <vt:lpstr>Equipment_Allocation_Unit_P</vt:lpstr>
      <vt:lpstr>Equipment_Allocation_Unit_R</vt:lpstr>
      <vt:lpstr>Equipment_Allocation_Unit_T</vt:lpstr>
      <vt:lpstr>Equipment_Allocation_Unit_W</vt:lpstr>
      <vt:lpstr>Equipment_Capital_Cost</vt:lpstr>
      <vt:lpstr>Equipment_Depreciation</vt:lpstr>
      <vt:lpstr>equipment_ID</vt:lpstr>
      <vt:lpstr>Equipment_Lifetime</vt:lpstr>
      <vt:lpstr>Equipment_Quantity_New</vt:lpstr>
      <vt:lpstr>Equipment_Space_Footprint</vt:lpstr>
      <vt:lpstr>Equipment_Space_Selection</vt:lpstr>
      <vt:lpstr>Equipment_Utility_Decision</vt:lpstr>
      <vt:lpstr>Equipment_Utility_Electricity</vt:lpstr>
      <vt:lpstr>Equipment_Utility_Fuel</vt:lpstr>
      <vt:lpstr>Equipment_Utility_Fuel_Selection</vt:lpstr>
      <vt:lpstr>Equipment_Utility_Run</vt:lpstr>
      <vt:lpstr>Equipment_Utility_Spec_List</vt:lpstr>
      <vt:lpstr>Equipment_Utility_Water</vt:lpstr>
      <vt:lpstr>General_5DOLProduction_Total</vt:lpstr>
      <vt:lpstr>General_Currency_Selection</vt:lpstr>
      <vt:lpstr>General_DriedLarv_TotalProd</vt:lpstr>
      <vt:lpstr>General_EggProduction_Total</vt:lpstr>
      <vt:lpstr>General_Electricity_Price</vt:lpstr>
      <vt:lpstr>General_EquipmentQuant_Auto</vt:lpstr>
      <vt:lpstr>General_Factory_Construction</vt:lpstr>
      <vt:lpstr>General_Factory_Decision</vt:lpstr>
      <vt:lpstr>General_Factory_Land</vt:lpstr>
      <vt:lpstr>General_Factory_Rent</vt:lpstr>
      <vt:lpstr>General_Financial_SalaryIncrease</vt:lpstr>
      <vt:lpstr>General_Financial_WACC</vt:lpstr>
      <vt:lpstr>General_FreshLarvae_Postproc</vt:lpstr>
      <vt:lpstr>General_FreshLarvae_TotalProd</vt:lpstr>
      <vt:lpstr>General_Meal_TotalProd</vt:lpstr>
      <vt:lpstr>General_MRT</vt:lpstr>
      <vt:lpstr>General_Oil_TotalProd</vt:lpstr>
      <vt:lpstr>General_Process_Amounts</vt:lpstr>
      <vt:lpstr>General_Process_InstallCost</vt:lpstr>
      <vt:lpstr>General_Process_Specs</vt:lpstr>
      <vt:lpstr>General_Products</vt:lpstr>
      <vt:lpstr>General_Products_Amount</vt:lpstr>
      <vt:lpstr>General_Products_Prices</vt:lpstr>
      <vt:lpstr>General_Residue_TotalProd</vt:lpstr>
      <vt:lpstr>General_StaffNr_Auto</vt:lpstr>
      <vt:lpstr>General_Utilities</vt:lpstr>
      <vt:lpstr>General_Utilities_Type</vt:lpstr>
      <vt:lpstr>General_Waste_toTreatment</vt:lpstr>
      <vt:lpstr>General_WasteInput</vt:lpstr>
      <vt:lpstr>General_Water_Price</vt:lpstr>
      <vt:lpstr>Maintenance_cost_setting</vt:lpstr>
      <vt:lpstr>Material_Code</vt:lpstr>
      <vt:lpstr>Material_Input</vt:lpstr>
      <vt:lpstr>Material_Name</vt:lpstr>
      <vt:lpstr>Material_Product_Specific</vt:lpstr>
      <vt:lpstr>Material_Unit_Price</vt:lpstr>
      <vt:lpstr>Position_Category</vt:lpstr>
      <vt:lpstr>Settings_Currency</vt:lpstr>
      <vt:lpstr>Settings_Currency_Course</vt:lpstr>
      <vt:lpstr>Staff_Days_Operation</vt:lpstr>
      <vt:lpstr>Staff_number_of_employees</vt:lpstr>
      <vt:lpstr>Staff_Position_Allocation</vt:lpstr>
      <vt:lpstr>Staff_Position_ID</vt:lpstr>
      <vt:lpstr>Staff_positions</vt:lpstr>
      <vt:lpstr>'3.1-Process Overview'!Unit_codes</vt:lpstr>
      <vt:lpstr>'5.3-Unit N (5DOL-17DOL)'!Unit_codes</vt:lpstr>
      <vt:lpstr>Unit_codes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Diener, Stefan</cp:lastModifiedBy>
  <cp:lastPrinted>2019-01-28T11:00:05Z</cp:lastPrinted>
  <dcterms:created xsi:type="dcterms:W3CDTF">2017-12-11T10:58:02Z</dcterms:created>
  <dcterms:modified xsi:type="dcterms:W3CDTF">2021-10-14T09:42:01Z</dcterms:modified>
  <cp:category/>
</cp:coreProperties>
</file>