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Abteilungsprojekte\Sandec\3_SWM\SIBRE\Business models\"/>
    </mc:Choice>
  </mc:AlternateContent>
  <workbookProtection workbookAlgorithmName="SHA-512" workbookHashValue="m617GihH1wPDD0oUufWuZ+hUSBaTPn/xq9GHryN3E8RyCtQAYM8/QkEGTm+45MgxJouKVrFfld3z1VmwH6LTfQ==" workbookSaltValue="47QWgT1FFcaq0bIIX8Iu1w==" workbookSpinCount="100000" lockStructure="1"/>
  <bookViews>
    <workbookView xWindow="-110" yWindow="-110" windowWidth="16910" windowHeight="6840" tabRatio="877"/>
  </bookViews>
  <sheets>
    <sheet name="Info" sheetId="33" r:id="rId1"/>
    <sheet name="1.0-General input" sheetId="22" r:id="rId2"/>
    <sheet name="2.1-Material input" sheetId="2" r:id="rId3"/>
    <sheet name="2.2-Equipment input" sheetId="4" r:id="rId4"/>
    <sheet name="2.3-Staff input" sheetId="3" r:id="rId5"/>
    <sheet name="2.4-Transport Input" sheetId="46" r:id="rId6"/>
    <sheet name="3.1-Process Overview" sheetId="30" r:id="rId7"/>
    <sheet name="3.2-Results Dashboard" sheetId="43" r:id="rId8"/>
    <sheet name="4.1-Settings Database" sheetId="32" r:id="rId9"/>
    <sheet name="4.2-Settings Internal" sheetId="12" r:id="rId10"/>
    <sheet name="5.0 Appendix" sheetId="42" r:id="rId11"/>
    <sheet name="5.1-Financial Analysis" sheetId="9" r:id="rId12"/>
    <sheet name="5.2-Cost Breakdown Analysis" sheetId="10" r:id="rId13"/>
    <sheet name="5.3-Unit W" sheetId="17" r:id="rId14"/>
    <sheet name="5.3-Unit T" sheetId="18" r:id="rId15"/>
    <sheet name="5.3-Unit H" sheetId="19" r:id="rId16"/>
    <sheet name="5.3-Unit N (17DOL-Egg)" sheetId="23" r:id="rId17"/>
    <sheet name="5.3-Unit N (Egg-5DOL)" sheetId="6" r:id="rId18"/>
    <sheet name="5.3-Unit N (5DOL-17DOL)" sheetId="28" r:id="rId19"/>
    <sheet name="5.3-Unit P" sheetId="20" r:id="rId20"/>
    <sheet name="5.3-Unit R" sheetId="21" r:id="rId21"/>
    <sheet name="5.3-Unit SG&amp;A" sheetId="24" r:id="rId22"/>
  </sheets>
  <externalReferences>
    <externalReference r:id="rId23"/>
  </externalReferences>
  <definedNames>
    <definedName name="_xlnm._FilterDatabase" localSheetId="3" hidden="1">'2.2-Equipment input'!$AA$6:$AI$45</definedName>
    <definedName name="Equipment_Allocation_New">'2.2-Equipment input'!$AA$7:$AI$106</definedName>
    <definedName name="Equipment_Allocation_Unit_H">'2.2-Equipment input'!$AC$7:$AC$106</definedName>
    <definedName name="Equipment_Allocation_Unit_N_17DOL">'2.2-Equipment input'!$AF$7:$AF$106</definedName>
    <definedName name="Equipment_Allocation_Unit_N_5DOL">'2.2-Equipment input'!$AE$7:$AE$106</definedName>
    <definedName name="Equipment_Allocation_Unit_N_Egg">'2.2-Equipment input'!$AD$7:$AD$106</definedName>
    <definedName name="Equipment_Allocation_Unit_P">'2.2-Equipment input'!$AG$7:$AG$106</definedName>
    <definedName name="Equipment_Allocation_Unit_R">'2.2-Equipment input'!$AH$7:$AH$106</definedName>
    <definedName name="Equipment_Allocation_Unit_T">'2.2-Equipment input'!$AB$7:$AB$106</definedName>
    <definedName name="Equipment_Allocation_Unit_W">'2.2-Equipment input'!$AA$7:$AA$106</definedName>
    <definedName name="Equipment_Capital_Cost">'2.2-Equipment input'!$U$7:$U$106</definedName>
    <definedName name="Equipment_Depreciation">'2.2-Equipment input'!$X$7:$X$106</definedName>
    <definedName name="equipment_ID">'2.2-Equipment input'!$B$7:$B$106</definedName>
    <definedName name="Equipment_Lifetime">'2.2-Equipment input'!$V$7:$V$106</definedName>
    <definedName name="Equipment_Quantity_New">'2.2-Equipment input'!$Z$7:$Z$106</definedName>
    <definedName name="Equipment_Space_Footprint">'2.2-Equipment input'!$S$7:$S$106</definedName>
    <definedName name="Equipment_Space_Selection">'2.2-Equipment input'!$R$7:$R$106</definedName>
    <definedName name="Equipment_Utility_Decision">'2.2-Equipment input'!$D$7:$D$106</definedName>
    <definedName name="Equipment_Utility_Electricity">'2.2-Equipment input'!$M$7:$M$106</definedName>
    <definedName name="Equipment_Utility_Fuel">'2.2-Equipment input'!$O$7:$O$106</definedName>
    <definedName name="Equipment_Utility_Fuel_Selection">'2.2-Equipment input'!$Q$7:$Q$106</definedName>
    <definedName name="Equipment_Utility_Run">'2.2-Equipment input'!$I$7:$I$106</definedName>
    <definedName name="Equipment_Utility_Spec_List">Equipment_Utitliy_Specs_Units[Specification]</definedName>
    <definedName name="Equipment_Utility_Water">'2.2-Equipment input'!$K$7:$K$106</definedName>
    <definedName name="General_5DOLProduction_Total">'1.0-General input'!$D$44</definedName>
    <definedName name="General_Annual_FTE">'[1]1.0-General input'!$E$108</definedName>
    <definedName name="General_Currency_Selection">'1.0-General input'!$E$10</definedName>
    <definedName name="General_EggProduction_Total">'1.0-General input'!$D$45</definedName>
    <definedName name="General_Electricity_Price">'1.0-General input'!$G$69</definedName>
    <definedName name="General_EquipmentQuant_Auto">'1.0-General input'!$E$20</definedName>
    <definedName name="General_Factory_Construction">'1.0-General input'!$G$77</definedName>
    <definedName name="General_Factory_Decision">'1.0-General input'!$E$30</definedName>
    <definedName name="General_Factory_Land">'1.0-General input'!$G$76</definedName>
    <definedName name="General_Factory_Rent">'1.0-General input'!$G$75</definedName>
    <definedName name="General_Financial_SalaryIncrease">'1.0-General input'!$E$124</definedName>
    <definedName name="General_Financial_WACC">'1.0-General input'!$E$123</definedName>
    <definedName name="General_FreshLarvae_TotalProd">'1.0-General input'!$D$43</definedName>
    <definedName name="General_MRT">'1.0-General input'!$D$42</definedName>
    <definedName name="General_Oil_TotalProd">'1.0-General input'!#REF!</definedName>
    <definedName name="General_Process_Amounts">'1.0-General input'!$D$40:$D$46</definedName>
    <definedName name="General_Process_InstallCost">'1.0-General input'!$E$84</definedName>
    <definedName name="General_Process_Specs">'1.0-General input'!$C$40:$C$46</definedName>
    <definedName name="General_Products">'1.0-General input'!$D$64:$D$65</definedName>
    <definedName name="General_Products_Amount">'1.0-General input'!$C$52:$C$53</definedName>
    <definedName name="General_Products_Prices">'1.0-General input'!$G$64:$G$65</definedName>
    <definedName name="General_Residue_TotalProd">'1.0-General input'!$D$46</definedName>
    <definedName name="General_StaffNr_Auto">'1.0-General input'!$E$22</definedName>
    <definedName name="General_Utilities">'1.0-General input'!$D$69:$G$73</definedName>
    <definedName name="General_Utilities_Type">'1.0-General input'!$D$69:$D$73</definedName>
    <definedName name="General_Waste_toTreatment">'1.0-General input'!$D$41</definedName>
    <definedName name="General_WasteInput">'1.0-General input'!$D$40</definedName>
    <definedName name="General_Water_Price">'1.0-General input'!$G$70</definedName>
    <definedName name="Maintenance_cost_setting">'1.0-General input'!$E$86</definedName>
    <definedName name="Material_Code">'2.1-Material input'!$B$4:$B$103</definedName>
    <definedName name="Material_Input">'2.1-Material input'!$J$4:$R$103</definedName>
    <definedName name="Material_Name">'2.1-Material input'!$C$4:$C$103</definedName>
    <definedName name="Material_Product_Specific">'2.1-Material input'!$E$4:$E$103</definedName>
    <definedName name="Material_Unit_Price">'2.1-Material input'!$G$4:$G$103</definedName>
    <definedName name="Position_Category">'2.3-Staff input'!$D$5:$D$25</definedName>
    <definedName name="Settings_Currency">Settings_Currency_Table[Currency]</definedName>
    <definedName name="Settings_Currency_Course">Settings_Currency_Table[Exchange rates]</definedName>
    <definedName name="Staff_Days_Operation">'1.0-General input'!$E$100</definedName>
    <definedName name="Staff_number_of_employees">'2.3-Staff input'!$L$5:$L$25</definedName>
    <definedName name="Staff_Position_Allocation">'2.3-Staff input'!$M$5:$U$25</definedName>
    <definedName name="Staff_Position_ID">'2.3-Staff input'!$B$5:$B$25</definedName>
    <definedName name="Staff_positions">'2.3-Staff input'!$C$6:$C$25</definedName>
    <definedName name="Unit_codes" localSheetId="6">'4.2-Settings Internal'!$B$14:$B$22</definedName>
    <definedName name="Unit_codes" localSheetId="18">'4.2-Settings Internal'!$B$14:$B$22</definedName>
    <definedName name="Unit_codes">'4.2-Settings Internal'!$B$14:$B$22</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9" l="1"/>
  <c r="B153" i="18" l="1" a="1"/>
  <c r="B153" i="18" s="1"/>
  <c r="B154" i="18" a="1"/>
  <c r="B154" i="18" s="1"/>
  <c r="B155" i="18" a="1"/>
  <c r="B155" i="18" s="1"/>
  <c r="B156" i="18" a="1"/>
  <c r="B156" i="18" s="1"/>
  <c r="B157" i="18" a="1"/>
  <c r="B157" i="18" s="1"/>
  <c r="B158" i="18" a="1"/>
  <c r="B158" i="18" s="1"/>
  <c r="B159" i="18" a="1"/>
  <c r="B159" i="18" s="1"/>
  <c r="B160" i="18" a="1"/>
  <c r="B160" i="18" s="1"/>
  <c r="B161" i="18" a="1"/>
  <c r="B161" i="18" s="1"/>
  <c r="B162" i="18" a="1"/>
  <c r="B162" i="18" s="1"/>
  <c r="B163" i="18" a="1"/>
  <c r="B163" i="18" s="1"/>
  <c r="B164" i="18" a="1"/>
  <c r="B164" i="18" s="1"/>
  <c r="B165" i="18" a="1"/>
  <c r="B165" i="18" s="1"/>
  <c r="B166" i="18" a="1"/>
  <c r="B166" i="18" s="1"/>
  <c r="B167" i="18" a="1"/>
  <c r="B167" i="18" s="1"/>
  <c r="B168" i="18" a="1"/>
  <c r="B168" i="18" s="1"/>
  <c r="B169" i="18" a="1"/>
  <c r="B169" i="18" s="1"/>
  <c r="B170" i="18" a="1"/>
  <c r="B170" i="18" s="1"/>
  <c r="B171" i="18" a="1"/>
  <c r="B171" i="18" s="1"/>
  <c r="B172" i="18" a="1"/>
  <c r="B172" i="18" s="1"/>
  <c r="B173" i="18" a="1"/>
  <c r="B173" i="18" s="1"/>
  <c r="B174" i="18" a="1"/>
  <c r="B174" i="18" s="1"/>
  <c r="B175" i="18" a="1"/>
  <c r="B175" i="18" s="1"/>
  <c r="B176" i="18" a="1"/>
  <c r="B176" i="18" s="1"/>
  <c r="B177" i="18" a="1"/>
  <c r="B177" i="18" s="1"/>
  <c r="B178" i="18" a="1"/>
  <c r="B178" i="18" s="1"/>
  <c r="B179" i="18" a="1"/>
  <c r="B179" i="18" s="1"/>
  <c r="B180" i="18" a="1"/>
  <c r="B180" i="18" s="1"/>
  <c r="B181" i="18" a="1"/>
  <c r="B181" i="18" s="1"/>
  <c r="B182" i="18" a="1"/>
  <c r="B182" i="18" s="1"/>
  <c r="B183" i="18" a="1"/>
  <c r="B183" i="18" s="1"/>
  <c r="B184" i="18" a="1"/>
  <c r="B184" i="18" s="1"/>
  <c r="B185" i="18" a="1"/>
  <c r="B185" i="18" s="1"/>
  <c r="B186" i="18" a="1"/>
  <c r="B186" i="18" s="1"/>
  <c r="B187" i="18" a="1"/>
  <c r="B187" i="18" s="1"/>
  <c r="B188" i="18" a="1"/>
  <c r="B188" i="18" s="1"/>
  <c r="B189" i="18" a="1"/>
  <c r="B189" i="18" s="1"/>
  <c r="B153" i="19" a="1"/>
  <c r="B153" i="19" s="1"/>
  <c r="B154" i="19" a="1"/>
  <c r="B154" i="19" s="1"/>
  <c r="B155" i="19" a="1"/>
  <c r="B155" i="19" s="1"/>
  <c r="B156" i="19" a="1"/>
  <c r="B156" i="19" s="1"/>
  <c r="B157" i="19" a="1"/>
  <c r="B157" i="19" s="1"/>
  <c r="B158" i="19" a="1"/>
  <c r="B158" i="19" s="1"/>
  <c r="B159" i="19" a="1"/>
  <c r="B159" i="19" s="1"/>
  <c r="B160" i="19" a="1"/>
  <c r="B160" i="19" s="1"/>
  <c r="B161" i="19" a="1"/>
  <c r="B161" i="19" s="1"/>
  <c r="B162" i="19" a="1"/>
  <c r="B162" i="19" s="1"/>
  <c r="B163" i="19" a="1"/>
  <c r="B163" i="19" s="1"/>
  <c r="B164" i="19" a="1"/>
  <c r="B164" i="19" s="1"/>
  <c r="B165" i="19" a="1"/>
  <c r="B165" i="19" s="1"/>
  <c r="B166" i="19" a="1"/>
  <c r="B166" i="19" s="1"/>
  <c r="B167" i="19" a="1"/>
  <c r="B167" i="19" s="1"/>
  <c r="B168" i="19" a="1"/>
  <c r="B168" i="19" s="1"/>
  <c r="B169" i="19" a="1"/>
  <c r="B169" i="19" s="1"/>
  <c r="B170" i="19" a="1"/>
  <c r="B170" i="19" s="1"/>
  <c r="B171" i="19" a="1"/>
  <c r="B171" i="19" s="1"/>
  <c r="B172" i="19" a="1"/>
  <c r="B172" i="19" s="1"/>
  <c r="B173" i="19" a="1"/>
  <c r="B173" i="19" s="1"/>
  <c r="B174" i="19" a="1"/>
  <c r="B174" i="19" s="1"/>
  <c r="B175" i="19" a="1"/>
  <c r="B175" i="19" s="1"/>
  <c r="B176" i="19" a="1"/>
  <c r="B176" i="19" s="1"/>
  <c r="B177" i="19" a="1"/>
  <c r="B177" i="19" s="1"/>
  <c r="B178" i="19" a="1"/>
  <c r="B178" i="19" s="1"/>
  <c r="B179" i="19" a="1"/>
  <c r="B179" i="19" s="1"/>
  <c r="B180" i="19" a="1"/>
  <c r="B180" i="19" s="1"/>
  <c r="B181" i="19" a="1"/>
  <c r="B181" i="19" s="1"/>
  <c r="B182" i="19" a="1"/>
  <c r="B182" i="19" s="1"/>
  <c r="B183" i="19" a="1"/>
  <c r="B183" i="19" s="1"/>
  <c r="B184" i="19" a="1"/>
  <c r="B184" i="19" s="1"/>
  <c r="B185" i="19" a="1"/>
  <c r="B185" i="19" s="1"/>
  <c r="B186" i="19" a="1"/>
  <c r="B186" i="19" s="1"/>
  <c r="B187" i="19" a="1"/>
  <c r="B187" i="19" s="1"/>
  <c r="B188" i="19" a="1"/>
  <c r="B188" i="19" s="1"/>
  <c r="B189" i="19" a="1"/>
  <c r="B189" i="19" s="1"/>
  <c r="B153" i="23" a="1"/>
  <c r="B153" i="23" s="1"/>
  <c r="B154" i="23" a="1"/>
  <c r="B154" i="23" s="1"/>
  <c r="B155" i="23" a="1"/>
  <c r="B155" i="23" s="1"/>
  <c r="B156" i="23" a="1"/>
  <c r="B156" i="23" s="1"/>
  <c r="B157" i="23" a="1"/>
  <c r="B157" i="23" s="1"/>
  <c r="B158" i="23" a="1"/>
  <c r="B158" i="23" s="1"/>
  <c r="B159" i="23" a="1"/>
  <c r="B159" i="23" s="1"/>
  <c r="B160" i="23" a="1"/>
  <c r="B160" i="23" s="1"/>
  <c r="B161" i="23" a="1"/>
  <c r="B161" i="23" s="1"/>
  <c r="B162" i="23" a="1"/>
  <c r="B162" i="23" s="1"/>
  <c r="B163" i="23" a="1"/>
  <c r="B163" i="23" s="1"/>
  <c r="B164" i="23" a="1"/>
  <c r="B164" i="23" s="1"/>
  <c r="B165" i="23" a="1"/>
  <c r="B165" i="23" s="1"/>
  <c r="B166" i="23" a="1"/>
  <c r="B166" i="23" s="1"/>
  <c r="B167" i="23" a="1"/>
  <c r="B167" i="23" s="1"/>
  <c r="B168" i="23" a="1"/>
  <c r="B168" i="23" s="1"/>
  <c r="B169" i="23" a="1"/>
  <c r="B169" i="23" s="1"/>
  <c r="B170" i="23" a="1"/>
  <c r="B170" i="23" s="1"/>
  <c r="B171" i="23" a="1"/>
  <c r="B171" i="23" s="1"/>
  <c r="B172" i="23" a="1"/>
  <c r="B172" i="23" s="1"/>
  <c r="B173" i="23" a="1"/>
  <c r="B173" i="23" s="1"/>
  <c r="B174" i="23" a="1"/>
  <c r="B174" i="23" s="1"/>
  <c r="B175" i="23" a="1"/>
  <c r="B175" i="23" s="1"/>
  <c r="B176" i="23" a="1"/>
  <c r="B176" i="23" s="1"/>
  <c r="B177" i="23" a="1"/>
  <c r="B177" i="23" s="1"/>
  <c r="B178" i="23" a="1"/>
  <c r="B178" i="23" s="1"/>
  <c r="B179" i="23" a="1"/>
  <c r="B179" i="23" s="1"/>
  <c r="B180" i="23" a="1"/>
  <c r="B180" i="23" s="1"/>
  <c r="B181" i="23" a="1"/>
  <c r="B181" i="23" s="1"/>
  <c r="B182" i="23" a="1"/>
  <c r="B182" i="23" s="1"/>
  <c r="B183" i="23" a="1"/>
  <c r="B183" i="23" s="1"/>
  <c r="B184" i="23" a="1"/>
  <c r="B184" i="23" s="1"/>
  <c r="B185" i="23" a="1"/>
  <c r="B185" i="23" s="1"/>
  <c r="B186" i="23" a="1"/>
  <c r="B186" i="23" s="1"/>
  <c r="B187" i="23" a="1"/>
  <c r="B187" i="23" s="1"/>
  <c r="B188" i="23" a="1"/>
  <c r="B188" i="23" s="1"/>
  <c r="B189" i="23" a="1"/>
  <c r="B189" i="23" s="1"/>
  <c r="B153" i="6" a="1"/>
  <c r="B153" i="6" s="1"/>
  <c r="B154" i="6" a="1"/>
  <c r="B154" i="6" s="1"/>
  <c r="B155" i="6" a="1"/>
  <c r="B155" i="6" s="1"/>
  <c r="B156" i="6" a="1"/>
  <c r="B156" i="6" s="1"/>
  <c r="B157" i="6" a="1"/>
  <c r="B157" i="6" s="1"/>
  <c r="B158" i="6" a="1"/>
  <c r="B158" i="6" s="1"/>
  <c r="B159" i="6" a="1"/>
  <c r="B159" i="6" s="1"/>
  <c r="B160" i="6" a="1"/>
  <c r="B160" i="6" s="1"/>
  <c r="B161" i="6" a="1"/>
  <c r="B161" i="6" s="1"/>
  <c r="B162" i="6" a="1"/>
  <c r="B162" i="6" s="1"/>
  <c r="B163" i="6" a="1"/>
  <c r="B163" i="6" s="1"/>
  <c r="B164" i="6" a="1"/>
  <c r="B164" i="6" s="1"/>
  <c r="B165" i="6" a="1"/>
  <c r="B165" i="6" s="1"/>
  <c r="B166" i="6" a="1"/>
  <c r="B166" i="6" s="1"/>
  <c r="B167" i="6" a="1"/>
  <c r="B167" i="6" s="1"/>
  <c r="B168" i="6" a="1"/>
  <c r="B168" i="6" s="1"/>
  <c r="B169" i="6" a="1"/>
  <c r="B169" i="6" s="1"/>
  <c r="B170" i="6" a="1"/>
  <c r="B170" i="6" s="1"/>
  <c r="B171" i="6" a="1"/>
  <c r="B171" i="6" s="1"/>
  <c r="B172" i="6" a="1"/>
  <c r="B172" i="6" s="1"/>
  <c r="B173" i="6" a="1"/>
  <c r="B173" i="6" s="1"/>
  <c r="B174" i="6" a="1"/>
  <c r="B174" i="6" s="1"/>
  <c r="B175" i="6" a="1"/>
  <c r="B175" i="6" s="1"/>
  <c r="B176" i="6" a="1"/>
  <c r="B176" i="6" s="1"/>
  <c r="B177" i="6" a="1"/>
  <c r="B177" i="6" s="1"/>
  <c r="B178" i="6" a="1"/>
  <c r="B178" i="6" s="1"/>
  <c r="B179" i="6" a="1"/>
  <c r="B179" i="6" s="1"/>
  <c r="B180" i="6" a="1"/>
  <c r="B180" i="6" s="1"/>
  <c r="B181" i="6" a="1"/>
  <c r="B181" i="6" s="1"/>
  <c r="B182" i="6" a="1"/>
  <c r="B182" i="6" s="1"/>
  <c r="B183" i="6" a="1"/>
  <c r="B183" i="6" s="1"/>
  <c r="B184" i="6" a="1"/>
  <c r="B184" i="6" s="1"/>
  <c r="B185" i="6" a="1"/>
  <c r="B185" i="6" s="1"/>
  <c r="B186" i="6" a="1"/>
  <c r="B186" i="6" s="1"/>
  <c r="B187" i="6" a="1"/>
  <c r="B187" i="6" s="1"/>
  <c r="B188" i="6" a="1"/>
  <c r="B188" i="6" s="1"/>
  <c r="B189" i="6" a="1"/>
  <c r="B189" i="6" s="1"/>
  <c r="B153" i="28" a="1"/>
  <c r="B153" i="28" s="1"/>
  <c r="B154" i="28" a="1"/>
  <c r="B154" i="28" s="1"/>
  <c r="B155" i="28" a="1"/>
  <c r="B155" i="28" s="1"/>
  <c r="B156" i="28" a="1"/>
  <c r="B156" i="28" s="1"/>
  <c r="B157" i="28" a="1"/>
  <c r="B157" i="28" s="1"/>
  <c r="B158" i="28" a="1"/>
  <c r="B158" i="28" s="1"/>
  <c r="B159" i="28" a="1"/>
  <c r="B159" i="28" s="1"/>
  <c r="B160" i="28" a="1"/>
  <c r="B160" i="28" s="1"/>
  <c r="B161" i="28" a="1"/>
  <c r="B161" i="28" s="1"/>
  <c r="B162" i="28" a="1"/>
  <c r="B162" i="28" s="1"/>
  <c r="B163" i="28" a="1"/>
  <c r="B163" i="28" s="1"/>
  <c r="B164" i="28" a="1"/>
  <c r="B164" i="28" s="1"/>
  <c r="B165" i="28" a="1"/>
  <c r="B165" i="28" s="1"/>
  <c r="B166" i="28" a="1"/>
  <c r="B166" i="28" s="1"/>
  <c r="B167" i="28" a="1"/>
  <c r="B167" i="28" s="1"/>
  <c r="B168" i="28" a="1"/>
  <c r="B168" i="28" s="1"/>
  <c r="B169" i="28" a="1"/>
  <c r="B169" i="28" s="1"/>
  <c r="B170" i="28" a="1"/>
  <c r="B170" i="28" s="1"/>
  <c r="B171" i="28" a="1"/>
  <c r="B171" i="28" s="1"/>
  <c r="B172" i="28" a="1"/>
  <c r="B172" i="28" s="1"/>
  <c r="B173" i="28" a="1"/>
  <c r="B173" i="28" s="1"/>
  <c r="B174" i="28" a="1"/>
  <c r="B174" i="28" s="1"/>
  <c r="B175" i="28" a="1"/>
  <c r="B175" i="28" s="1"/>
  <c r="B176" i="28" a="1"/>
  <c r="B176" i="28" s="1"/>
  <c r="B177" i="28" a="1"/>
  <c r="B177" i="28" s="1"/>
  <c r="B178" i="28" a="1"/>
  <c r="B178" i="28" s="1"/>
  <c r="B179" i="28" a="1"/>
  <c r="B179" i="28" s="1"/>
  <c r="B180" i="28" a="1"/>
  <c r="B180" i="28" s="1"/>
  <c r="B181" i="28" a="1"/>
  <c r="B181" i="28" s="1"/>
  <c r="B182" i="28" a="1"/>
  <c r="B182" i="28" s="1"/>
  <c r="B183" i="28" a="1"/>
  <c r="B183" i="28" s="1"/>
  <c r="B184" i="28" a="1"/>
  <c r="B184" i="28" s="1"/>
  <c r="B185" i="28" a="1"/>
  <c r="B185" i="28" s="1"/>
  <c r="B186" i="28" a="1"/>
  <c r="B186" i="28" s="1"/>
  <c r="B187" i="28" a="1"/>
  <c r="B187" i="28" s="1"/>
  <c r="B188" i="28" a="1"/>
  <c r="B188" i="28" s="1"/>
  <c r="B189" i="28" a="1"/>
  <c r="B189" i="28" s="1"/>
  <c r="B153" i="20" a="1"/>
  <c r="B153" i="20" s="1"/>
  <c r="B154" i="20" a="1"/>
  <c r="B154" i="20" s="1"/>
  <c r="B155" i="20" a="1"/>
  <c r="B155" i="20" s="1"/>
  <c r="B156" i="20" a="1"/>
  <c r="B156" i="20" s="1"/>
  <c r="B157" i="20" a="1"/>
  <c r="B157" i="20" s="1"/>
  <c r="B158" i="20" a="1"/>
  <c r="B158" i="20" s="1"/>
  <c r="B159" i="20" a="1"/>
  <c r="B159" i="20" s="1"/>
  <c r="B160" i="20" a="1"/>
  <c r="B160" i="20" s="1"/>
  <c r="B161" i="20" a="1"/>
  <c r="B161" i="20" s="1"/>
  <c r="B162" i="20" a="1"/>
  <c r="B162" i="20" s="1"/>
  <c r="B163" i="20" a="1"/>
  <c r="B163" i="20" s="1"/>
  <c r="B164" i="20" a="1"/>
  <c r="B164" i="20" s="1"/>
  <c r="B165" i="20" a="1"/>
  <c r="B165" i="20" s="1"/>
  <c r="B166" i="20" a="1"/>
  <c r="B166" i="20" s="1"/>
  <c r="B167" i="20" a="1"/>
  <c r="B167" i="20" s="1"/>
  <c r="B168" i="20" a="1"/>
  <c r="B168" i="20" s="1"/>
  <c r="B169" i="20" a="1"/>
  <c r="B169" i="20" s="1"/>
  <c r="B170" i="20" a="1"/>
  <c r="B170" i="20" s="1"/>
  <c r="B171" i="20" a="1"/>
  <c r="B171" i="20" s="1"/>
  <c r="B172" i="20" a="1"/>
  <c r="B172" i="20" s="1"/>
  <c r="B173" i="20" a="1"/>
  <c r="B173" i="20" s="1"/>
  <c r="B174" i="20" a="1"/>
  <c r="B174" i="20" s="1"/>
  <c r="B175" i="20" a="1"/>
  <c r="B175" i="20" s="1"/>
  <c r="B176" i="20" a="1"/>
  <c r="B176" i="20" s="1"/>
  <c r="B177" i="20" a="1"/>
  <c r="B177" i="20" s="1"/>
  <c r="B178" i="20" a="1"/>
  <c r="B178" i="20" s="1"/>
  <c r="B179" i="20" a="1"/>
  <c r="B179" i="20" s="1"/>
  <c r="B180" i="20" a="1"/>
  <c r="B180" i="20" s="1"/>
  <c r="B181" i="20" a="1"/>
  <c r="B181" i="20" s="1"/>
  <c r="B182" i="20" a="1"/>
  <c r="B182" i="20" s="1"/>
  <c r="B183" i="20" a="1"/>
  <c r="B183" i="20" s="1"/>
  <c r="B184" i="20" a="1"/>
  <c r="B184" i="20" s="1"/>
  <c r="B185" i="20" a="1"/>
  <c r="B185" i="20" s="1"/>
  <c r="B186" i="20" a="1"/>
  <c r="B186" i="20" s="1"/>
  <c r="B187" i="20" a="1"/>
  <c r="B187" i="20" s="1"/>
  <c r="B188" i="20" a="1"/>
  <c r="B188" i="20" s="1"/>
  <c r="B189" i="20" a="1"/>
  <c r="B189" i="20" s="1"/>
  <c r="B153" i="21" a="1"/>
  <c r="B153" i="21" s="1"/>
  <c r="B154" i="21" a="1"/>
  <c r="B154" i="21" s="1"/>
  <c r="B155" i="21" a="1"/>
  <c r="B155" i="21" s="1"/>
  <c r="B156" i="21" a="1"/>
  <c r="B156" i="21" s="1"/>
  <c r="B157" i="21" a="1"/>
  <c r="B157" i="21" s="1"/>
  <c r="B158" i="21" a="1"/>
  <c r="B158" i="21" s="1"/>
  <c r="B159" i="21" a="1"/>
  <c r="B159" i="21" s="1"/>
  <c r="B160" i="21" a="1"/>
  <c r="B160" i="21" s="1"/>
  <c r="B161" i="21" a="1"/>
  <c r="B161" i="21" s="1"/>
  <c r="B162" i="21" a="1"/>
  <c r="B162" i="21" s="1"/>
  <c r="B163" i="21" a="1"/>
  <c r="B163" i="21" s="1"/>
  <c r="B164" i="21" a="1"/>
  <c r="B164" i="21" s="1"/>
  <c r="B165" i="21" a="1"/>
  <c r="B165" i="21" s="1"/>
  <c r="B166" i="21" a="1"/>
  <c r="B166" i="21" s="1"/>
  <c r="B167" i="21" a="1"/>
  <c r="B167" i="21" s="1"/>
  <c r="B168" i="21" a="1"/>
  <c r="B168" i="21" s="1"/>
  <c r="B169" i="21" a="1"/>
  <c r="B169" i="21" s="1"/>
  <c r="B170" i="21" a="1"/>
  <c r="B170" i="21" s="1"/>
  <c r="B171" i="21" a="1"/>
  <c r="B171" i="21" s="1"/>
  <c r="B172" i="21" a="1"/>
  <c r="B172" i="21" s="1"/>
  <c r="B173" i="21" a="1"/>
  <c r="B173" i="21" s="1"/>
  <c r="B174" i="21" a="1"/>
  <c r="B174" i="21" s="1"/>
  <c r="B175" i="21" a="1"/>
  <c r="B175" i="21" s="1"/>
  <c r="B176" i="21" a="1"/>
  <c r="B176" i="21" s="1"/>
  <c r="B177" i="21" a="1"/>
  <c r="B177" i="21" s="1"/>
  <c r="B178" i="21" a="1"/>
  <c r="B178" i="21" s="1"/>
  <c r="B179" i="21" a="1"/>
  <c r="B179" i="21" s="1"/>
  <c r="B180" i="21" a="1"/>
  <c r="B180" i="21" s="1"/>
  <c r="B181" i="21" a="1"/>
  <c r="B181" i="21" s="1"/>
  <c r="B182" i="21" a="1"/>
  <c r="B182" i="21" s="1"/>
  <c r="B183" i="21" a="1"/>
  <c r="B183" i="21" s="1"/>
  <c r="B184" i="21" a="1"/>
  <c r="B184" i="21" s="1"/>
  <c r="B185" i="21" a="1"/>
  <c r="B185" i="21" s="1"/>
  <c r="B186" i="21" a="1"/>
  <c r="B186" i="21" s="1"/>
  <c r="B187" i="21" a="1"/>
  <c r="B187" i="21" s="1"/>
  <c r="B188" i="21" a="1"/>
  <c r="B188" i="21" s="1"/>
  <c r="B189" i="21" a="1"/>
  <c r="B189" i="21" s="1"/>
  <c r="B153" i="17" a="1"/>
  <c r="B153" i="17" s="1"/>
  <c r="B154" i="17" a="1"/>
  <c r="B154" i="17" s="1"/>
  <c r="B155" i="17" a="1"/>
  <c r="B155" i="17" s="1"/>
  <c r="B156" i="17" a="1"/>
  <c r="B156" i="17" s="1"/>
  <c r="B157" i="17" a="1"/>
  <c r="B157" i="17" s="1"/>
  <c r="B158" i="17" a="1"/>
  <c r="B158" i="17" s="1"/>
  <c r="B159" i="17" a="1"/>
  <c r="B159" i="17" s="1"/>
  <c r="B160" i="17" a="1"/>
  <c r="B160" i="17" s="1"/>
  <c r="B161" i="17" a="1"/>
  <c r="B161" i="17" s="1"/>
  <c r="B162" i="17" a="1"/>
  <c r="B162" i="17" s="1"/>
  <c r="B163" i="17" a="1"/>
  <c r="B163" i="17" s="1"/>
  <c r="B164" i="17" a="1"/>
  <c r="B164" i="17" s="1"/>
  <c r="B165" i="17" a="1"/>
  <c r="B165" i="17" s="1"/>
  <c r="B166" i="17" a="1"/>
  <c r="B166" i="17" s="1"/>
  <c r="B167" i="17" a="1"/>
  <c r="B167" i="17" s="1"/>
  <c r="B168" i="17" a="1"/>
  <c r="B168" i="17" s="1"/>
  <c r="B169" i="17" a="1"/>
  <c r="B169" i="17" s="1"/>
  <c r="B170" i="17" a="1"/>
  <c r="B170" i="17" s="1"/>
  <c r="B171" i="17" a="1"/>
  <c r="B171" i="17" s="1"/>
  <c r="B172" i="17" a="1"/>
  <c r="B172" i="17" s="1"/>
  <c r="B173" i="17" a="1"/>
  <c r="B173" i="17" s="1"/>
  <c r="B174" i="17" a="1"/>
  <c r="B174" i="17" s="1"/>
  <c r="B175" i="17" a="1"/>
  <c r="B175" i="17" s="1"/>
  <c r="B176" i="17" a="1"/>
  <c r="B176" i="17" s="1"/>
  <c r="B177" i="17" a="1"/>
  <c r="B177" i="17" s="1"/>
  <c r="B178" i="17" a="1"/>
  <c r="B178" i="17" s="1"/>
  <c r="B179" i="17" a="1"/>
  <c r="B179" i="17" s="1"/>
  <c r="B180" i="17" a="1"/>
  <c r="B180" i="17" s="1"/>
  <c r="B181" i="17" a="1"/>
  <c r="B181" i="17" s="1"/>
  <c r="B182" i="17" a="1"/>
  <c r="B182" i="17" s="1"/>
  <c r="B183" i="17" a="1"/>
  <c r="B183" i="17" s="1"/>
  <c r="B184" i="17" a="1"/>
  <c r="B184" i="17" s="1"/>
  <c r="B185" i="17" a="1"/>
  <c r="B185" i="17" s="1"/>
  <c r="B186" i="17" a="1"/>
  <c r="B186" i="17" s="1"/>
  <c r="B187" i="17" a="1"/>
  <c r="B187" i="17" s="1"/>
  <c r="B188" i="17" a="1"/>
  <c r="B188" i="17" s="1"/>
  <c r="B189" i="17" a="1"/>
  <c r="B189" i="17" s="1"/>
  <c r="B111" i="18" a="1"/>
  <c r="B111" i="18" s="1"/>
  <c r="B112" i="18" a="1"/>
  <c r="B112" i="18" s="1"/>
  <c r="B113" i="18" a="1"/>
  <c r="B113" i="18" s="1"/>
  <c r="B114" i="18" a="1"/>
  <c r="B114" i="18" s="1"/>
  <c r="B115" i="18" a="1"/>
  <c r="B115" i="18" s="1"/>
  <c r="B116" i="18" a="1"/>
  <c r="B116" i="18" s="1"/>
  <c r="B117" i="18" a="1"/>
  <c r="B117" i="18" s="1"/>
  <c r="B118" i="18" a="1"/>
  <c r="B118" i="18" s="1"/>
  <c r="B119" i="18" a="1"/>
  <c r="B119" i="18" s="1"/>
  <c r="B120" i="18" a="1"/>
  <c r="B120" i="18" s="1"/>
  <c r="B121" i="18" a="1"/>
  <c r="B121" i="18" s="1"/>
  <c r="B122" i="18" a="1"/>
  <c r="B122" i="18" s="1"/>
  <c r="B123" i="18" a="1"/>
  <c r="B123" i="18" s="1"/>
  <c r="B124" i="18" a="1"/>
  <c r="B124" i="18" s="1"/>
  <c r="B125" i="18" a="1"/>
  <c r="B125" i="18" s="1"/>
  <c r="B126" i="18" a="1"/>
  <c r="B126" i="18" s="1"/>
  <c r="B127" i="18" a="1"/>
  <c r="B127" i="18" s="1"/>
  <c r="B128" i="18" a="1"/>
  <c r="B128" i="18" s="1"/>
  <c r="B129" i="18" a="1"/>
  <c r="B129" i="18" s="1"/>
  <c r="B130" i="18" a="1"/>
  <c r="B130" i="18" s="1"/>
  <c r="B131" i="18" a="1"/>
  <c r="B131" i="18" s="1"/>
  <c r="B132" i="18" a="1"/>
  <c r="B132" i="18" s="1"/>
  <c r="B133" i="18" a="1"/>
  <c r="B133" i="18" s="1"/>
  <c r="B134" i="18" a="1"/>
  <c r="B134" i="18" s="1"/>
  <c r="B135" i="18" a="1"/>
  <c r="B135" i="18" s="1"/>
  <c r="B136" i="18" a="1"/>
  <c r="B136" i="18" s="1"/>
  <c r="B137" i="18" a="1"/>
  <c r="B137" i="18" s="1"/>
  <c r="B138" i="18" a="1"/>
  <c r="B138" i="18" s="1"/>
  <c r="B139" i="18" a="1"/>
  <c r="B139" i="18" s="1"/>
  <c r="B140" i="18" a="1"/>
  <c r="B140" i="18" s="1"/>
  <c r="B141" i="18" a="1"/>
  <c r="B141" i="18" s="1"/>
  <c r="B142" i="18" a="1"/>
  <c r="B142" i="18" s="1"/>
  <c r="B143" i="18" a="1"/>
  <c r="B143" i="18" s="1"/>
  <c r="B144" i="18" a="1"/>
  <c r="B144" i="18" s="1"/>
  <c r="B145" i="18" a="1"/>
  <c r="B145" i="18" s="1"/>
  <c r="B146" i="18" a="1"/>
  <c r="B146" i="18" s="1"/>
  <c r="B147" i="18" a="1"/>
  <c r="B147" i="18" s="1"/>
  <c r="B111" i="19" a="1"/>
  <c r="B111" i="19" s="1"/>
  <c r="B112" i="19" a="1"/>
  <c r="B112" i="19" s="1"/>
  <c r="B113" i="19" a="1"/>
  <c r="B113" i="19" s="1"/>
  <c r="B114" i="19" a="1"/>
  <c r="B114" i="19" s="1"/>
  <c r="B115" i="19" a="1"/>
  <c r="B115" i="19" s="1"/>
  <c r="B116" i="19" a="1"/>
  <c r="B116" i="19" s="1"/>
  <c r="B117" i="19" a="1"/>
  <c r="B117" i="19" s="1"/>
  <c r="B118" i="19" a="1"/>
  <c r="B118" i="19" s="1"/>
  <c r="B119" i="19" a="1"/>
  <c r="B119" i="19" s="1"/>
  <c r="B120" i="19" a="1"/>
  <c r="B120" i="19" s="1"/>
  <c r="B121" i="19" a="1"/>
  <c r="B121" i="19" s="1"/>
  <c r="B122" i="19" a="1"/>
  <c r="B122" i="19" s="1"/>
  <c r="B123" i="19" a="1"/>
  <c r="B123" i="19" s="1"/>
  <c r="B124" i="19" a="1"/>
  <c r="B124" i="19" s="1"/>
  <c r="B125" i="19" a="1"/>
  <c r="B125" i="19" s="1"/>
  <c r="B126" i="19" a="1"/>
  <c r="B126" i="19" s="1"/>
  <c r="B127" i="19" a="1"/>
  <c r="B127" i="19" s="1"/>
  <c r="B128" i="19" a="1"/>
  <c r="B128" i="19" s="1"/>
  <c r="B129" i="19" a="1"/>
  <c r="B129" i="19" s="1"/>
  <c r="B130" i="19" a="1"/>
  <c r="B130" i="19" s="1"/>
  <c r="B131" i="19" a="1"/>
  <c r="B131" i="19" s="1"/>
  <c r="B132" i="19" a="1"/>
  <c r="B132" i="19" s="1"/>
  <c r="B133" i="19" a="1"/>
  <c r="B133" i="19" s="1"/>
  <c r="B134" i="19" a="1"/>
  <c r="B134" i="19" s="1"/>
  <c r="B135" i="19" a="1"/>
  <c r="B135" i="19" s="1"/>
  <c r="B136" i="19" a="1"/>
  <c r="B136" i="19" s="1"/>
  <c r="B137" i="19" a="1"/>
  <c r="B137" i="19" s="1"/>
  <c r="B138" i="19" a="1"/>
  <c r="B138" i="19" s="1"/>
  <c r="B139" i="19" a="1"/>
  <c r="B139" i="19" s="1"/>
  <c r="B140" i="19" a="1"/>
  <c r="B140" i="19" s="1"/>
  <c r="B141" i="19" a="1"/>
  <c r="B141" i="19" s="1"/>
  <c r="B142" i="19" a="1"/>
  <c r="B142" i="19" s="1"/>
  <c r="B143" i="19" a="1"/>
  <c r="B143" i="19" s="1"/>
  <c r="B144" i="19" a="1"/>
  <c r="B144" i="19" s="1"/>
  <c r="B145" i="19" a="1"/>
  <c r="B145" i="19" s="1"/>
  <c r="B146" i="19" a="1"/>
  <c r="B146" i="19" s="1"/>
  <c r="B147" i="19" a="1"/>
  <c r="B147" i="19" s="1"/>
  <c r="B111" i="23" a="1"/>
  <c r="B111" i="23" s="1"/>
  <c r="B112" i="23" a="1"/>
  <c r="B112" i="23" s="1"/>
  <c r="B113" i="23" a="1"/>
  <c r="B113" i="23" s="1"/>
  <c r="B114" i="23" a="1"/>
  <c r="B114" i="23" s="1"/>
  <c r="B115" i="23" a="1"/>
  <c r="B115" i="23" s="1"/>
  <c r="B116" i="23" a="1"/>
  <c r="B116" i="23" s="1"/>
  <c r="B117" i="23" a="1"/>
  <c r="B117" i="23" s="1"/>
  <c r="B118" i="23" a="1"/>
  <c r="B118" i="23" s="1"/>
  <c r="B119" i="23" a="1"/>
  <c r="B119" i="23" s="1"/>
  <c r="B120" i="23" a="1"/>
  <c r="B120" i="23" s="1"/>
  <c r="B121" i="23" a="1"/>
  <c r="B121" i="23" s="1"/>
  <c r="B122" i="23" a="1"/>
  <c r="B122" i="23" s="1"/>
  <c r="B123" i="23" a="1"/>
  <c r="B123" i="23" s="1"/>
  <c r="B124" i="23" a="1"/>
  <c r="B124" i="23" s="1"/>
  <c r="B125" i="23" a="1"/>
  <c r="B125" i="23" s="1"/>
  <c r="B126" i="23" a="1"/>
  <c r="B126" i="23" s="1"/>
  <c r="B127" i="23" a="1"/>
  <c r="B127" i="23" s="1"/>
  <c r="B128" i="23" a="1"/>
  <c r="B128" i="23" s="1"/>
  <c r="B129" i="23" a="1"/>
  <c r="B129" i="23" s="1"/>
  <c r="B130" i="23" a="1"/>
  <c r="B130" i="23" s="1"/>
  <c r="B131" i="23" a="1"/>
  <c r="B131" i="23" s="1"/>
  <c r="B132" i="23" a="1"/>
  <c r="B132" i="23" s="1"/>
  <c r="B133" i="23" a="1"/>
  <c r="B133" i="23" s="1"/>
  <c r="B134" i="23" a="1"/>
  <c r="B134" i="23" s="1"/>
  <c r="B135" i="23" a="1"/>
  <c r="B135" i="23" s="1"/>
  <c r="B136" i="23" a="1"/>
  <c r="B136" i="23" s="1"/>
  <c r="B137" i="23" a="1"/>
  <c r="B137" i="23" s="1"/>
  <c r="B138" i="23" a="1"/>
  <c r="B138" i="23" s="1"/>
  <c r="B139" i="23" a="1"/>
  <c r="B139" i="23" s="1"/>
  <c r="B140" i="23" a="1"/>
  <c r="B140" i="23" s="1"/>
  <c r="B141" i="23" a="1"/>
  <c r="B141" i="23" s="1"/>
  <c r="B142" i="23" a="1"/>
  <c r="B142" i="23" s="1"/>
  <c r="B143" i="23" a="1"/>
  <c r="B143" i="23" s="1"/>
  <c r="B144" i="23" a="1"/>
  <c r="B144" i="23" s="1"/>
  <c r="B145" i="23" a="1"/>
  <c r="B145" i="23" s="1"/>
  <c r="B146" i="23" a="1"/>
  <c r="B146" i="23" s="1"/>
  <c r="B147" i="23" a="1"/>
  <c r="B147" i="23" s="1"/>
  <c r="B111" i="6" a="1"/>
  <c r="B111" i="6" s="1"/>
  <c r="B112" i="6" a="1"/>
  <c r="B112" i="6" s="1"/>
  <c r="B113" i="6" a="1"/>
  <c r="B113" i="6" s="1"/>
  <c r="B114" i="6" a="1"/>
  <c r="B114" i="6" s="1"/>
  <c r="B115" i="6" a="1"/>
  <c r="B115" i="6" s="1"/>
  <c r="B116" i="6" a="1"/>
  <c r="B116" i="6" s="1"/>
  <c r="B117" i="6" a="1"/>
  <c r="B117" i="6" s="1"/>
  <c r="B118" i="6" a="1"/>
  <c r="B118" i="6" s="1"/>
  <c r="B119" i="6" a="1"/>
  <c r="B119" i="6" s="1"/>
  <c r="B120" i="6" a="1"/>
  <c r="B120" i="6" s="1"/>
  <c r="B121" i="6" a="1"/>
  <c r="B121" i="6" s="1"/>
  <c r="B122" i="6" a="1"/>
  <c r="B122" i="6" s="1"/>
  <c r="B123" i="6" a="1"/>
  <c r="B123" i="6" s="1"/>
  <c r="B124" i="6" a="1"/>
  <c r="B124" i="6" s="1"/>
  <c r="B125" i="6" a="1"/>
  <c r="B125" i="6" s="1"/>
  <c r="B126" i="6" a="1"/>
  <c r="B126" i="6" s="1"/>
  <c r="B127" i="6" a="1"/>
  <c r="B127" i="6" s="1"/>
  <c r="B128" i="6" a="1"/>
  <c r="B128" i="6" s="1"/>
  <c r="B129" i="6" a="1"/>
  <c r="B129" i="6" s="1"/>
  <c r="B130" i="6" a="1"/>
  <c r="B130" i="6" s="1"/>
  <c r="B131" i="6" a="1"/>
  <c r="B131" i="6" s="1"/>
  <c r="B132" i="6" a="1"/>
  <c r="B132" i="6" s="1"/>
  <c r="B133" i="6" a="1"/>
  <c r="B133" i="6" s="1"/>
  <c r="B134" i="6" a="1"/>
  <c r="B134" i="6" s="1"/>
  <c r="B135" i="6" a="1"/>
  <c r="B135" i="6" s="1"/>
  <c r="B136" i="6" a="1"/>
  <c r="B136" i="6" s="1"/>
  <c r="B137" i="6" a="1"/>
  <c r="B137" i="6" s="1"/>
  <c r="B138" i="6" a="1"/>
  <c r="B138" i="6" s="1"/>
  <c r="B139" i="6" a="1"/>
  <c r="B139" i="6" s="1"/>
  <c r="B140" i="6" a="1"/>
  <c r="B140" i="6" s="1"/>
  <c r="B141" i="6" a="1"/>
  <c r="B141" i="6" s="1"/>
  <c r="B142" i="6" a="1"/>
  <c r="B142" i="6" s="1"/>
  <c r="B143" i="6" a="1"/>
  <c r="B143" i="6" s="1"/>
  <c r="B144" i="6" a="1"/>
  <c r="B144" i="6" s="1"/>
  <c r="B145" i="6" a="1"/>
  <c r="B145" i="6" s="1"/>
  <c r="B146" i="6" a="1"/>
  <c r="B146" i="6" s="1"/>
  <c r="B147" i="6" a="1"/>
  <c r="B147" i="6" s="1"/>
  <c r="B111" i="28" a="1"/>
  <c r="B111" i="28" s="1"/>
  <c r="B112" i="28" a="1"/>
  <c r="B112" i="28" s="1"/>
  <c r="B113" i="28" a="1"/>
  <c r="B113" i="28" s="1"/>
  <c r="B114" i="28" a="1"/>
  <c r="B114" i="28" s="1"/>
  <c r="B115" i="28" a="1"/>
  <c r="B115" i="28" s="1"/>
  <c r="B116" i="28" a="1"/>
  <c r="B116" i="28" s="1"/>
  <c r="B117" i="28" a="1"/>
  <c r="B117" i="28" s="1"/>
  <c r="B118" i="28" a="1"/>
  <c r="B118" i="28" s="1"/>
  <c r="B119" i="28" a="1"/>
  <c r="B119" i="28" s="1"/>
  <c r="B120" i="28" a="1"/>
  <c r="B120" i="28" s="1"/>
  <c r="B121" i="28" a="1"/>
  <c r="B121" i="28" s="1"/>
  <c r="B122" i="28" a="1"/>
  <c r="B122" i="28" s="1"/>
  <c r="B123" i="28" a="1"/>
  <c r="B123" i="28" s="1"/>
  <c r="B124" i="28" a="1"/>
  <c r="B124" i="28" s="1"/>
  <c r="B125" i="28" a="1"/>
  <c r="B125" i="28" s="1"/>
  <c r="B126" i="28" a="1"/>
  <c r="B126" i="28" s="1"/>
  <c r="B127" i="28" a="1"/>
  <c r="B127" i="28" s="1"/>
  <c r="B128" i="28" a="1"/>
  <c r="B128" i="28" s="1"/>
  <c r="B129" i="28" a="1"/>
  <c r="B129" i="28" s="1"/>
  <c r="B130" i="28" a="1"/>
  <c r="B130" i="28" s="1"/>
  <c r="B131" i="28" a="1"/>
  <c r="B131" i="28" s="1"/>
  <c r="B132" i="28" a="1"/>
  <c r="B132" i="28" s="1"/>
  <c r="B133" i="28" a="1"/>
  <c r="B133" i="28" s="1"/>
  <c r="B134" i="28" a="1"/>
  <c r="B134" i="28" s="1"/>
  <c r="B135" i="28" a="1"/>
  <c r="B135" i="28" s="1"/>
  <c r="B136" i="28" a="1"/>
  <c r="B136" i="28" s="1"/>
  <c r="B137" i="28" a="1"/>
  <c r="B137" i="28" s="1"/>
  <c r="B138" i="28" a="1"/>
  <c r="B138" i="28" s="1"/>
  <c r="B139" i="28" a="1"/>
  <c r="B139" i="28" s="1"/>
  <c r="B140" i="28" a="1"/>
  <c r="B140" i="28" s="1"/>
  <c r="B141" i="28" a="1"/>
  <c r="B141" i="28" s="1"/>
  <c r="B142" i="28" a="1"/>
  <c r="B142" i="28" s="1"/>
  <c r="B143" i="28" a="1"/>
  <c r="B143" i="28" s="1"/>
  <c r="B144" i="28" a="1"/>
  <c r="B144" i="28" s="1"/>
  <c r="B145" i="28" a="1"/>
  <c r="B145" i="28" s="1"/>
  <c r="B146" i="28" a="1"/>
  <c r="B146" i="28" s="1"/>
  <c r="B147" i="28" a="1"/>
  <c r="B147" i="28" s="1"/>
  <c r="B111" i="20" a="1"/>
  <c r="B111" i="20" s="1"/>
  <c r="B112" i="20" a="1"/>
  <c r="B112" i="20" s="1"/>
  <c r="B113" i="20" a="1"/>
  <c r="B113" i="20" s="1"/>
  <c r="B114" i="20" a="1"/>
  <c r="B114" i="20" s="1"/>
  <c r="B115" i="20" a="1"/>
  <c r="B115" i="20" s="1"/>
  <c r="B116" i="20" a="1"/>
  <c r="B116" i="20" s="1"/>
  <c r="B117" i="20" a="1"/>
  <c r="B117" i="20" s="1"/>
  <c r="B118" i="20" a="1"/>
  <c r="B118" i="20" s="1"/>
  <c r="B119" i="20" a="1"/>
  <c r="B119" i="20" s="1"/>
  <c r="B120" i="20" a="1"/>
  <c r="B120" i="20" s="1"/>
  <c r="B121" i="20" a="1"/>
  <c r="B121" i="20" s="1"/>
  <c r="B122" i="20" a="1"/>
  <c r="B122" i="20" s="1"/>
  <c r="B123" i="20" a="1"/>
  <c r="B123" i="20" s="1"/>
  <c r="B124" i="20" a="1"/>
  <c r="B124" i="20" s="1"/>
  <c r="B125" i="20" a="1"/>
  <c r="B125" i="20" s="1"/>
  <c r="B126" i="20" a="1"/>
  <c r="B126" i="20" s="1"/>
  <c r="B127" i="20" a="1"/>
  <c r="B127" i="20" s="1"/>
  <c r="B128" i="20" a="1"/>
  <c r="B128" i="20" s="1"/>
  <c r="B129" i="20" a="1"/>
  <c r="B129" i="20" s="1"/>
  <c r="B130" i="20" a="1"/>
  <c r="B130" i="20" s="1"/>
  <c r="B131" i="20" a="1"/>
  <c r="B131" i="20" s="1"/>
  <c r="B132" i="20" a="1"/>
  <c r="B132" i="20" s="1"/>
  <c r="B133" i="20" a="1"/>
  <c r="B133" i="20" s="1"/>
  <c r="B134" i="20" a="1"/>
  <c r="B134" i="20" s="1"/>
  <c r="B135" i="20" a="1"/>
  <c r="B135" i="20" s="1"/>
  <c r="B136" i="20" a="1"/>
  <c r="B136" i="20" s="1"/>
  <c r="B137" i="20" a="1"/>
  <c r="B137" i="20" s="1"/>
  <c r="B138" i="20" a="1"/>
  <c r="B138" i="20" s="1"/>
  <c r="B139" i="20" a="1"/>
  <c r="B139" i="20" s="1"/>
  <c r="B140" i="20" a="1"/>
  <c r="B140" i="20" s="1"/>
  <c r="B141" i="20" a="1"/>
  <c r="B141" i="20" s="1"/>
  <c r="B142" i="20" a="1"/>
  <c r="B142" i="20" s="1"/>
  <c r="B143" i="20" a="1"/>
  <c r="B143" i="20" s="1"/>
  <c r="B144" i="20" a="1"/>
  <c r="B144" i="20" s="1"/>
  <c r="B145" i="20" a="1"/>
  <c r="B145" i="20" s="1"/>
  <c r="B146" i="20" a="1"/>
  <c r="B146" i="20" s="1"/>
  <c r="B147" i="20" a="1"/>
  <c r="B147" i="20" s="1"/>
  <c r="B111" i="21" a="1"/>
  <c r="B111" i="21" s="1"/>
  <c r="B112" i="21" a="1"/>
  <c r="B112" i="21" s="1"/>
  <c r="B113" i="21" a="1"/>
  <c r="B113" i="21" s="1"/>
  <c r="B114" i="21" a="1"/>
  <c r="B114" i="21" s="1"/>
  <c r="B115" i="21" a="1"/>
  <c r="B115" i="21" s="1"/>
  <c r="B116" i="21" a="1"/>
  <c r="B116" i="21" s="1"/>
  <c r="B117" i="21" a="1"/>
  <c r="B117" i="21" s="1"/>
  <c r="B118" i="21" a="1"/>
  <c r="B118" i="21" s="1"/>
  <c r="B119" i="21" a="1"/>
  <c r="B119" i="21" s="1"/>
  <c r="B120" i="21" a="1"/>
  <c r="B120" i="21" s="1"/>
  <c r="B121" i="21" a="1"/>
  <c r="B121" i="21" s="1"/>
  <c r="B122" i="21" a="1"/>
  <c r="B122" i="21" s="1"/>
  <c r="B123" i="21" a="1"/>
  <c r="B123" i="21" s="1"/>
  <c r="B124" i="21" a="1"/>
  <c r="B124" i="21" s="1"/>
  <c r="B125" i="21" a="1"/>
  <c r="B125" i="21" s="1"/>
  <c r="B126" i="21" a="1"/>
  <c r="B126" i="21" s="1"/>
  <c r="B127" i="21" a="1"/>
  <c r="B127" i="21" s="1"/>
  <c r="B128" i="21" a="1"/>
  <c r="B128" i="21" s="1"/>
  <c r="B129" i="21" a="1"/>
  <c r="B129" i="21" s="1"/>
  <c r="B130" i="21" a="1"/>
  <c r="B130" i="21" s="1"/>
  <c r="B131" i="21" a="1"/>
  <c r="B131" i="21" s="1"/>
  <c r="B132" i="21" a="1"/>
  <c r="B132" i="21" s="1"/>
  <c r="B133" i="21" a="1"/>
  <c r="B133" i="21" s="1"/>
  <c r="B134" i="21" a="1"/>
  <c r="B134" i="21" s="1"/>
  <c r="B135" i="21" a="1"/>
  <c r="B135" i="21" s="1"/>
  <c r="B136" i="21" a="1"/>
  <c r="B136" i="21" s="1"/>
  <c r="B137" i="21" a="1"/>
  <c r="B137" i="21" s="1"/>
  <c r="B138" i="21" a="1"/>
  <c r="B138" i="21" s="1"/>
  <c r="B139" i="21" a="1"/>
  <c r="B139" i="21" s="1"/>
  <c r="B140" i="21" a="1"/>
  <c r="B140" i="21" s="1"/>
  <c r="B141" i="21" a="1"/>
  <c r="B141" i="21" s="1"/>
  <c r="B142" i="21" a="1"/>
  <c r="B142" i="21" s="1"/>
  <c r="B143" i="21" a="1"/>
  <c r="B143" i="21" s="1"/>
  <c r="B144" i="21" a="1"/>
  <c r="B144" i="21" s="1"/>
  <c r="B145" i="21" a="1"/>
  <c r="B145" i="21" s="1"/>
  <c r="B146" i="21" a="1"/>
  <c r="B146" i="21" s="1"/>
  <c r="B147" i="21" a="1"/>
  <c r="B147" i="21" s="1"/>
  <c r="B111" i="17" a="1"/>
  <c r="B111" i="17" s="1"/>
  <c r="B112" i="17" a="1"/>
  <c r="B112" i="17" s="1"/>
  <c r="B113" i="17" a="1"/>
  <c r="B113" i="17" s="1"/>
  <c r="B114" i="17" a="1"/>
  <c r="B114" i="17" s="1"/>
  <c r="B115" i="17" a="1"/>
  <c r="B115" i="17" s="1"/>
  <c r="B116" i="17" a="1"/>
  <c r="B116" i="17" s="1"/>
  <c r="B117" i="17" a="1"/>
  <c r="B117" i="17" s="1"/>
  <c r="B118" i="17" a="1"/>
  <c r="B118" i="17" s="1"/>
  <c r="B119" i="17" a="1"/>
  <c r="B119" i="17" s="1"/>
  <c r="B120" i="17" a="1"/>
  <c r="B120" i="17" s="1"/>
  <c r="B121" i="17" a="1"/>
  <c r="B121" i="17" s="1"/>
  <c r="B122" i="17" a="1"/>
  <c r="B122" i="17" s="1"/>
  <c r="B123" i="17" a="1"/>
  <c r="B123" i="17" s="1"/>
  <c r="B124" i="17" a="1"/>
  <c r="B124" i="17" s="1"/>
  <c r="B125" i="17" a="1"/>
  <c r="B125" i="17" s="1"/>
  <c r="B126" i="17" a="1"/>
  <c r="B126" i="17" s="1"/>
  <c r="B127" i="17" a="1"/>
  <c r="B127" i="17" s="1"/>
  <c r="B128" i="17" a="1"/>
  <c r="B128" i="17" s="1"/>
  <c r="B129" i="17" a="1"/>
  <c r="B129" i="17" s="1"/>
  <c r="B130" i="17" a="1"/>
  <c r="B130" i="17" s="1"/>
  <c r="B131" i="17" a="1"/>
  <c r="B131" i="17" s="1"/>
  <c r="B132" i="17" a="1"/>
  <c r="B132" i="17" s="1"/>
  <c r="B133" i="17" a="1"/>
  <c r="B133" i="17" s="1"/>
  <c r="B134" i="17" a="1"/>
  <c r="B134" i="17" s="1"/>
  <c r="B135" i="17" a="1"/>
  <c r="B135" i="17" s="1"/>
  <c r="B136" i="17" a="1"/>
  <c r="B136" i="17" s="1"/>
  <c r="B137" i="17" a="1"/>
  <c r="B137" i="17" s="1"/>
  <c r="B138" i="17" a="1"/>
  <c r="B138" i="17" s="1"/>
  <c r="B139" i="17" a="1"/>
  <c r="B139" i="17" s="1"/>
  <c r="B140" i="17" a="1"/>
  <c r="B140" i="17" s="1"/>
  <c r="B141" i="17" a="1"/>
  <c r="B141" i="17" s="1"/>
  <c r="B142" i="17" a="1"/>
  <c r="B142" i="17" s="1"/>
  <c r="B143" i="17" a="1"/>
  <c r="B143" i="17" s="1"/>
  <c r="B144" i="17" a="1"/>
  <c r="B144" i="17" s="1"/>
  <c r="B145" i="17" a="1"/>
  <c r="B145" i="17" s="1"/>
  <c r="B146" i="17" a="1"/>
  <c r="B146" i="17" s="1"/>
  <c r="B147" i="17" a="1"/>
  <c r="B147" i="17" s="1"/>
  <c r="B84" i="18" a="1"/>
  <c r="B84" i="18" s="1"/>
  <c r="B85" i="18" a="1"/>
  <c r="B85" i="18" s="1"/>
  <c r="B86" i="18" a="1"/>
  <c r="B86" i="18" s="1"/>
  <c r="B87" i="18" a="1"/>
  <c r="B87" i="18" s="1"/>
  <c r="B88" i="18" a="1"/>
  <c r="B88" i="18" s="1"/>
  <c r="B89" i="18" a="1"/>
  <c r="B89" i="18" s="1"/>
  <c r="B90" i="18" a="1"/>
  <c r="B90" i="18" s="1"/>
  <c r="B91" i="18" a="1"/>
  <c r="B91" i="18" s="1"/>
  <c r="B92" i="18" a="1"/>
  <c r="B92" i="18" s="1"/>
  <c r="B93" i="18" a="1"/>
  <c r="B93" i="18" s="1"/>
  <c r="B94" i="18" a="1"/>
  <c r="B94" i="18" s="1"/>
  <c r="B95" i="18" a="1"/>
  <c r="B95" i="18" s="1"/>
  <c r="B96" i="18" a="1"/>
  <c r="B96" i="18" s="1"/>
  <c r="B97" i="18" a="1"/>
  <c r="B97" i="18" s="1"/>
  <c r="B98" i="18" a="1"/>
  <c r="B98" i="18" s="1"/>
  <c r="B99" i="18" a="1"/>
  <c r="B99" i="18" s="1"/>
  <c r="B100" i="18" a="1"/>
  <c r="B100" i="18" s="1"/>
  <c r="B101" i="18" a="1"/>
  <c r="B101" i="18" s="1"/>
  <c r="B102" i="18" a="1"/>
  <c r="B102" i="18" s="1"/>
  <c r="B103" i="18" a="1"/>
  <c r="B103" i="18" s="1"/>
  <c r="B84" i="19" a="1"/>
  <c r="B84" i="19" s="1"/>
  <c r="B85" i="19" a="1"/>
  <c r="B85" i="19" s="1"/>
  <c r="B86" i="19" a="1"/>
  <c r="B86" i="19" s="1"/>
  <c r="B87" i="19" a="1"/>
  <c r="B87" i="19"/>
  <c r="B88" i="19" a="1"/>
  <c r="B88" i="19" s="1"/>
  <c r="B89" i="19" a="1"/>
  <c r="B89" i="19" s="1"/>
  <c r="B90" i="19" a="1"/>
  <c r="B90" i="19" s="1"/>
  <c r="B91" i="19" a="1"/>
  <c r="B91" i="19" s="1"/>
  <c r="B92" i="19" a="1"/>
  <c r="B92" i="19" s="1"/>
  <c r="B93" i="19" a="1"/>
  <c r="B93" i="19" s="1"/>
  <c r="B94" i="19" a="1"/>
  <c r="B94" i="19" s="1"/>
  <c r="B95" i="19" a="1"/>
  <c r="B95" i="19" s="1"/>
  <c r="B96" i="19" a="1"/>
  <c r="B96" i="19" s="1"/>
  <c r="B97" i="19" a="1"/>
  <c r="B97" i="19" s="1"/>
  <c r="B98" i="19" a="1"/>
  <c r="B98" i="19" s="1"/>
  <c r="B99" i="19" a="1"/>
  <c r="B99" i="19" s="1"/>
  <c r="B100" i="19" a="1"/>
  <c r="B100" i="19" s="1"/>
  <c r="B101" i="19" a="1"/>
  <c r="B101" i="19" s="1"/>
  <c r="B102" i="19" a="1"/>
  <c r="B102" i="19" s="1"/>
  <c r="B103" i="19" a="1"/>
  <c r="B103" i="19" s="1"/>
  <c r="B84" i="23" a="1"/>
  <c r="B84" i="23" s="1"/>
  <c r="B85" i="23" a="1"/>
  <c r="B85" i="23" s="1"/>
  <c r="B86" i="23" a="1"/>
  <c r="B86" i="23" s="1"/>
  <c r="B87" i="23" a="1"/>
  <c r="B87" i="23" s="1"/>
  <c r="B88" i="23" a="1"/>
  <c r="B88" i="23" s="1"/>
  <c r="B89" i="23" a="1"/>
  <c r="B89" i="23" s="1"/>
  <c r="B90" i="23" a="1"/>
  <c r="B90" i="23" s="1"/>
  <c r="B91" i="23" a="1"/>
  <c r="B91" i="23" s="1"/>
  <c r="B92" i="23" a="1"/>
  <c r="B92" i="23" s="1"/>
  <c r="B93" i="23" a="1"/>
  <c r="B93" i="23" s="1"/>
  <c r="B94" i="23" a="1"/>
  <c r="B94" i="23" s="1"/>
  <c r="B95" i="23" a="1"/>
  <c r="B95" i="23" s="1"/>
  <c r="B96" i="23" a="1"/>
  <c r="B96" i="23" s="1"/>
  <c r="B97" i="23" a="1"/>
  <c r="B97" i="23" s="1"/>
  <c r="B98" i="23" a="1"/>
  <c r="B98" i="23" s="1"/>
  <c r="B99" i="23" a="1"/>
  <c r="B99" i="23"/>
  <c r="B100" i="23" a="1"/>
  <c r="B100" i="23" s="1"/>
  <c r="B101" i="23" a="1"/>
  <c r="B101" i="23" s="1"/>
  <c r="B102" i="23" a="1"/>
  <c r="B102" i="23" s="1"/>
  <c r="B103" i="23" a="1"/>
  <c r="B103" i="23" s="1"/>
  <c r="B84" i="6" a="1"/>
  <c r="B84" i="6" s="1"/>
  <c r="B85" i="6" a="1"/>
  <c r="B85" i="6" s="1"/>
  <c r="B86" i="6" a="1"/>
  <c r="B86" i="6" s="1"/>
  <c r="B87" i="6" a="1"/>
  <c r="B87" i="6" s="1"/>
  <c r="B88" i="6" a="1"/>
  <c r="B88" i="6" s="1"/>
  <c r="B89" i="6" a="1"/>
  <c r="B89" i="6" s="1"/>
  <c r="B90" i="6" a="1"/>
  <c r="B90" i="6" s="1"/>
  <c r="B91" i="6" a="1"/>
  <c r="B91" i="6" s="1"/>
  <c r="B92" i="6" a="1"/>
  <c r="B92" i="6" s="1"/>
  <c r="B93" i="6" a="1"/>
  <c r="B93" i="6" s="1"/>
  <c r="B94" i="6" a="1"/>
  <c r="B94" i="6" s="1"/>
  <c r="B95" i="6" a="1"/>
  <c r="B95" i="6" s="1"/>
  <c r="B96" i="6" a="1"/>
  <c r="B96" i="6" s="1"/>
  <c r="B97" i="6" a="1"/>
  <c r="B97" i="6" s="1"/>
  <c r="B98" i="6" a="1"/>
  <c r="B98" i="6" s="1"/>
  <c r="B99" i="6" a="1"/>
  <c r="B99" i="6" s="1"/>
  <c r="B100" i="6" a="1"/>
  <c r="B100" i="6" s="1"/>
  <c r="B101" i="6" a="1"/>
  <c r="B101" i="6" s="1"/>
  <c r="B102" i="6" a="1"/>
  <c r="B102" i="6" s="1"/>
  <c r="B103" i="6" a="1"/>
  <c r="B103" i="6" s="1"/>
  <c r="B84" i="28" a="1"/>
  <c r="B84" i="28" s="1"/>
  <c r="B85" i="28" a="1"/>
  <c r="B85" i="28" s="1"/>
  <c r="B86" i="28" a="1"/>
  <c r="B86" i="28" s="1"/>
  <c r="B87" i="28" a="1"/>
  <c r="B87" i="28" s="1"/>
  <c r="B88" i="28" a="1"/>
  <c r="B88" i="28" s="1"/>
  <c r="B89" i="28" a="1"/>
  <c r="B89" i="28" s="1"/>
  <c r="B90" i="28" a="1"/>
  <c r="B90" i="28" s="1"/>
  <c r="B91" i="28" a="1"/>
  <c r="B91" i="28" s="1"/>
  <c r="B92" i="28" a="1"/>
  <c r="B92" i="28" s="1"/>
  <c r="B93" i="28" a="1"/>
  <c r="B93" i="28" s="1"/>
  <c r="B94" i="28" a="1"/>
  <c r="B94" i="28" s="1"/>
  <c r="B95" i="28" a="1"/>
  <c r="B95" i="28"/>
  <c r="B96" i="28" a="1"/>
  <c r="B96" i="28" s="1"/>
  <c r="B97" i="28" a="1"/>
  <c r="B97" i="28" s="1"/>
  <c r="B98" i="28" a="1"/>
  <c r="B98" i="28" s="1"/>
  <c r="B99" i="28" a="1"/>
  <c r="B99" i="28" s="1"/>
  <c r="B100" i="28" a="1"/>
  <c r="B100" i="28" s="1"/>
  <c r="B101" i="28" a="1"/>
  <c r="B101" i="28" s="1"/>
  <c r="B102" i="28" a="1"/>
  <c r="B102" i="28" s="1"/>
  <c r="B103" i="28" a="1"/>
  <c r="B103" i="28" s="1"/>
  <c r="B84" i="20" a="1"/>
  <c r="B84" i="20" s="1"/>
  <c r="B85" i="20" a="1"/>
  <c r="B85" i="20" s="1"/>
  <c r="B86" i="20" a="1"/>
  <c r="B86" i="20" s="1"/>
  <c r="B87" i="20" a="1"/>
  <c r="B87" i="20" s="1"/>
  <c r="B88" i="20" a="1"/>
  <c r="B88" i="20" s="1"/>
  <c r="B89" i="20" a="1"/>
  <c r="B89" i="20" s="1"/>
  <c r="B90" i="20" a="1"/>
  <c r="B90" i="20" s="1"/>
  <c r="B91" i="20" a="1"/>
  <c r="B91" i="20" s="1"/>
  <c r="B92" i="20" a="1"/>
  <c r="B92" i="20" s="1"/>
  <c r="B93" i="20" a="1"/>
  <c r="B93" i="20" s="1"/>
  <c r="B94" i="20" a="1"/>
  <c r="B94" i="20" s="1"/>
  <c r="B95" i="20" a="1"/>
  <c r="B95" i="20"/>
  <c r="B96" i="20" a="1"/>
  <c r="B96" i="20" s="1"/>
  <c r="B97" i="20" a="1"/>
  <c r="B97" i="20" s="1"/>
  <c r="B98" i="20" a="1"/>
  <c r="B98" i="20" s="1"/>
  <c r="B99" i="20" a="1"/>
  <c r="B99" i="20" s="1"/>
  <c r="B100" i="20" a="1"/>
  <c r="B100" i="20" s="1"/>
  <c r="B101" i="20" a="1"/>
  <c r="B101" i="20" s="1"/>
  <c r="B102" i="20" a="1"/>
  <c r="B102" i="20" s="1"/>
  <c r="B103" i="20" a="1"/>
  <c r="B103" i="20"/>
  <c r="B84" i="21" a="1"/>
  <c r="B84" i="21" s="1"/>
  <c r="B85" i="21" a="1"/>
  <c r="B85" i="21" s="1"/>
  <c r="B86" i="21" a="1"/>
  <c r="B86" i="21" s="1"/>
  <c r="B87" i="21" a="1"/>
  <c r="B87" i="21"/>
  <c r="B88" i="21" a="1"/>
  <c r="B88" i="21" s="1"/>
  <c r="B89" i="21" a="1"/>
  <c r="B89" i="21" s="1"/>
  <c r="B90" i="21" a="1"/>
  <c r="B90" i="21" s="1"/>
  <c r="B91" i="21" a="1"/>
  <c r="B91" i="21" s="1"/>
  <c r="B92" i="21" a="1"/>
  <c r="B92" i="21" s="1"/>
  <c r="B93" i="21" a="1"/>
  <c r="B93" i="21" s="1"/>
  <c r="B94" i="21" a="1"/>
  <c r="B94" i="21" s="1"/>
  <c r="B95" i="21" a="1"/>
  <c r="B95" i="21" s="1"/>
  <c r="B96" i="21" a="1"/>
  <c r="B96" i="21" s="1"/>
  <c r="B97" i="21" a="1"/>
  <c r="B97" i="21" s="1"/>
  <c r="B98" i="21" a="1"/>
  <c r="B98" i="21" s="1"/>
  <c r="B99" i="21" a="1"/>
  <c r="B99" i="21" s="1"/>
  <c r="B100" i="21" a="1"/>
  <c r="B100" i="21" s="1"/>
  <c r="B101" i="21" a="1"/>
  <c r="B101" i="21" s="1"/>
  <c r="B102" i="21" a="1"/>
  <c r="B102" i="21" s="1"/>
  <c r="B103" i="21" a="1"/>
  <c r="B103" i="21" s="1"/>
  <c r="B84" i="17" a="1"/>
  <c r="B84" i="17" s="1"/>
  <c r="B85" i="17" a="1"/>
  <c r="B85" i="17" s="1"/>
  <c r="B86" i="17" a="1"/>
  <c r="B86" i="17" s="1"/>
  <c r="B87" i="17" a="1"/>
  <c r="B87" i="17"/>
  <c r="B88" i="17" a="1"/>
  <c r="B88" i="17" s="1"/>
  <c r="B89" i="17" a="1"/>
  <c r="B89" i="17" s="1"/>
  <c r="B90" i="17" a="1"/>
  <c r="B90" i="17" s="1"/>
  <c r="B91" i="17" a="1"/>
  <c r="B91" i="17" s="1"/>
  <c r="B92" i="17" a="1"/>
  <c r="B92" i="17" s="1"/>
  <c r="B93" i="17" a="1"/>
  <c r="B93" i="17" s="1"/>
  <c r="B94" i="17" a="1"/>
  <c r="B94" i="17" s="1"/>
  <c r="B95" i="17" a="1"/>
  <c r="B95" i="17" s="1"/>
  <c r="B96" i="17" a="1"/>
  <c r="B96" i="17" s="1"/>
  <c r="B97" i="17" a="1"/>
  <c r="B97" i="17" s="1"/>
  <c r="B98" i="17" a="1"/>
  <c r="B98" i="17" s="1"/>
  <c r="B99" i="17" a="1"/>
  <c r="B99" i="17"/>
  <c r="B100" i="17" a="1"/>
  <c r="B100" i="17" s="1"/>
  <c r="B101" i="17" a="1"/>
  <c r="B101" i="17" s="1"/>
  <c r="B102" i="17" a="1"/>
  <c r="B102" i="17" s="1"/>
  <c r="B103" i="17" a="1"/>
  <c r="B103" i="17" s="1"/>
  <c r="B53" i="18" a="1"/>
  <c r="B53" i="18" s="1"/>
  <c r="B54" i="18" a="1"/>
  <c r="B54" i="18" s="1"/>
  <c r="B55" i="18" a="1"/>
  <c r="B55" i="18" s="1"/>
  <c r="B56" i="18" a="1"/>
  <c r="B56" i="18" s="1"/>
  <c r="B57" i="18" a="1"/>
  <c r="B57" i="18" s="1"/>
  <c r="B58" i="18" a="1"/>
  <c r="B58" i="18" s="1"/>
  <c r="B59" i="18" a="1"/>
  <c r="B59" i="18" s="1"/>
  <c r="B60" i="18" a="1"/>
  <c r="B60" i="18" s="1"/>
  <c r="B61" i="18" a="1"/>
  <c r="B61" i="18" s="1"/>
  <c r="B62" i="18" a="1"/>
  <c r="B62" i="18" s="1"/>
  <c r="B63" i="18" a="1"/>
  <c r="B63" i="18" s="1"/>
  <c r="B64" i="18" a="1"/>
  <c r="B64" i="18" s="1"/>
  <c r="B65" i="18" a="1"/>
  <c r="B65" i="18" s="1"/>
  <c r="B66" i="18" a="1"/>
  <c r="B66" i="18" s="1"/>
  <c r="B67" i="18" a="1"/>
  <c r="B67" i="18" s="1"/>
  <c r="B68" i="18" a="1"/>
  <c r="B68" i="18" s="1"/>
  <c r="B69" i="18" a="1"/>
  <c r="B69" i="18" s="1"/>
  <c r="B70" i="18" a="1"/>
  <c r="B70" i="18" s="1"/>
  <c r="B71" i="18" a="1"/>
  <c r="B71" i="18" s="1"/>
  <c r="B72" i="18" a="1"/>
  <c r="B72" i="18" s="1"/>
  <c r="B73" i="18" a="1"/>
  <c r="B73" i="18" s="1"/>
  <c r="B74" i="18" a="1"/>
  <c r="B74" i="18" s="1"/>
  <c r="B53" i="19" a="1"/>
  <c r="B53" i="19" s="1"/>
  <c r="B54" i="19" a="1"/>
  <c r="B54" i="19" s="1"/>
  <c r="B55" i="19" a="1"/>
  <c r="B55" i="19" s="1"/>
  <c r="B56" i="19" a="1"/>
  <c r="B56" i="19" s="1"/>
  <c r="B57" i="19" a="1"/>
  <c r="B57" i="19" s="1"/>
  <c r="B58" i="19" a="1"/>
  <c r="B58" i="19" s="1"/>
  <c r="B59" i="19" a="1"/>
  <c r="B59" i="19" s="1"/>
  <c r="B60" i="19" a="1"/>
  <c r="B60" i="19" s="1"/>
  <c r="B61" i="19" a="1"/>
  <c r="B61" i="19" s="1"/>
  <c r="B62" i="19" a="1"/>
  <c r="B62" i="19" s="1"/>
  <c r="B63" i="19" a="1"/>
  <c r="B63" i="19" s="1"/>
  <c r="B64" i="19" a="1"/>
  <c r="B64" i="19" s="1"/>
  <c r="B65" i="19" a="1"/>
  <c r="B65" i="19" s="1"/>
  <c r="B66" i="19" a="1"/>
  <c r="B66" i="19" s="1"/>
  <c r="B67" i="19" a="1"/>
  <c r="B67" i="19" s="1"/>
  <c r="B68" i="19" a="1"/>
  <c r="B68" i="19" s="1"/>
  <c r="B69" i="19" a="1"/>
  <c r="B69" i="19" s="1"/>
  <c r="B70" i="19" a="1"/>
  <c r="B70" i="19" s="1"/>
  <c r="B71" i="19" a="1"/>
  <c r="B71" i="19" s="1"/>
  <c r="B72" i="19" a="1"/>
  <c r="B72" i="19" s="1"/>
  <c r="B73" i="19" a="1"/>
  <c r="B73" i="19" s="1"/>
  <c r="B74" i="19" a="1"/>
  <c r="B74" i="19" s="1"/>
  <c r="B53" i="23" a="1"/>
  <c r="B53" i="23" s="1"/>
  <c r="B54" i="23" a="1"/>
  <c r="B54" i="23" s="1"/>
  <c r="B55" i="23" a="1"/>
  <c r="B55" i="23" s="1"/>
  <c r="B56" i="23" a="1"/>
  <c r="B56" i="23" s="1"/>
  <c r="B57" i="23" a="1"/>
  <c r="B57" i="23" s="1"/>
  <c r="B58" i="23" a="1"/>
  <c r="B58" i="23" s="1"/>
  <c r="B59" i="23" a="1"/>
  <c r="B59" i="23" s="1"/>
  <c r="B60" i="23" a="1"/>
  <c r="B60" i="23" s="1"/>
  <c r="B61" i="23" a="1"/>
  <c r="B61" i="23" s="1"/>
  <c r="B62" i="23" a="1"/>
  <c r="B62" i="23" s="1"/>
  <c r="B63" i="23" a="1"/>
  <c r="B63" i="23" s="1"/>
  <c r="B64" i="23" a="1"/>
  <c r="B64" i="23" s="1"/>
  <c r="B65" i="23" a="1"/>
  <c r="B65" i="23" s="1"/>
  <c r="B66" i="23" a="1"/>
  <c r="B66" i="23" s="1"/>
  <c r="B67" i="23" a="1"/>
  <c r="B67" i="23" s="1"/>
  <c r="B68" i="23" a="1"/>
  <c r="B68" i="23" s="1"/>
  <c r="B69" i="23" a="1"/>
  <c r="B69" i="23" s="1"/>
  <c r="B70" i="23" a="1"/>
  <c r="B70" i="23" s="1"/>
  <c r="B71" i="23" a="1"/>
  <c r="B71" i="23" s="1"/>
  <c r="B72" i="23" a="1"/>
  <c r="B72" i="23" s="1"/>
  <c r="B73" i="23" a="1"/>
  <c r="B73" i="23" s="1"/>
  <c r="B74" i="23" a="1"/>
  <c r="B74" i="23" s="1"/>
  <c r="B53" i="6" a="1"/>
  <c r="B53" i="6" s="1"/>
  <c r="B54" i="6" a="1"/>
  <c r="B54" i="6" s="1"/>
  <c r="B55" i="6" a="1"/>
  <c r="B55" i="6" s="1"/>
  <c r="B56" i="6" a="1"/>
  <c r="B56" i="6" s="1"/>
  <c r="B57" i="6" a="1"/>
  <c r="B57" i="6" s="1"/>
  <c r="B58" i="6" a="1"/>
  <c r="B58" i="6" s="1"/>
  <c r="B59" i="6" a="1"/>
  <c r="B59" i="6" s="1"/>
  <c r="B60" i="6" a="1"/>
  <c r="B60" i="6" s="1"/>
  <c r="B61" i="6" a="1"/>
  <c r="B61" i="6" s="1"/>
  <c r="B62" i="6" a="1"/>
  <c r="B62" i="6" s="1"/>
  <c r="B63" i="6" a="1"/>
  <c r="B63" i="6" s="1"/>
  <c r="B64" i="6" a="1"/>
  <c r="B64" i="6" s="1"/>
  <c r="B65" i="6" a="1"/>
  <c r="B65" i="6" s="1"/>
  <c r="B66" i="6" a="1"/>
  <c r="B66" i="6" s="1"/>
  <c r="B67" i="6" a="1"/>
  <c r="B67" i="6" s="1"/>
  <c r="B68" i="6" a="1"/>
  <c r="B68" i="6" s="1"/>
  <c r="B69" i="6" a="1"/>
  <c r="B69" i="6" s="1"/>
  <c r="B70" i="6" a="1"/>
  <c r="B70" i="6" s="1"/>
  <c r="B71" i="6" a="1"/>
  <c r="B71" i="6" s="1"/>
  <c r="B72" i="6" a="1"/>
  <c r="B72" i="6" s="1"/>
  <c r="B73" i="6" a="1"/>
  <c r="B73" i="6" s="1"/>
  <c r="B74" i="6" a="1"/>
  <c r="B74" i="6" s="1"/>
  <c r="B53" i="28" a="1"/>
  <c r="B53" i="28" s="1"/>
  <c r="B54" i="28" a="1"/>
  <c r="B54" i="28" s="1"/>
  <c r="B55" i="28" a="1"/>
  <c r="B55" i="28" s="1"/>
  <c r="B56" i="28" a="1"/>
  <c r="B56" i="28" s="1"/>
  <c r="B57" i="28" a="1"/>
  <c r="B57" i="28" s="1"/>
  <c r="B58" i="28" a="1"/>
  <c r="B58" i="28" s="1"/>
  <c r="B59" i="28" a="1"/>
  <c r="B59" i="28" s="1"/>
  <c r="B60" i="28" a="1"/>
  <c r="B60" i="28" s="1"/>
  <c r="B61" i="28" a="1"/>
  <c r="B61" i="28" s="1"/>
  <c r="B62" i="28" a="1"/>
  <c r="B62" i="28" s="1"/>
  <c r="B63" i="28" a="1"/>
  <c r="B63" i="28" s="1"/>
  <c r="B64" i="28" a="1"/>
  <c r="B64" i="28" s="1"/>
  <c r="B65" i="28" a="1"/>
  <c r="B65" i="28" s="1"/>
  <c r="B66" i="28" a="1"/>
  <c r="B66" i="28" s="1"/>
  <c r="B67" i="28" a="1"/>
  <c r="B67" i="28" s="1"/>
  <c r="B68" i="28" a="1"/>
  <c r="B68" i="28" s="1"/>
  <c r="B69" i="28" a="1"/>
  <c r="B69" i="28" s="1"/>
  <c r="B70" i="28" a="1"/>
  <c r="B70" i="28" s="1"/>
  <c r="B71" i="28" a="1"/>
  <c r="B71" i="28" s="1"/>
  <c r="B72" i="28" a="1"/>
  <c r="B72" i="28" s="1"/>
  <c r="B73" i="28" a="1"/>
  <c r="B73" i="28" s="1"/>
  <c r="B74" i="28" a="1"/>
  <c r="B74" i="28" s="1"/>
  <c r="B53" i="20" a="1"/>
  <c r="B53" i="20" s="1"/>
  <c r="B54" i="20" a="1"/>
  <c r="B54" i="20" s="1"/>
  <c r="B55" i="20" a="1"/>
  <c r="B55" i="20" s="1"/>
  <c r="B56" i="20" a="1"/>
  <c r="B56" i="20" s="1"/>
  <c r="B57" i="20" a="1"/>
  <c r="B57" i="20" s="1"/>
  <c r="B58" i="20" a="1"/>
  <c r="B58" i="20" s="1"/>
  <c r="B59" i="20" a="1"/>
  <c r="B59" i="20" s="1"/>
  <c r="B60" i="20" a="1"/>
  <c r="B60" i="20" s="1"/>
  <c r="B61" i="20" a="1"/>
  <c r="B61" i="20" s="1"/>
  <c r="B62" i="20" a="1"/>
  <c r="B62" i="20" s="1"/>
  <c r="B63" i="20" a="1"/>
  <c r="B63" i="20" s="1"/>
  <c r="B64" i="20" a="1"/>
  <c r="B64" i="20" s="1"/>
  <c r="B65" i="20" a="1"/>
  <c r="B65" i="20" s="1"/>
  <c r="B66" i="20" a="1"/>
  <c r="B66" i="20" s="1"/>
  <c r="B67" i="20" a="1"/>
  <c r="B67" i="20" s="1"/>
  <c r="B68" i="20" a="1"/>
  <c r="B68" i="20" s="1"/>
  <c r="B69" i="20" a="1"/>
  <c r="B69" i="20" s="1"/>
  <c r="B70" i="20" a="1"/>
  <c r="B70" i="20" s="1"/>
  <c r="B71" i="20" a="1"/>
  <c r="B71" i="20" s="1"/>
  <c r="B72" i="20" a="1"/>
  <c r="B72" i="20" s="1"/>
  <c r="B73" i="20" a="1"/>
  <c r="B73" i="20" s="1"/>
  <c r="B74" i="20" a="1"/>
  <c r="B74" i="20" s="1"/>
  <c r="B53" i="21" a="1"/>
  <c r="B53" i="21" s="1"/>
  <c r="B54" i="21" a="1"/>
  <c r="B54" i="21" s="1"/>
  <c r="B55" i="21" a="1"/>
  <c r="B55" i="21" s="1"/>
  <c r="B56" i="21" a="1"/>
  <c r="B56" i="21" s="1"/>
  <c r="B57" i="21" a="1"/>
  <c r="B57" i="21" s="1"/>
  <c r="B58" i="21" a="1"/>
  <c r="B58" i="21" s="1"/>
  <c r="B59" i="21" a="1"/>
  <c r="B59"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B72" i="21" a="1"/>
  <c r="B72" i="21" s="1"/>
  <c r="B73" i="21" a="1"/>
  <c r="B73" i="21" s="1"/>
  <c r="B74" i="21" a="1"/>
  <c r="B74" i="21" s="1"/>
  <c r="B53" i="17" a="1"/>
  <c r="B53" i="17" s="1"/>
  <c r="B54" i="17" a="1"/>
  <c r="B54" i="17" s="1"/>
  <c r="B55" i="17" a="1"/>
  <c r="B55" i="17" s="1"/>
  <c r="B56" i="17" a="1"/>
  <c r="B56" i="17" s="1"/>
  <c r="B57" i="17" a="1"/>
  <c r="B57" i="17" s="1"/>
  <c r="B58" i="17" a="1"/>
  <c r="B58" i="17" s="1"/>
  <c r="B59" i="17" a="1"/>
  <c r="B59" i="17" s="1"/>
  <c r="B60" i="17" a="1"/>
  <c r="B60" i="17" s="1"/>
  <c r="B61" i="17" a="1"/>
  <c r="B61" i="17" s="1"/>
  <c r="B62" i="17" a="1"/>
  <c r="B62" i="17" s="1"/>
  <c r="B63" i="17" a="1"/>
  <c r="B63" i="17" s="1"/>
  <c r="B64" i="17" a="1"/>
  <c r="B64" i="17" s="1"/>
  <c r="B65" i="17" a="1"/>
  <c r="B65" i="17" s="1"/>
  <c r="B66" i="17" a="1"/>
  <c r="B66" i="17" s="1"/>
  <c r="B67" i="17" a="1"/>
  <c r="B67" i="17" s="1"/>
  <c r="B68" i="17" a="1"/>
  <c r="B68" i="17" s="1"/>
  <c r="B69" i="17" a="1"/>
  <c r="B69" i="17" s="1"/>
  <c r="B70" i="17" a="1"/>
  <c r="B70" i="17" s="1"/>
  <c r="B71" i="17" a="1"/>
  <c r="B71" i="17" s="1"/>
  <c r="B72" i="17" a="1"/>
  <c r="B72" i="17" s="1"/>
  <c r="B73" i="17" a="1"/>
  <c r="B73" i="17" s="1"/>
  <c r="B74" i="17" a="1"/>
  <c r="B74" i="17" s="1"/>
  <c r="B21" i="18" a="1"/>
  <c r="B21" i="18" s="1"/>
  <c r="B22" i="18" a="1"/>
  <c r="B22" i="18" s="1"/>
  <c r="B23" i="18" a="1"/>
  <c r="B23" i="18" s="1"/>
  <c r="B24" i="18" a="1"/>
  <c r="B24" i="18" s="1"/>
  <c r="B25" i="18" a="1"/>
  <c r="B25" i="18" s="1"/>
  <c r="B26" i="18" a="1"/>
  <c r="B26" i="18" s="1"/>
  <c r="B27" i="18" a="1"/>
  <c r="B27" i="18" s="1"/>
  <c r="B28" i="18" a="1"/>
  <c r="B28" i="18" s="1"/>
  <c r="B29" i="18" a="1"/>
  <c r="B29" i="18" s="1"/>
  <c r="B30" i="18" a="1"/>
  <c r="B30" i="18" s="1"/>
  <c r="B31" i="18" a="1"/>
  <c r="B31" i="18" s="1"/>
  <c r="B21" i="19" a="1"/>
  <c r="B21" i="19" s="1"/>
  <c r="B22" i="19" a="1"/>
  <c r="B22" i="19" s="1"/>
  <c r="B23" i="19" a="1"/>
  <c r="B23" i="19" s="1"/>
  <c r="B24" i="19" a="1"/>
  <c r="B24" i="19" s="1"/>
  <c r="B25" i="19" a="1"/>
  <c r="B25" i="19" s="1"/>
  <c r="B26" i="19" a="1"/>
  <c r="B26" i="19" s="1"/>
  <c r="B27" i="19" a="1"/>
  <c r="B27" i="19" s="1"/>
  <c r="B28" i="19" a="1"/>
  <c r="B28" i="19" s="1"/>
  <c r="B29" i="19" a="1"/>
  <c r="B29" i="19" s="1"/>
  <c r="B30" i="19" a="1"/>
  <c r="B30" i="19" s="1"/>
  <c r="B31" i="19" a="1"/>
  <c r="B31" i="19" s="1"/>
  <c r="B21" i="23" a="1"/>
  <c r="B21" i="23" s="1"/>
  <c r="B22" i="23" a="1"/>
  <c r="B22" i="23" s="1"/>
  <c r="B23" i="23" a="1"/>
  <c r="B23" i="23" s="1"/>
  <c r="B24" i="23" a="1"/>
  <c r="B24" i="23" s="1"/>
  <c r="B25" i="23" a="1"/>
  <c r="B25" i="23" s="1"/>
  <c r="B26" i="23" a="1"/>
  <c r="B26" i="23" s="1"/>
  <c r="B27" i="23" a="1"/>
  <c r="B27" i="23" s="1"/>
  <c r="B28" i="23" a="1"/>
  <c r="B28" i="23" s="1"/>
  <c r="B29" i="23" a="1"/>
  <c r="B29" i="23" s="1"/>
  <c r="B30" i="23" a="1"/>
  <c r="B30" i="23" s="1"/>
  <c r="B31" i="23" a="1"/>
  <c r="B31" i="23" s="1"/>
  <c r="B21" i="6" a="1"/>
  <c r="B21" i="6" s="1"/>
  <c r="B22" i="6" a="1"/>
  <c r="B22" i="6" s="1"/>
  <c r="B23" i="6" a="1"/>
  <c r="B23" i="6" s="1"/>
  <c r="B24" i="6" a="1"/>
  <c r="B24" i="6" s="1"/>
  <c r="B25" i="6" a="1"/>
  <c r="B25" i="6" s="1"/>
  <c r="B26" i="6" a="1"/>
  <c r="B26" i="6" s="1"/>
  <c r="B27" i="6" a="1"/>
  <c r="B27" i="6" s="1"/>
  <c r="B28" i="6" a="1"/>
  <c r="B28" i="6" s="1"/>
  <c r="B29" i="6" a="1"/>
  <c r="B29" i="6" s="1"/>
  <c r="B30" i="6" a="1"/>
  <c r="B30" i="6" s="1"/>
  <c r="B31" i="6" a="1"/>
  <c r="B31" i="6" s="1"/>
  <c r="B21" i="28" a="1"/>
  <c r="B21" i="28" s="1"/>
  <c r="B22" i="28" a="1"/>
  <c r="B22" i="28" s="1"/>
  <c r="B23" i="28" a="1"/>
  <c r="B23" i="28" s="1"/>
  <c r="B24" i="28" a="1"/>
  <c r="B24" i="28" s="1"/>
  <c r="B25" i="28" a="1"/>
  <c r="B25" i="28" s="1"/>
  <c r="B26" i="28" a="1"/>
  <c r="B26" i="28" s="1"/>
  <c r="B27" i="28" a="1"/>
  <c r="B27" i="28" s="1"/>
  <c r="B28" i="28" a="1"/>
  <c r="B28" i="28" s="1"/>
  <c r="B29" i="28" a="1"/>
  <c r="B29" i="28" s="1"/>
  <c r="B30" i="28" a="1"/>
  <c r="B30" i="28" s="1"/>
  <c r="B31" i="28" a="1"/>
  <c r="B31" i="28" s="1"/>
  <c r="B21" i="21" a="1"/>
  <c r="B21" i="21" s="1"/>
  <c r="B22" i="21" a="1"/>
  <c r="B22" i="21" s="1"/>
  <c r="B23" i="21" a="1"/>
  <c r="B23" i="21" s="1"/>
  <c r="B24" i="21" a="1"/>
  <c r="B24" i="21" s="1"/>
  <c r="B25" i="21" a="1"/>
  <c r="B25" i="21" s="1"/>
  <c r="B26" i="21" a="1"/>
  <c r="B26" i="21" s="1"/>
  <c r="B27" i="21" a="1"/>
  <c r="B27" i="21" s="1"/>
  <c r="B28" i="21" a="1"/>
  <c r="B28" i="21" s="1"/>
  <c r="B29" i="21" a="1"/>
  <c r="B29" i="21" s="1"/>
  <c r="B30" i="21" a="1"/>
  <c r="B30" i="21" s="1"/>
  <c r="B31" i="21" a="1"/>
  <c r="B31" i="21" s="1"/>
  <c r="B21" i="17" a="1"/>
  <c r="B21" i="17" s="1"/>
  <c r="B22" i="17" a="1"/>
  <c r="B22" i="17" s="1"/>
  <c r="B23" i="17" a="1"/>
  <c r="B23" i="17" s="1"/>
  <c r="B24" i="17" a="1"/>
  <c r="B24" i="17" s="1"/>
  <c r="B25" i="17" a="1"/>
  <c r="B25" i="17" s="1"/>
  <c r="B26" i="17" a="1"/>
  <c r="B26" i="17" s="1"/>
  <c r="B27" i="17" a="1"/>
  <c r="B27" i="17" s="1"/>
  <c r="B28" i="17" a="1"/>
  <c r="B28" i="17" s="1"/>
  <c r="B29" i="17" a="1"/>
  <c r="B29" i="17" s="1"/>
  <c r="B30" i="17" a="1"/>
  <c r="B30" i="17" s="1"/>
  <c r="B31" i="17" a="1"/>
  <c r="B31" i="17" s="1"/>
  <c r="B9" i="24" a="1"/>
  <c r="B9" i="24" s="1"/>
  <c r="B10" i="24" a="1"/>
  <c r="B10" i="24" s="1"/>
  <c r="B11" i="24" a="1"/>
  <c r="B11" i="24" s="1"/>
  <c r="B12" i="24" a="1"/>
  <c r="B12" i="24" s="1"/>
  <c r="B13" i="24" a="1"/>
  <c r="B13" i="24" s="1"/>
  <c r="B14" i="24" a="1"/>
  <c r="B14" i="24" s="1"/>
  <c r="B15" i="24" a="1"/>
  <c r="B15" i="24" s="1"/>
  <c r="B16" i="24" a="1"/>
  <c r="B16" i="24" s="1"/>
  <c r="B17" i="24" a="1"/>
  <c r="B17" i="24" s="1"/>
  <c r="B18" i="24" a="1"/>
  <c r="B18" i="24" s="1"/>
  <c r="B19" i="24" a="1"/>
  <c r="B19" i="24" s="1"/>
  <c r="B20" i="24" a="1"/>
  <c r="B20" i="24" s="1"/>
  <c r="B21" i="24" a="1"/>
  <c r="B21" i="24" s="1"/>
  <c r="B22" i="24" a="1"/>
  <c r="B22" i="24" s="1"/>
  <c r="B23" i="24" a="1"/>
  <c r="B23" i="24" s="1"/>
  <c r="B24" i="24" a="1"/>
  <c r="B24" i="24"/>
  <c r="B25" i="24" a="1"/>
  <c r="B25" i="24" s="1"/>
  <c r="B26" i="24" a="1"/>
  <c r="B26" i="24" s="1"/>
  <c r="B27" i="24" a="1"/>
  <c r="B27" i="24" s="1"/>
  <c r="B28" i="24" a="1"/>
  <c r="B28" i="24" s="1"/>
  <c r="B29" i="24" a="1"/>
  <c r="B29" i="24" s="1"/>
  <c r="B30" i="24" a="1"/>
  <c r="B30" i="24" s="1"/>
  <c r="E26" i="22" l="1"/>
  <c r="C7" i="43" l="1"/>
  <c r="V8" i="4" l="1"/>
  <c r="T8" i="4"/>
  <c r="D43" i="46"/>
  <c r="D42" i="46"/>
  <c r="D41" i="46"/>
  <c r="D47" i="46" l="1"/>
  <c r="D50" i="46" s="1"/>
  <c r="D34" i="46"/>
  <c r="D48" i="46" l="1"/>
  <c r="D51" i="46"/>
  <c r="H13" i="9"/>
  <c r="U8" i="4"/>
  <c r="W8" i="4" s="1"/>
  <c r="F4" i="2"/>
  <c r="F67" i="22"/>
  <c r="E37" i="32"/>
  <c r="B23" i="20" l="1" a="1"/>
  <c r="B23" i="20" s="1"/>
  <c r="B24" i="20" a="1"/>
  <c r="B24" i="20" s="1"/>
  <c r="B30" i="20" a="1"/>
  <c r="B30" i="20" s="1"/>
  <c r="B25" i="20" a="1"/>
  <c r="B25" i="20" s="1"/>
  <c r="B31" i="20" a="1"/>
  <c r="B31" i="20" s="1"/>
  <c r="B21" i="20" a="1"/>
  <c r="B21" i="20" s="1"/>
  <c r="B26" i="20" a="1"/>
  <c r="B26" i="20" s="1"/>
  <c r="B28" i="20" a="1"/>
  <c r="B28" i="20" s="1"/>
  <c r="B22" i="20" a="1"/>
  <c r="B22" i="20" s="1"/>
  <c r="B29" i="20" a="1"/>
  <c r="B29" i="20" s="1"/>
  <c r="B27" i="20" a="1"/>
  <c r="B27" i="20" s="1"/>
  <c r="G8" i="4"/>
  <c r="D70" i="46"/>
  <c r="D69" i="46"/>
  <c r="D71" i="46" s="1"/>
  <c r="X8" i="4"/>
  <c r="J9" i="4"/>
  <c r="J10" i="4"/>
  <c r="J11" i="4"/>
  <c r="J12" i="4"/>
  <c r="J16" i="4"/>
  <c r="J17" i="4"/>
  <c r="J18" i="4"/>
  <c r="J19" i="4"/>
  <c r="J20" i="4"/>
  <c r="J21" i="4"/>
  <c r="J22" i="4"/>
  <c r="J23" i="4"/>
  <c r="J24" i="4"/>
  <c r="J26" i="4"/>
  <c r="J27" i="4"/>
  <c r="J28" i="4"/>
  <c r="J29" i="4"/>
  <c r="J30" i="4"/>
  <c r="J31" i="4"/>
  <c r="J32" i="4"/>
  <c r="J33" i="4"/>
  <c r="J34" i="4"/>
  <c r="J35" i="4"/>
  <c r="J37" i="4"/>
  <c r="J43" i="4"/>
  <c r="J5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L16" i="4"/>
  <c r="L17" i="4"/>
  <c r="L18" i="4"/>
  <c r="L19" i="4"/>
  <c r="L20" i="4"/>
  <c r="L21" i="4"/>
  <c r="L22" i="4"/>
  <c r="L23" i="4"/>
  <c r="L24" i="4"/>
  <c r="L26" i="4"/>
  <c r="L27" i="4"/>
  <c r="L28" i="4"/>
  <c r="L29" i="4"/>
  <c r="L30" i="4"/>
  <c r="L31" i="4"/>
  <c r="L32" i="4"/>
  <c r="L33" i="4"/>
  <c r="L34" i="4"/>
  <c r="L35" i="4"/>
  <c r="L37" i="4"/>
  <c r="L43" i="4"/>
  <c r="L5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9" i="4"/>
  <c r="L10" i="4"/>
  <c r="L11" i="4"/>
  <c r="L12" i="4"/>
  <c r="N9" i="4"/>
  <c r="D23" i="6"/>
  <c r="D27" i="6"/>
  <c r="B20" i="18" a="1"/>
  <c r="B20" i="18" s="1"/>
  <c r="B20" i="19" a="1"/>
  <c r="B20" i="19" s="1"/>
  <c r="B20" i="23" a="1"/>
  <c r="B20" i="23" s="1"/>
  <c r="B20" i="6" a="1"/>
  <c r="B20" i="6" s="1"/>
  <c r="B20" i="28" a="1"/>
  <c r="B20" i="28" s="1"/>
  <c r="B20" i="20" a="1"/>
  <c r="B20" i="20" s="1"/>
  <c r="B20" i="21" a="1"/>
  <c r="B20" i="21" s="1"/>
  <c r="B20" i="17" a="1"/>
  <c r="B20" i="17" s="1"/>
  <c r="C20" i="23" l="1"/>
  <c r="D20" i="23"/>
  <c r="C25" i="23"/>
  <c r="D25" i="23"/>
  <c r="E25" i="23"/>
  <c r="C26" i="23"/>
  <c r="D26" i="23"/>
  <c r="E26" i="23"/>
  <c r="D23" i="23"/>
  <c r="C23" i="23"/>
  <c r="C22" i="23"/>
  <c r="D22" i="23"/>
  <c r="D31" i="23"/>
  <c r="E31" i="23"/>
  <c r="C31" i="23"/>
  <c r="C30" i="23"/>
  <c r="D30" i="23"/>
  <c r="E30" i="23"/>
  <c r="C29" i="23"/>
  <c r="D29" i="23"/>
  <c r="E29" i="23"/>
  <c r="E28" i="23"/>
  <c r="D28" i="23"/>
  <c r="C28" i="23"/>
  <c r="D27" i="23"/>
  <c r="E27" i="23"/>
  <c r="C27" i="23"/>
  <c r="C24" i="23"/>
  <c r="D24" i="23"/>
  <c r="E24" i="23"/>
  <c r="C20" i="6"/>
  <c r="D20" i="6"/>
  <c r="C27" i="6"/>
  <c r="C23" i="6"/>
  <c r="C26" i="6"/>
  <c r="E26" i="6"/>
  <c r="D26" i="6"/>
  <c r="E24" i="6"/>
  <c r="D24" i="6"/>
  <c r="C24" i="6"/>
  <c r="E28" i="6"/>
  <c r="D28" i="6"/>
  <c r="C28" i="6"/>
  <c r="C22" i="6"/>
  <c r="D22" i="6"/>
  <c r="D31" i="6"/>
  <c r="E31" i="6"/>
  <c r="C31" i="6"/>
  <c r="C25" i="6"/>
  <c r="D25" i="6"/>
  <c r="E25" i="6"/>
  <c r="E30" i="6"/>
  <c r="C30" i="6"/>
  <c r="D30" i="6"/>
  <c r="C29" i="6"/>
  <c r="D29" i="6"/>
  <c r="E29" i="6"/>
  <c r="E23" i="6"/>
  <c r="F23" i="6" s="1"/>
  <c r="E27" i="6"/>
  <c r="F27" i="6" s="1"/>
  <c r="C20" i="17"/>
  <c r="D20" i="17"/>
  <c r="E20" i="17"/>
  <c r="F24" i="23" l="1"/>
  <c r="F31" i="23"/>
  <c r="F26" i="23"/>
  <c r="F29" i="6"/>
  <c r="F25" i="23"/>
  <c r="F27" i="23"/>
  <c r="F30" i="23"/>
  <c r="F28" i="23"/>
  <c r="F29" i="23"/>
  <c r="F25" i="6"/>
  <c r="F28" i="6"/>
  <c r="F31" i="6"/>
  <c r="F24" i="6"/>
  <c r="F30" i="6"/>
  <c r="F26" i="6"/>
  <c r="F20" i="17"/>
  <c r="G5" i="3" l="1"/>
  <c r="F48" i="30"/>
  <c r="F49" i="30"/>
  <c r="F47" i="30"/>
  <c r="P48" i="30"/>
  <c r="P49" i="30"/>
  <c r="P47" i="30"/>
  <c r="J108" i="43" l="1"/>
  <c r="L15" i="3" l="1"/>
  <c r="L16" i="3"/>
  <c r="L17" i="3"/>
  <c r="L18" i="3"/>
  <c r="L19" i="3"/>
  <c r="L20" i="3"/>
  <c r="L21" i="3"/>
  <c r="L22" i="3"/>
  <c r="L23" i="3"/>
  <c r="L24" i="3"/>
  <c r="L25" i="3"/>
  <c r="U50" i="4"/>
  <c r="S9" i="4"/>
  <c r="Z33" i="4"/>
  <c r="Z37"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G12" i="2" l="1"/>
  <c r="G11" i="2"/>
  <c r="G10" i="2"/>
  <c r="F17" i="43" l="1"/>
  <c r="H62" i="32" l="1"/>
  <c r="I62" i="32" s="1"/>
  <c r="J62" i="32" s="1"/>
  <c r="G65" i="32"/>
  <c r="G64" i="32"/>
  <c r="G63" i="32"/>
  <c r="D37" i="32" l="1"/>
  <c r="D39" i="32" s="1"/>
  <c r="D38" i="32" l="1"/>
  <c r="D21" i="32" l="1"/>
  <c r="G62" i="22" l="1"/>
  <c r="G65" i="22"/>
  <c r="E64" i="22"/>
  <c r="G64" i="22" s="1"/>
  <c r="E90" i="22" l="1"/>
  <c r="J16" i="32" l="1"/>
  <c r="D42" i="22" s="1"/>
  <c r="J41" i="32" l="1"/>
  <c r="F115" i="22" l="1"/>
  <c r="F114" i="22"/>
  <c r="C6" i="9"/>
  <c r="C52" i="32" l="1"/>
  <c r="H63" i="32"/>
  <c r="H64" i="32"/>
  <c r="H65" i="32"/>
  <c r="H66" i="32"/>
  <c r="I66" i="32" s="1"/>
  <c r="J66" i="32" s="1"/>
  <c r="I63" i="32" l="1"/>
  <c r="J63" i="32" s="1"/>
  <c r="I64" i="32"/>
  <c r="J64" i="32" s="1"/>
  <c r="I65" i="32"/>
  <c r="J65" i="32" s="1"/>
  <c r="J18" i="32"/>
  <c r="J29" i="32"/>
  <c r="E100" i="22" l="1"/>
  <c r="D56" i="46" s="1"/>
  <c r="E106" i="22"/>
  <c r="D57" i="46" l="1"/>
  <c r="D58" i="46" s="1"/>
  <c r="D67" i="46" s="1"/>
  <c r="D59" i="46"/>
  <c r="D68" i="46" s="1"/>
  <c r="E15" i="22"/>
  <c r="E13" i="22"/>
  <c r="D75" i="46" l="1"/>
  <c r="D76" i="46" s="1"/>
  <c r="D88" i="9" s="1"/>
  <c r="C8" i="43"/>
  <c r="L30" i="30"/>
  <c r="L6" i="30"/>
  <c r="V9" i="30" s="1"/>
  <c r="M29" i="32"/>
  <c r="D45" i="22"/>
  <c r="C52" i="22" s="1"/>
  <c r="M30" i="32"/>
  <c r="D44" i="22"/>
  <c r="E52" i="22" l="1"/>
  <c r="J6" i="3"/>
  <c r="O40" i="32"/>
  <c r="M40" i="32" s="1"/>
  <c r="C53" i="22"/>
  <c r="S22" i="4"/>
  <c r="S21" i="4"/>
  <c r="S19" i="4"/>
  <c r="P53" i="4"/>
  <c r="S48" i="4"/>
  <c r="G52" i="22" l="1"/>
  <c r="G14" i="3"/>
  <c r="H14" i="3" s="1"/>
  <c r="J26" i="32" l="1"/>
  <c r="J27" i="32"/>
  <c r="J28" i="32"/>
  <c r="J30" i="32"/>
  <c r="J31" i="32"/>
  <c r="J32" i="32"/>
  <c r="J24" i="32"/>
  <c r="J40" i="32"/>
  <c r="S14" i="4"/>
  <c r="T7" i="4" l="1"/>
  <c r="S12" i="4"/>
  <c r="S11" i="4"/>
  <c r="S10" i="4" l="1"/>
  <c r="S44" i="4"/>
  <c r="S47" i="4"/>
  <c r="S46" i="4"/>
  <c r="S45" i="4" l="1"/>
  <c r="E112" i="22" l="1"/>
  <c r="J14" i="32" l="1"/>
  <c r="J15" i="32"/>
  <c r="J17" i="32"/>
  <c r="J19" i="32"/>
  <c r="J20" i="32"/>
  <c r="J22" i="32"/>
  <c r="J23" i="32"/>
  <c r="J25" i="32"/>
  <c r="J33" i="32"/>
  <c r="J34" i="32"/>
  <c r="J35" i="32"/>
  <c r="J36" i="32"/>
  <c r="J39" i="32"/>
  <c r="J13" i="32"/>
  <c r="AB13" i="30" l="1"/>
  <c r="O39" i="32"/>
  <c r="AB21" i="30"/>
  <c r="M32" i="32"/>
  <c r="O38" i="32" s="1"/>
  <c r="O37" i="32" s="1"/>
  <c r="M31" i="32"/>
  <c r="F53" i="32"/>
  <c r="C53" i="32"/>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U9" i="4"/>
  <c r="U10" i="4"/>
  <c r="U11" i="4"/>
  <c r="U12" i="4"/>
  <c r="W12" i="4" s="1"/>
  <c r="X12" i="4" s="1"/>
  <c r="U13" i="4"/>
  <c r="U14" i="4"/>
  <c r="W14" i="4" s="1"/>
  <c r="U15" i="4"/>
  <c r="W15" i="4" s="1"/>
  <c r="X15" i="4" s="1"/>
  <c r="U16" i="4"/>
  <c r="U17" i="4"/>
  <c r="U18" i="4"/>
  <c r="U19" i="4"/>
  <c r="U20" i="4"/>
  <c r="U21" i="4"/>
  <c r="U22" i="4"/>
  <c r="W22" i="4" s="1"/>
  <c r="U23" i="4"/>
  <c r="W23" i="4" s="1"/>
  <c r="X23" i="4" s="1"/>
  <c r="U24" i="4"/>
  <c r="U25" i="4"/>
  <c r="U26" i="4"/>
  <c r="U27" i="4"/>
  <c r="U28" i="4"/>
  <c r="W28" i="4" s="1"/>
  <c r="U29" i="4"/>
  <c r="W29" i="4" s="1"/>
  <c r="U30" i="4"/>
  <c r="W30" i="4" s="1"/>
  <c r="U31" i="4"/>
  <c r="W31" i="4" s="1"/>
  <c r="X31" i="4" s="1"/>
  <c r="U32" i="4"/>
  <c r="U33" i="4"/>
  <c r="U34" i="4"/>
  <c r="U35" i="4"/>
  <c r="U36" i="4"/>
  <c r="W36" i="4" s="1"/>
  <c r="U37" i="4"/>
  <c r="W37" i="4" s="1"/>
  <c r="U38" i="4"/>
  <c r="W38" i="4" s="1"/>
  <c r="U39" i="4"/>
  <c r="W39" i="4" s="1"/>
  <c r="X39" i="4" s="1"/>
  <c r="U40" i="4"/>
  <c r="U41" i="4"/>
  <c r="U42" i="4"/>
  <c r="U43" i="4"/>
  <c r="U44" i="4"/>
  <c r="W44" i="4" s="1"/>
  <c r="U45" i="4"/>
  <c r="W45" i="4" s="1"/>
  <c r="U46" i="4"/>
  <c r="W46" i="4" s="1"/>
  <c r="U47" i="4"/>
  <c r="W47" i="4" s="1"/>
  <c r="X47" i="4" s="1"/>
  <c r="U48" i="4"/>
  <c r="U49" i="4"/>
  <c r="U51" i="4"/>
  <c r="U52" i="4"/>
  <c r="W52" i="4" s="1"/>
  <c r="U53" i="4"/>
  <c r="W53" i="4" s="1"/>
  <c r="U54" i="4"/>
  <c r="W54" i="4" s="1"/>
  <c r="U55" i="4"/>
  <c r="W55" i="4" s="1"/>
  <c r="X55" i="4" s="1"/>
  <c r="U57" i="4"/>
  <c r="U58" i="4"/>
  <c r="U59" i="4"/>
  <c r="U60" i="4"/>
  <c r="U61" i="4"/>
  <c r="W61" i="4" s="1"/>
  <c r="U62" i="4"/>
  <c r="W62" i="4" s="1"/>
  <c r="U63" i="4"/>
  <c r="W63" i="4" s="1"/>
  <c r="X63" i="4" s="1"/>
  <c r="U64" i="4"/>
  <c r="U65" i="4"/>
  <c r="U66" i="4"/>
  <c r="U67" i="4"/>
  <c r="U68" i="4"/>
  <c r="U69" i="4"/>
  <c r="W69" i="4" s="1"/>
  <c r="U70" i="4"/>
  <c r="W70" i="4" s="1"/>
  <c r="U71" i="4"/>
  <c r="W71" i="4" s="1"/>
  <c r="X71" i="4" s="1"/>
  <c r="U72" i="4"/>
  <c r="U73" i="4"/>
  <c r="U74" i="4"/>
  <c r="U75" i="4"/>
  <c r="U76" i="4"/>
  <c r="U77" i="4"/>
  <c r="W77" i="4" s="1"/>
  <c r="U78" i="4"/>
  <c r="W78" i="4" s="1"/>
  <c r="U79" i="4"/>
  <c r="W79" i="4" s="1"/>
  <c r="X79" i="4" s="1"/>
  <c r="U80" i="4"/>
  <c r="U81" i="4"/>
  <c r="U82" i="4"/>
  <c r="U83" i="4"/>
  <c r="U84" i="4"/>
  <c r="W84" i="4" s="1"/>
  <c r="U85" i="4"/>
  <c r="W85" i="4" s="1"/>
  <c r="U86" i="4"/>
  <c r="W86" i="4" s="1"/>
  <c r="U87" i="4"/>
  <c r="W87" i="4" s="1"/>
  <c r="X87" i="4" s="1"/>
  <c r="U88" i="4"/>
  <c r="U89" i="4"/>
  <c r="U90" i="4"/>
  <c r="U91" i="4"/>
  <c r="U92" i="4"/>
  <c r="W92" i="4" s="1"/>
  <c r="U93" i="4"/>
  <c r="W93" i="4" s="1"/>
  <c r="U94" i="4"/>
  <c r="W94" i="4" s="1"/>
  <c r="U95" i="4"/>
  <c r="W95" i="4" s="1"/>
  <c r="X95" i="4" s="1"/>
  <c r="U96" i="4"/>
  <c r="U97" i="4"/>
  <c r="U98" i="4"/>
  <c r="U99" i="4"/>
  <c r="U100" i="4"/>
  <c r="W100" i="4" s="1"/>
  <c r="U101" i="4"/>
  <c r="W101" i="4" s="1"/>
  <c r="U102" i="4"/>
  <c r="W102" i="4" s="1"/>
  <c r="U103" i="4"/>
  <c r="W103" i="4" s="1"/>
  <c r="X103" i="4" s="1"/>
  <c r="U104" i="4"/>
  <c r="U105" i="4"/>
  <c r="U106" i="4"/>
  <c r="U7" i="4"/>
  <c r="G5" i="2"/>
  <c r="G6" i="2"/>
  <c r="G7" i="2"/>
  <c r="G8" i="2"/>
  <c r="G9" i="2"/>
  <c r="E23" i="23" s="1"/>
  <c r="F23" i="23" s="1"/>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4" i="2"/>
  <c r="G73" i="22"/>
  <c r="G72" i="22"/>
  <c r="G71" i="22"/>
  <c r="G70" i="22"/>
  <c r="G69" i="22"/>
  <c r="G79" i="22"/>
  <c r="G77" i="22"/>
  <c r="G76" i="22"/>
  <c r="G75" i="22"/>
  <c r="M33" i="32" l="1"/>
  <c r="M34" i="32" s="1"/>
  <c r="M38" i="32"/>
  <c r="M37" i="32" s="1"/>
  <c r="E20" i="23"/>
  <c r="F20" i="23" s="1"/>
  <c r="E20" i="6"/>
  <c r="F20" i="6" s="1"/>
  <c r="E22" i="23"/>
  <c r="F22" i="23" s="1"/>
  <c r="E22" i="6"/>
  <c r="F22" i="6" s="1"/>
  <c r="W11" i="4"/>
  <c r="X11" i="4" s="1"/>
  <c r="W49" i="4"/>
  <c r="X49" i="4" s="1"/>
  <c r="W21" i="4"/>
  <c r="X21" i="4" s="1"/>
  <c r="X100" i="4"/>
  <c r="X92" i="4"/>
  <c r="X84" i="4"/>
  <c r="X52" i="4"/>
  <c r="X44" i="4"/>
  <c r="X36" i="4"/>
  <c r="X28" i="4"/>
  <c r="W76" i="4"/>
  <c r="X76" i="4" s="1"/>
  <c r="W20" i="4"/>
  <c r="X20" i="4" s="1"/>
  <c r="W68" i="4"/>
  <c r="X68" i="4" s="1"/>
  <c r="W13" i="4"/>
  <c r="X13" i="4" s="1"/>
  <c r="W60" i="4"/>
  <c r="X60" i="4" s="1"/>
  <c r="W99" i="4"/>
  <c r="X99" i="4" s="1"/>
  <c r="W91" i="4"/>
  <c r="X91" i="4" s="1"/>
  <c r="W83" i="4"/>
  <c r="X83" i="4" s="1"/>
  <c r="W75" i="4"/>
  <c r="X75" i="4" s="1"/>
  <c r="W67" i="4"/>
  <c r="X67" i="4" s="1"/>
  <c r="W59" i="4"/>
  <c r="X59" i="4" s="1"/>
  <c r="W51" i="4"/>
  <c r="X51" i="4" s="1"/>
  <c r="W43" i="4"/>
  <c r="X43" i="4" s="1"/>
  <c r="W35" i="4"/>
  <c r="X35" i="4" s="1"/>
  <c r="W27" i="4"/>
  <c r="X27" i="4" s="1"/>
  <c r="W19" i="4"/>
  <c r="X19" i="4" s="1"/>
  <c r="X102" i="4"/>
  <c r="X94" i="4"/>
  <c r="X86" i="4"/>
  <c r="X78" i="4"/>
  <c r="X70" i="4"/>
  <c r="X62" i="4"/>
  <c r="X54" i="4"/>
  <c r="X46" i="4"/>
  <c r="X38" i="4"/>
  <c r="X30" i="4"/>
  <c r="X22" i="4"/>
  <c r="X14" i="4"/>
  <c r="W106" i="4"/>
  <c r="X106" i="4" s="1"/>
  <c r="W98" i="4"/>
  <c r="X98" i="4" s="1"/>
  <c r="W90" i="4"/>
  <c r="X90" i="4" s="1"/>
  <c r="W82" i="4"/>
  <c r="X82" i="4" s="1"/>
  <c r="W74" i="4"/>
  <c r="X74" i="4" s="1"/>
  <c r="W66" i="4"/>
  <c r="X66" i="4" s="1"/>
  <c r="W58" i="4"/>
  <c r="X58" i="4" s="1"/>
  <c r="W50" i="4"/>
  <c r="X50" i="4" s="1"/>
  <c r="W42" i="4"/>
  <c r="X42" i="4" s="1"/>
  <c r="W34" i="4"/>
  <c r="X34" i="4" s="1"/>
  <c r="W26" i="4"/>
  <c r="X26" i="4" s="1"/>
  <c r="W18" i="4"/>
  <c r="X18" i="4" s="1"/>
  <c r="W10" i="4"/>
  <c r="X10" i="4" s="1"/>
  <c r="X101" i="4"/>
  <c r="X93" i="4"/>
  <c r="X85" i="4"/>
  <c r="X77" i="4"/>
  <c r="X69" i="4"/>
  <c r="X61" i="4"/>
  <c r="X53" i="4"/>
  <c r="X45" i="4"/>
  <c r="X37" i="4"/>
  <c r="X29" i="4"/>
  <c r="W105" i="4"/>
  <c r="X105" i="4" s="1"/>
  <c r="W97" i="4"/>
  <c r="X97" i="4" s="1"/>
  <c r="W89" i="4"/>
  <c r="X89" i="4" s="1"/>
  <c r="W81" i="4"/>
  <c r="X81" i="4" s="1"/>
  <c r="W73" i="4"/>
  <c r="X73" i="4" s="1"/>
  <c r="W65" i="4"/>
  <c r="X65" i="4" s="1"/>
  <c r="W57" i="4"/>
  <c r="X57" i="4" s="1"/>
  <c r="W41" i="4"/>
  <c r="X41" i="4" s="1"/>
  <c r="W33" i="4"/>
  <c r="X33" i="4" s="1"/>
  <c r="W25" i="4"/>
  <c r="X25" i="4" s="1"/>
  <c r="W17" i="4"/>
  <c r="X17" i="4" s="1"/>
  <c r="W9" i="4"/>
  <c r="X9" i="4" s="1"/>
  <c r="W104" i="4"/>
  <c r="X104" i="4" s="1"/>
  <c r="W96" i="4"/>
  <c r="X96" i="4" s="1"/>
  <c r="W88" i="4"/>
  <c r="X88" i="4" s="1"/>
  <c r="W80" i="4"/>
  <c r="X80" i="4" s="1"/>
  <c r="W72" i="4"/>
  <c r="X72" i="4" s="1"/>
  <c r="W64" i="4"/>
  <c r="X64" i="4" s="1"/>
  <c r="W48" i="4"/>
  <c r="X48" i="4" s="1"/>
  <c r="W40" i="4"/>
  <c r="X40" i="4" s="1"/>
  <c r="W32" i="4"/>
  <c r="X32" i="4" s="1"/>
  <c r="W24" i="4"/>
  <c r="X24" i="4" s="1"/>
  <c r="W16" i="4"/>
  <c r="X16" i="4" s="1"/>
  <c r="W7" i="4"/>
  <c r="X7" i="4" s="1"/>
  <c r="U56" i="4" l="1"/>
  <c r="W56" i="4" s="1"/>
  <c r="X56" i="4" s="1"/>
  <c r="C21" i="18" l="1"/>
  <c r="C22" i="18"/>
  <c r="D23" i="18"/>
  <c r="D24" i="18"/>
  <c r="D25" i="18"/>
  <c r="E26" i="18"/>
  <c r="E27" i="18"/>
  <c r="E28" i="18"/>
  <c r="C29" i="18"/>
  <c r="C30" i="18"/>
  <c r="D31" i="18"/>
  <c r="D30" i="18" l="1"/>
  <c r="D22" i="18"/>
  <c r="E25" i="18"/>
  <c r="F25" i="18" s="1"/>
  <c r="C28" i="18"/>
  <c r="D29" i="18"/>
  <c r="D21" i="18"/>
  <c r="E24" i="18"/>
  <c r="F24" i="18" s="1"/>
  <c r="C27" i="18"/>
  <c r="D28" i="18"/>
  <c r="F28" i="18" s="1"/>
  <c r="E31" i="18"/>
  <c r="F31" i="18" s="1"/>
  <c r="E23" i="18"/>
  <c r="F23" i="18" s="1"/>
  <c r="C26" i="18"/>
  <c r="D27" i="18"/>
  <c r="F27" i="18" s="1"/>
  <c r="E30" i="18"/>
  <c r="E22" i="18"/>
  <c r="C25" i="18"/>
  <c r="D26" i="18"/>
  <c r="F26" i="18" s="1"/>
  <c r="E29" i="18"/>
  <c r="E21" i="18"/>
  <c r="C24" i="18"/>
  <c r="C31" i="18"/>
  <c r="C23" i="18"/>
  <c r="E111" i="22"/>
  <c r="E120" i="22"/>
  <c r="E122" i="22" s="1"/>
  <c r="C12" i="20"/>
  <c r="D12" i="20"/>
  <c r="C48" i="24"/>
  <c r="E86" i="9" s="1"/>
  <c r="B8" i="9"/>
  <c r="S39" i="4"/>
  <c r="S38" i="4"/>
  <c r="S31" i="4"/>
  <c r="S29" i="4"/>
  <c r="S28" i="4"/>
  <c r="S27" i="4"/>
  <c r="S25" i="4"/>
  <c r="S20" i="4"/>
  <c r="S41" i="4"/>
  <c r="S26" i="4"/>
  <c r="S36" i="4"/>
  <c r="S15" i="4"/>
  <c r="B152" i="17" a="1"/>
  <c r="B152" i="17" s="1"/>
  <c r="G152" i="17" s="1"/>
  <c r="D153" i="17"/>
  <c r="C155" i="17"/>
  <c r="D156" i="17"/>
  <c r="D157" i="17"/>
  <c r="D161" i="17"/>
  <c r="D163" i="17"/>
  <c r="D164" i="17"/>
  <c r="F165" i="17"/>
  <c r="G166" i="17"/>
  <c r="D169" i="17"/>
  <c r="D170" i="17"/>
  <c r="D171" i="17"/>
  <c r="D172" i="17"/>
  <c r="D177" i="17"/>
  <c r="D178" i="17"/>
  <c r="F179" i="17"/>
  <c r="D180" i="17"/>
  <c r="C184" i="17"/>
  <c r="D185" i="17"/>
  <c r="G186" i="17"/>
  <c r="D187" i="17"/>
  <c r="D188" i="17"/>
  <c r="D189" i="17"/>
  <c r="B152" i="18" a="1"/>
  <c r="B152" i="18" s="1"/>
  <c r="C152" i="18" s="1"/>
  <c r="D154" i="18"/>
  <c r="D155" i="18"/>
  <c r="D157" i="18"/>
  <c r="D158" i="18"/>
  <c r="D159" i="18"/>
  <c r="D162" i="18"/>
  <c r="D163" i="18"/>
  <c r="G164" i="18"/>
  <c r="D165" i="18"/>
  <c r="D166" i="18"/>
  <c r="F167" i="18"/>
  <c r="D168" i="18"/>
  <c r="D170" i="18"/>
  <c r="D171" i="18"/>
  <c r="E172" i="18"/>
  <c r="D173" i="18"/>
  <c r="D174" i="18"/>
  <c r="D176" i="18"/>
  <c r="D178" i="18"/>
  <c r="D179" i="18"/>
  <c r="F180" i="18"/>
  <c r="D181" i="18"/>
  <c r="D182" i="18"/>
  <c r="D187" i="18"/>
  <c r="D189" i="18"/>
  <c r="B152" i="19" a="1"/>
  <c r="B152" i="19" s="1"/>
  <c r="E152" i="19" s="1"/>
  <c r="D157" i="19"/>
  <c r="C159" i="19"/>
  <c r="D160" i="19"/>
  <c r="D161" i="19"/>
  <c r="D164" i="19"/>
  <c r="D165" i="19"/>
  <c r="D166" i="19"/>
  <c r="C167" i="19"/>
  <c r="D168" i="19"/>
  <c r="D169" i="19"/>
  <c r="C170" i="19"/>
  <c r="D171" i="19"/>
  <c r="F173" i="19"/>
  <c r="C174" i="19"/>
  <c r="D175" i="19"/>
  <c r="C176" i="19"/>
  <c r="D177" i="19"/>
  <c r="D181" i="19"/>
  <c r="D183" i="19"/>
  <c r="D184" i="19"/>
  <c r="D185" i="19"/>
  <c r="G189" i="19"/>
  <c r="B152" i="23" a="1"/>
  <c r="B152" i="23" s="1"/>
  <c r="D153" i="23"/>
  <c r="D154" i="23"/>
  <c r="D158" i="23"/>
  <c r="D159" i="23"/>
  <c r="D161" i="23"/>
  <c r="D163" i="23"/>
  <c r="D166" i="23"/>
  <c r="D167" i="23"/>
  <c r="D169" i="23"/>
  <c r="D171" i="23"/>
  <c r="D173" i="23"/>
  <c r="D174" i="23"/>
  <c r="D175" i="23"/>
  <c r="D176" i="23"/>
  <c r="D177" i="23"/>
  <c r="G178" i="23"/>
  <c r="D179" i="23"/>
  <c r="C181" i="23"/>
  <c r="D183" i="23"/>
  <c r="C185" i="23"/>
  <c r="E187" i="23"/>
  <c r="D188" i="23"/>
  <c r="B152" i="6" a="1"/>
  <c r="B152" i="6" s="1"/>
  <c r="C152" i="6" s="1"/>
  <c r="D155" i="6"/>
  <c r="D157" i="6"/>
  <c r="D160" i="6"/>
  <c r="D161" i="6"/>
  <c r="D162" i="6"/>
  <c r="D168" i="6"/>
  <c r="D169" i="6"/>
  <c r="D170" i="6"/>
  <c r="D171" i="6"/>
  <c r="D174" i="6"/>
  <c r="D175" i="6"/>
  <c r="D177" i="6"/>
  <c r="D179" i="6"/>
  <c r="D180" i="6"/>
  <c r="D181" i="6"/>
  <c r="D183" i="6"/>
  <c r="D185" i="6"/>
  <c r="D188" i="6"/>
  <c r="C189" i="6"/>
  <c r="B152" i="28" a="1"/>
  <c r="B152" i="28" s="1"/>
  <c r="F152" i="28" s="1"/>
  <c r="D155" i="28"/>
  <c r="D156" i="28"/>
  <c r="D157" i="28"/>
  <c r="C158" i="28"/>
  <c r="D159" i="28"/>
  <c r="D163" i="28"/>
  <c r="D165" i="28"/>
  <c r="E166" i="28"/>
  <c r="D167" i="28"/>
  <c r="D170" i="28"/>
  <c r="D171" i="28"/>
  <c r="D172" i="28"/>
  <c r="D173" i="28"/>
  <c r="D174" i="28"/>
  <c r="D176" i="28"/>
  <c r="D179" i="28"/>
  <c r="D180" i="28"/>
  <c r="D181" i="28"/>
  <c r="E182" i="28"/>
  <c r="D185" i="28"/>
  <c r="G188" i="28"/>
  <c r="D189" i="28"/>
  <c r="B152" i="20" a="1"/>
  <c r="B152" i="20" s="1"/>
  <c r="C152" i="20" s="1"/>
  <c r="D155" i="20"/>
  <c r="D156" i="20"/>
  <c r="C157" i="20"/>
  <c r="D158" i="20"/>
  <c r="C159" i="20"/>
  <c r="D160" i="20"/>
  <c r="D163" i="20"/>
  <c r="D164" i="20"/>
  <c r="D166" i="20"/>
  <c r="D167" i="20"/>
  <c r="D168" i="20"/>
  <c r="D169" i="20"/>
  <c r="D170" i="20"/>
  <c r="D171" i="20"/>
  <c r="D173" i="20"/>
  <c r="D174" i="20"/>
  <c r="D175" i="20"/>
  <c r="D178" i="20"/>
  <c r="D180" i="20"/>
  <c r="D181" i="20"/>
  <c r="D183" i="20"/>
  <c r="D184" i="20"/>
  <c r="D185" i="20"/>
  <c r="D187" i="20"/>
  <c r="D189" i="20"/>
  <c r="B152" i="21" a="1"/>
  <c r="B152" i="21" s="1"/>
  <c r="C152" i="21" s="1"/>
  <c r="D153" i="21"/>
  <c r="E159" i="21"/>
  <c r="D160" i="21"/>
  <c r="D161" i="21"/>
  <c r="D164" i="21"/>
  <c r="D166" i="21"/>
  <c r="D168" i="21"/>
  <c r="F169" i="21"/>
  <c r="D170" i="21"/>
  <c r="D173" i="21"/>
  <c r="D174" i="21"/>
  <c r="D175" i="21"/>
  <c r="D178" i="21"/>
  <c r="D181" i="21"/>
  <c r="D182" i="21"/>
  <c r="D183" i="21"/>
  <c r="F185" i="21"/>
  <c r="D186" i="21"/>
  <c r="D189" i="21"/>
  <c r="B110" i="17" a="1"/>
  <c r="B110" i="17" s="1"/>
  <c r="G110" i="17" s="1"/>
  <c r="D111" i="17"/>
  <c r="D114" i="17"/>
  <c r="D116" i="17"/>
  <c r="D117" i="17"/>
  <c r="D125" i="17"/>
  <c r="D127" i="17"/>
  <c r="D130" i="17"/>
  <c r="D131" i="17"/>
  <c r="D132" i="17"/>
  <c r="D134" i="17"/>
  <c r="D135" i="17"/>
  <c r="D137" i="17"/>
  <c r="D138" i="17"/>
  <c r="D140" i="17"/>
  <c r="D141" i="17"/>
  <c r="K142" i="17"/>
  <c r="D145" i="17"/>
  <c r="D146" i="17"/>
  <c r="B110" i="18" a="1"/>
  <c r="B110" i="18" s="1"/>
  <c r="O110" i="18" s="1"/>
  <c r="D111" i="18"/>
  <c r="K118" i="18"/>
  <c r="D119" i="18"/>
  <c r="C120" i="18"/>
  <c r="C127" i="18"/>
  <c r="D128" i="18"/>
  <c r="D130" i="18"/>
  <c r="C134" i="18"/>
  <c r="D135" i="18"/>
  <c r="C140" i="18"/>
  <c r="K142" i="18"/>
  <c r="D143" i="18"/>
  <c r="D146" i="18"/>
  <c r="B110" i="19" a="1"/>
  <c r="B110" i="19" s="1"/>
  <c r="O110" i="19" s="1"/>
  <c r="C112" i="19"/>
  <c r="D113" i="19"/>
  <c r="G117" i="19"/>
  <c r="F118" i="19"/>
  <c r="D120" i="19"/>
  <c r="G121" i="19"/>
  <c r="C122" i="19"/>
  <c r="D124" i="19"/>
  <c r="D126" i="19"/>
  <c r="C128" i="19"/>
  <c r="K129" i="19"/>
  <c r="D131" i="19"/>
  <c r="C134" i="19"/>
  <c r="D136" i="19"/>
  <c r="K137" i="19"/>
  <c r="C138" i="19"/>
  <c r="D140" i="19"/>
  <c r="C142" i="19"/>
  <c r="G145" i="19"/>
  <c r="G146" i="19"/>
  <c r="B110" i="23" a="1"/>
  <c r="B110" i="23" s="1"/>
  <c r="C112" i="23"/>
  <c r="M59" i="30" s="1"/>
  <c r="K115" i="23"/>
  <c r="C116" i="23"/>
  <c r="M63" i="30" s="1"/>
  <c r="C120" i="23"/>
  <c r="M67" i="30" s="1"/>
  <c r="D122" i="23"/>
  <c r="K123" i="23"/>
  <c r="C124" i="23"/>
  <c r="M71" i="30" s="1"/>
  <c r="D126" i="23"/>
  <c r="D127" i="23"/>
  <c r="C128" i="23"/>
  <c r="M75" i="30" s="1"/>
  <c r="D129" i="23"/>
  <c r="C131" i="23"/>
  <c r="M78" i="30" s="1"/>
  <c r="D132" i="23"/>
  <c r="D134" i="23"/>
  <c r="D136" i="23"/>
  <c r="D138" i="23"/>
  <c r="D142" i="23"/>
  <c r="D145" i="23"/>
  <c r="B110" i="6" a="1"/>
  <c r="B110" i="6" s="1"/>
  <c r="C110" i="6" s="1"/>
  <c r="C57" i="30" s="1"/>
  <c r="K112" i="6"/>
  <c r="D114" i="6"/>
  <c r="D115" i="6"/>
  <c r="D119" i="6"/>
  <c r="C120" i="6"/>
  <c r="C67" i="30" s="1"/>
  <c r="D126" i="6"/>
  <c r="D128" i="6"/>
  <c r="D130" i="6"/>
  <c r="D132" i="6"/>
  <c r="D133" i="6"/>
  <c r="D138" i="6"/>
  <c r="D144" i="6"/>
  <c r="D145" i="6"/>
  <c r="B110" i="28" a="1"/>
  <c r="B110" i="28" s="1"/>
  <c r="K110" i="28" s="1"/>
  <c r="D112" i="28"/>
  <c r="D115" i="28"/>
  <c r="K116" i="28"/>
  <c r="K117" i="28"/>
  <c r="D120" i="28"/>
  <c r="D123" i="28"/>
  <c r="I125" i="28"/>
  <c r="D128" i="28"/>
  <c r="D130" i="28"/>
  <c r="C133" i="28"/>
  <c r="D134" i="28"/>
  <c r="D136" i="28"/>
  <c r="I141" i="28"/>
  <c r="D144" i="28"/>
  <c r="D147" i="28"/>
  <c r="B110" i="20" a="1"/>
  <c r="B110" i="20" s="1"/>
  <c r="D111" i="20"/>
  <c r="D112" i="20"/>
  <c r="D119" i="20"/>
  <c r="D122" i="20"/>
  <c r="D125" i="20"/>
  <c r="D126" i="20"/>
  <c r="D131" i="20"/>
  <c r="D132" i="20"/>
  <c r="D133" i="20"/>
  <c r="D134" i="20"/>
  <c r="D137" i="20"/>
  <c r="D141" i="20"/>
  <c r="D142" i="20"/>
  <c r="D146" i="20"/>
  <c r="B110" i="21" a="1"/>
  <c r="B110" i="21" s="1"/>
  <c r="O110" i="21" s="1"/>
  <c r="D113" i="21"/>
  <c r="D119" i="21"/>
  <c r="D129" i="21"/>
  <c r="D137" i="21"/>
  <c r="D145" i="21"/>
  <c r="G130" i="17"/>
  <c r="K130" i="17"/>
  <c r="K132" i="17"/>
  <c r="K141" i="17"/>
  <c r="B8" i="24" a="1"/>
  <c r="B8" i="24" s="1"/>
  <c r="D14" i="24"/>
  <c r="D15" i="24"/>
  <c r="D16" i="24"/>
  <c r="D17" i="24"/>
  <c r="D18" i="24"/>
  <c r="D19" i="24"/>
  <c r="D20" i="24"/>
  <c r="D21" i="24"/>
  <c r="D22" i="24"/>
  <c r="D23" i="24"/>
  <c r="D24" i="24"/>
  <c r="D25" i="24"/>
  <c r="D26" i="24"/>
  <c r="D27" i="24"/>
  <c r="D28" i="24"/>
  <c r="D29" i="24"/>
  <c r="D30" i="24"/>
  <c r="B59" i="24" a="1"/>
  <c r="B59" i="24" s="1"/>
  <c r="B60" i="24" a="1"/>
  <c r="B60" i="24" s="1"/>
  <c r="B61" i="24" a="1"/>
  <c r="B61" i="24" s="1"/>
  <c r="B62" i="24" a="1"/>
  <c r="B62" i="24" s="1"/>
  <c r="D62" i="24" s="1"/>
  <c r="B63" i="24" a="1"/>
  <c r="B63" i="24" s="1"/>
  <c r="B64" i="24" a="1"/>
  <c r="B64" i="24" s="1"/>
  <c r="D64" i="24" s="1"/>
  <c r="B65" i="24" a="1"/>
  <c r="B65" i="24" s="1"/>
  <c r="B66" i="24" a="1"/>
  <c r="B66" i="24" s="1"/>
  <c r="D66" i="24" s="1"/>
  <c r="B67" i="24" a="1"/>
  <c r="B67" i="24" s="1"/>
  <c r="B68" i="24" a="1"/>
  <c r="B68" i="24" s="1"/>
  <c r="D68" i="24" s="1"/>
  <c r="B69" i="24" a="1"/>
  <c r="B69" i="24" s="1"/>
  <c r="B70" i="24" a="1"/>
  <c r="B70" i="24" s="1"/>
  <c r="D70" i="24" s="1"/>
  <c r="B71" i="24" a="1"/>
  <c r="B71" i="24" s="1"/>
  <c r="B72" i="24" a="1"/>
  <c r="B72" i="24" s="1"/>
  <c r="D72" i="24" s="1"/>
  <c r="B73" i="24" a="1"/>
  <c r="B73" i="24" s="1"/>
  <c r="B74" i="24" a="1"/>
  <c r="B74" i="24" s="1"/>
  <c r="D74" i="24" s="1"/>
  <c r="B75" i="24" a="1"/>
  <c r="B75" i="24" s="1"/>
  <c r="B76" i="24" a="1"/>
  <c r="B76" i="24" s="1"/>
  <c r="D76" i="24" s="1"/>
  <c r="B77" i="24" a="1"/>
  <c r="B77" i="24" s="1"/>
  <c r="B78" i="24" a="1"/>
  <c r="B78" i="24" s="1"/>
  <c r="D78" i="24" s="1"/>
  <c r="B79" i="24" a="1"/>
  <c r="B79" i="24" s="1"/>
  <c r="B80" i="24" a="1"/>
  <c r="B80" i="24" s="1"/>
  <c r="D80" i="24" s="1"/>
  <c r="B81" i="24" a="1"/>
  <c r="B81" i="24" s="1"/>
  <c r="B82" i="24" a="1"/>
  <c r="B82" i="24" s="1"/>
  <c r="D82" i="24" s="1"/>
  <c r="B83" i="24" a="1"/>
  <c r="B83" i="24" s="1"/>
  <c r="B84" i="24" a="1"/>
  <c r="B84" i="24" s="1"/>
  <c r="D84" i="24" s="1"/>
  <c r="B85" i="24" a="1"/>
  <c r="B85" i="24" s="1"/>
  <c r="B86" i="24" a="1"/>
  <c r="B86" i="24" s="1"/>
  <c r="D86" i="24" s="1"/>
  <c r="B87" i="24" a="1"/>
  <c r="B87" i="24" s="1"/>
  <c r="B88" i="24" a="1"/>
  <c r="B88" i="24" s="1"/>
  <c r="D88" i="24" s="1"/>
  <c r="B89" i="24" a="1"/>
  <c r="B89" i="24" s="1"/>
  <c r="B90" i="24" a="1"/>
  <c r="B90" i="24" s="1"/>
  <c r="D90" i="24" s="1"/>
  <c r="B91" i="24" a="1"/>
  <c r="B91" i="24" s="1"/>
  <c r="B92" i="24" a="1"/>
  <c r="B92" i="24" s="1"/>
  <c r="D92" i="24" s="1"/>
  <c r="B93" i="24" a="1"/>
  <c r="B93" i="24" s="1"/>
  <c r="B94" i="24" a="1"/>
  <c r="B94" i="24" s="1"/>
  <c r="D94" i="24" s="1"/>
  <c r="B95" i="24" a="1"/>
  <c r="B95" i="24" s="1"/>
  <c r="B96" i="24" a="1"/>
  <c r="B96" i="24" s="1"/>
  <c r="D96" i="24" s="1"/>
  <c r="C23" i="17"/>
  <c r="C31" i="17"/>
  <c r="C24" i="19"/>
  <c r="C25" i="19"/>
  <c r="C30" i="19"/>
  <c r="C21" i="6"/>
  <c r="C41" i="30" s="1"/>
  <c r="C22" i="28"/>
  <c r="C24" i="28"/>
  <c r="C22" i="21"/>
  <c r="C23" i="21"/>
  <c r="C24" i="21"/>
  <c r="C28" i="21"/>
  <c r="B52" i="17" a="1"/>
  <c r="B52" i="17" s="1"/>
  <c r="H5" i="3"/>
  <c r="D53" i="17"/>
  <c r="D55" i="17"/>
  <c r="D57" i="17"/>
  <c r="D59" i="17"/>
  <c r="D60" i="17"/>
  <c r="D61" i="17"/>
  <c r="D62" i="17"/>
  <c r="D63" i="17"/>
  <c r="D65" i="17"/>
  <c r="D67" i="17"/>
  <c r="D68" i="17"/>
  <c r="D69" i="17"/>
  <c r="D71" i="17"/>
  <c r="D73" i="17"/>
  <c r="D74" i="17"/>
  <c r="B52" i="18" a="1"/>
  <c r="B52" i="18" s="1"/>
  <c r="D53" i="18"/>
  <c r="D54" i="18"/>
  <c r="D55" i="18"/>
  <c r="D56" i="18"/>
  <c r="D58" i="18"/>
  <c r="D60" i="18"/>
  <c r="D61" i="18"/>
  <c r="D62" i="18"/>
  <c r="D64" i="18"/>
  <c r="D66" i="18"/>
  <c r="D67" i="18"/>
  <c r="D68" i="18"/>
  <c r="D69" i="18"/>
  <c r="D70" i="18"/>
  <c r="D71" i="18"/>
  <c r="D72" i="18"/>
  <c r="D74" i="18"/>
  <c r="B52" i="19" a="1"/>
  <c r="B52" i="19" s="1"/>
  <c r="D53" i="19"/>
  <c r="D54" i="19"/>
  <c r="D55" i="19"/>
  <c r="D56" i="19"/>
  <c r="D57" i="19"/>
  <c r="D58" i="19"/>
  <c r="D59" i="19"/>
  <c r="D60" i="19"/>
  <c r="D61" i="19"/>
  <c r="D62" i="19"/>
  <c r="D63" i="19"/>
  <c r="D64" i="19"/>
  <c r="D65" i="19"/>
  <c r="D66" i="19"/>
  <c r="D67" i="19"/>
  <c r="D68" i="19"/>
  <c r="D69" i="19"/>
  <c r="D70" i="19"/>
  <c r="D71" i="19"/>
  <c r="D72" i="19"/>
  <c r="D73" i="19"/>
  <c r="D74" i="19"/>
  <c r="B52" i="23" a="1"/>
  <c r="B52" i="23" s="1"/>
  <c r="C52" i="23" s="1"/>
  <c r="M52" i="30" s="1"/>
  <c r="G6" i="3"/>
  <c r="H6" i="3" s="1"/>
  <c r="D53" i="23"/>
  <c r="D54" i="23"/>
  <c r="D55" i="23"/>
  <c r="D56" i="23"/>
  <c r="D58" i="23"/>
  <c r="D59" i="23"/>
  <c r="D60" i="23"/>
  <c r="D62" i="23"/>
  <c r="D63" i="23"/>
  <c r="D64" i="23"/>
  <c r="D65" i="23"/>
  <c r="D66" i="23"/>
  <c r="D67" i="23"/>
  <c r="D68" i="23"/>
  <c r="D69" i="23"/>
  <c r="D70" i="23"/>
  <c r="D72" i="23"/>
  <c r="D73" i="23"/>
  <c r="D74" i="23"/>
  <c r="B52" i="6" a="1"/>
  <c r="B52" i="6" s="1"/>
  <c r="C52" i="6" s="1"/>
  <c r="C52" i="30" s="1"/>
  <c r="D53" i="6"/>
  <c r="D54" i="6"/>
  <c r="D55" i="6"/>
  <c r="D56" i="6"/>
  <c r="D57" i="6"/>
  <c r="D58" i="6"/>
  <c r="D59" i="6"/>
  <c r="D60" i="6"/>
  <c r="D61" i="6"/>
  <c r="D62" i="6"/>
  <c r="D63" i="6"/>
  <c r="D64" i="6"/>
  <c r="D65" i="6"/>
  <c r="D66" i="6"/>
  <c r="D67" i="6"/>
  <c r="D68" i="6"/>
  <c r="D69" i="6"/>
  <c r="D70" i="6"/>
  <c r="D71" i="6"/>
  <c r="D72" i="6"/>
  <c r="D73" i="6"/>
  <c r="D74" i="6"/>
  <c r="B52" i="28" a="1"/>
  <c r="B52" i="28" s="1"/>
  <c r="D52" i="28" s="1"/>
  <c r="D53" i="28"/>
  <c r="D54" i="28"/>
  <c r="D55" i="28"/>
  <c r="D56" i="28"/>
  <c r="D57" i="28"/>
  <c r="D58" i="28"/>
  <c r="D59" i="28"/>
  <c r="D60" i="28"/>
  <c r="D61" i="28"/>
  <c r="D62" i="28"/>
  <c r="D63" i="28"/>
  <c r="D64" i="28"/>
  <c r="D65" i="28"/>
  <c r="D66" i="28"/>
  <c r="D68" i="28"/>
  <c r="D69" i="28"/>
  <c r="D70" i="28"/>
  <c r="D71" i="28"/>
  <c r="D72" i="28"/>
  <c r="D73" i="28"/>
  <c r="D74" i="28"/>
  <c r="B52" i="20" a="1"/>
  <c r="B52" i="20" s="1"/>
  <c r="C52" i="20" s="1"/>
  <c r="AE17" i="30" s="1"/>
  <c r="G12" i="3"/>
  <c r="H12" i="3" s="1"/>
  <c r="G13" i="3"/>
  <c r="H13" i="3" s="1"/>
  <c r="D54" i="20"/>
  <c r="D55" i="20"/>
  <c r="D56" i="20"/>
  <c r="D57" i="20"/>
  <c r="D58" i="20"/>
  <c r="D59" i="20"/>
  <c r="D60" i="20"/>
  <c r="D61" i="20"/>
  <c r="D62" i="20"/>
  <c r="D63" i="20"/>
  <c r="D64" i="20"/>
  <c r="D65" i="20"/>
  <c r="D66" i="20"/>
  <c r="D67" i="20"/>
  <c r="D68" i="20"/>
  <c r="D69" i="20"/>
  <c r="D70" i="20"/>
  <c r="D71" i="20"/>
  <c r="D72" i="20"/>
  <c r="D73" i="20"/>
  <c r="D74" i="20"/>
  <c r="B52" i="21" a="1"/>
  <c r="B52" i="21" s="1"/>
  <c r="D53" i="21"/>
  <c r="D54" i="21"/>
  <c r="D55" i="21"/>
  <c r="D56" i="21"/>
  <c r="D57" i="21"/>
  <c r="D58" i="21"/>
  <c r="D59" i="21"/>
  <c r="D60" i="21"/>
  <c r="D61" i="21"/>
  <c r="D62" i="21"/>
  <c r="D63" i="21"/>
  <c r="D64" i="21"/>
  <c r="D65" i="21"/>
  <c r="D66" i="21"/>
  <c r="D67" i="21"/>
  <c r="D68" i="21"/>
  <c r="D69" i="21"/>
  <c r="D70" i="21"/>
  <c r="D71" i="21"/>
  <c r="D72" i="21"/>
  <c r="D73" i="21"/>
  <c r="D74" i="21"/>
  <c r="B83" i="17" a="1"/>
  <c r="B83" i="17" s="1"/>
  <c r="G7" i="3"/>
  <c r="H7" i="3" s="1"/>
  <c r="C84" i="17"/>
  <c r="G9" i="3"/>
  <c r="H9" i="3" s="1"/>
  <c r="D86" i="17"/>
  <c r="D88" i="17"/>
  <c r="D89" i="17"/>
  <c r="D90" i="17"/>
  <c r="D91" i="17"/>
  <c r="D92" i="17"/>
  <c r="D94" i="17"/>
  <c r="D95" i="17"/>
  <c r="D96" i="17"/>
  <c r="D97" i="17"/>
  <c r="D98" i="17"/>
  <c r="D100" i="17"/>
  <c r="D102" i="17"/>
  <c r="D103" i="17"/>
  <c r="B83" i="18" a="1"/>
  <c r="B83" i="18" s="1"/>
  <c r="D85" i="18"/>
  <c r="D88" i="18"/>
  <c r="D89" i="18"/>
  <c r="D90" i="18"/>
  <c r="D91" i="18"/>
  <c r="D92" i="18"/>
  <c r="D93" i="18"/>
  <c r="D94" i="18"/>
  <c r="D97" i="18"/>
  <c r="D98" i="18"/>
  <c r="D99" i="18"/>
  <c r="D100" i="18"/>
  <c r="D101" i="18"/>
  <c r="D102" i="18"/>
  <c r="B83" i="19" a="1"/>
  <c r="B83" i="19" s="1"/>
  <c r="C84" i="19"/>
  <c r="D86" i="19"/>
  <c r="D87" i="19"/>
  <c r="D89" i="19"/>
  <c r="D90" i="19"/>
  <c r="D92" i="19"/>
  <c r="D94" i="19"/>
  <c r="D95" i="19"/>
  <c r="D96" i="19"/>
  <c r="D99" i="19"/>
  <c r="D101" i="19"/>
  <c r="D102" i="19"/>
  <c r="D103" i="19"/>
  <c r="B83" i="23" a="1"/>
  <c r="B83" i="23" s="1"/>
  <c r="G8" i="3"/>
  <c r="H8" i="3" s="1"/>
  <c r="D85" i="23"/>
  <c r="D87" i="23"/>
  <c r="D88" i="23"/>
  <c r="D89" i="23"/>
  <c r="D90" i="23"/>
  <c r="D91" i="23"/>
  <c r="D92" i="23"/>
  <c r="D93" i="23"/>
  <c r="D95" i="23"/>
  <c r="D96" i="23"/>
  <c r="D97" i="23"/>
  <c r="D98" i="23"/>
  <c r="D99" i="23"/>
  <c r="D100" i="23"/>
  <c r="D102" i="23"/>
  <c r="B83" i="6" a="1"/>
  <c r="B83" i="6" s="1"/>
  <c r="D85" i="6"/>
  <c r="D87" i="6"/>
  <c r="D88" i="6"/>
  <c r="D90" i="6"/>
  <c r="D91" i="6"/>
  <c r="D92" i="6"/>
  <c r="D93" i="6"/>
  <c r="D95" i="6"/>
  <c r="D96" i="6"/>
  <c r="D97" i="6"/>
  <c r="D98" i="6"/>
  <c r="D101" i="6"/>
  <c r="D102" i="6"/>
  <c r="D103" i="6"/>
  <c r="B83" i="28" a="1"/>
  <c r="B83" i="28" s="1"/>
  <c r="D84" i="28"/>
  <c r="D85" i="28"/>
  <c r="D88" i="28"/>
  <c r="D90" i="28"/>
  <c r="D92" i="28"/>
  <c r="D96" i="28"/>
  <c r="D97" i="28"/>
  <c r="D98" i="28"/>
  <c r="D100" i="28"/>
  <c r="D102" i="28"/>
  <c r="D103" i="28"/>
  <c r="B83" i="20" a="1"/>
  <c r="B83" i="20" s="1"/>
  <c r="D86" i="20"/>
  <c r="D89" i="20"/>
  <c r="D92" i="20"/>
  <c r="D94" i="20"/>
  <c r="D96" i="20"/>
  <c r="D100" i="20"/>
  <c r="D101" i="20"/>
  <c r="D103" i="20"/>
  <c r="B83" i="21" a="1"/>
  <c r="B83" i="21" s="1"/>
  <c r="C83" i="21" s="1"/>
  <c r="G10" i="3"/>
  <c r="H10" i="3" s="1"/>
  <c r="G11" i="3"/>
  <c r="H11" i="3" s="1"/>
  <c r="C27" i="20"/>
  <c r="C30" i="20"/>
  <c r="C31" i="20"/>
  <c r="C64" i="9"/>
  <c r="C29" i="9"/>
  <c r="C37" i="9"/>
  <c r="C48" i="9"/>
  <c r="C72" i="9"/>
  <c r="C110" i="9"/>
  <c r="C56" i="9"/>
  <c r="G15" i="3"/>
  <c r="H15" i="3" s="1"/>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43" i="4"/>
  <c r="P35" i="4"/>
  <c r="P34" i="4"/>
  <c r="P33" i="4"/>
  <c r="P32" i="4"/>
  <c r="P31" i="4"/>
  <c r="P30" i="4"/>
  <c r="P29" i="4"/>
  <c r="P28" i="4"/>
  <c r="P27" i="4"/>
  <c r="P26" i="4"/>
  <c r="P24" i="4"/>
  <c r="P23" i="4"/>
  <c r="P22" i="4"/>
  <c r="P21" i="4"/>
  <c r="P20" i="4"/>
  <c r="P19" i="4"/>
  <c r="P18" i="4"/>
  <c r="P17" i="4"/>
  <c r="P16" i="4"/>
  <c r="P12" i="4"/>
  <c r="P10" i="4"/>
  <c r="P9" i="4"/>
  <c r="P8"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43" i="4"/>
  <c r="N35" i="4"/>
  <c r="N34" i="4"/>
  <c r="N33" i="4"/>
  <c r="N32" i="4"/>
  <c r="N31" i="4"/>
  <c r="N30" i="4"/>
  <c r="N29" i="4"/>
  <c r="N28" i="4"/>
  <c r="N27" i="4"/>
  <c r="N26" i="4"/>
  <c r="N24" i="4"/>
  <c r="N23" i="4"/>
  <c r="N22" i="4"/>
  <c r="N21" i="4"/>
  <c r="N20" i="4"/>
  <c r="N19" i="4"/>
  <c r="N18" i="4"/>
  <c r="N17" i="4"/>
  <c r="N16" i="4"/>
  <c r="N12" i="4"/>
  <c r="N10" i="4"/>
  <c r="N8" i="4"/>
  <c r="L8" i="4"/>
  <c r="J8" i="4"/>
  <c r="J38" i="32"/>
  <c r="J37" i="32"/>
  <c r="E21" i="32"/>
  <c r="J21" i="32" s="1"/>
  <c r="B41" i="21"/>
  <c r="B40" i="21"/>
  <c r="B39" i="21"/>
  <c r="B41" i="20"/>
  <c r="B40" i="20"/>
  <c r="B39" i="20"/>
  <c r="B41" i="28"/>
  <c r="B40" i="28"/>
  <c r="B39" i="28"/>
  <c r="B41" i="6"/>
  <c r="C49" i="30" s="1"/>
  <c r="B40" i="6"/>
  <c r="C48" i="30" s="1"/>
  <c r="B39" i="6"/>
  <c r="C47" i="30" s="1"/>
  <c r="B41" i="19"/>
  <c r="B40" i="19"/>
  <c r="B39" i="19"/>
  <c r="B41" i="18"/>
  <c r="B40" i="18"/>
  <c r="B39" i="18"/>
  <c r="B41" i="17"/>
  <c r="B40" i="17"/>
  <c r="B39" i="17"/>
  <c r="B41" i="23"/>
  <c r="M49" i="30" s="1"/>
  <c r="B40" i="23"/>
  <c r="M48" i="30" s="1"/>
  <c r="B39" i="23"/>
  <c r="M47" i="30" s="1"/>
  <c r="O5" i="4"/>
  <c r="P52" i="4" s="1"/>
  <c r="M5" i="4"/>
  <c r="N40" i="4" s="1"/>
  <c r="K5" i="4"/>
  <c r="I5" i="4"/>
  <c r="L7" i="4"/>
  <c r="N7" i="4"/>
  <c r="N53" i="4"/>
  <c r="N37" i="4"/>
  <c r="J7" i="4"/>
  <c r="P7" i="4"/>
  <c r="P37" i="4"/>
  <c r="P11" i="4"/>
  <c r="AJ46" i="4"/>
  <c r="AJ47" i="4"/>
  <c r="AJ48" i="4"/>
  <c r="AJ49" i="4"/>
  <c r="AJ50" i="4"/>
  <c r="AJ51" i="4"/>
  <c r="AJ52" i="4"/>
  <c r="AJ53" i="4"/>
  <c r="AJ54" i="4"/>
  <c r="AJ55" i="4"/>
  <c r="AJ56" i="4"/>
  <c r="AJ57" i="4"/>
  <c r="AJ58" i="4"/>
  <c r="AJ59" i="4"/>
  <c r="AJ60" i="4"/>
  <c r="AJ61" i="4"/>
  <c r="AJ62" i="4"/>
  <c r="AJ63" i="4"/>
  <c r="AJ64" i="4"/>
  <c r="AJ65" i="4"/>
  <c r="AJ66" i="4"/>
  <c r="AJ67" i="4"/>
  <c r="AJ68" i="4"/>
  <c r="AJ69" i="4"/>
  <c r="AJ70" i="4"/>
  <c r="AJ71" i="4"/>
  <c r="AJ72" i="4"/>
  <c r="AJ73" i="4"/>
  <c r="AJ74" i="4"/>
  <c r="AJ75" i="4"/>
  <c r="AJ76" i="4"/>
  <c r="AJ77" i="4"/>
  <c r="AJ78" i="4"/>
  <c r="AJ79" i="4"/>
  <c r="AJ80"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D121" i="23" a="1"/>
  <c r="AD121" i="23" s="1"/>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J2" i="2"/>
  <c r="L2" i="2"/>
  <c r="M2" i="2"/>
  <c r="N2" i="2"/>
  <c r="O2" i="2"/>
  <c r="P2" i="2"/>
  <c r="Q2" i="2"/>
  <c r="R2" i="2"/>
  <c r="K2" i="2"/>
  <c r="S5" i="2"/>
  <c r="S4" i="2"/>
  <c r="N39" i="32"/>
  <c r="M39" i="32" s="1"/>
  <c r="AA6" i="4"/>
  <c r="AB6" i="4"/>
  <c r="AC6" i="4"/>
  <c r="AD6" i="4"/>
  <c r="AE6" i="4"/>
  <c r="AF6" i="4"/>
  <c r="AG6" i="4"/>
  <c r="AH6" i="4"/>
  <c r="AI6" i="4"/>
  <c r="AJ7"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G16" i="3"/>
  <c r="H16" i="3" s="1"/>
  <c r="G17" i="3"/>
  <c r="H17" i="3" s="1"/>
  <c r="G18" i="3"/>
  <c r="H18" i="3" s="1"/>
  <c r="G19" i="3"/>
  <c r="H19" i="3" s="1"/>
  <c r="G20" i="3"/>
  <c r="H20" i="3" s="1"/>
  <c r="G21" i="3"/>
  <c r="H21" i="3" s="1"/>
  <c r="G22" i="3"/>
  <c r="H22" i="3" s="1"/>
  <c r="G23" i="3"/>
  <c r="H23" i="3" s="1"/>
  <c r="G24" i="3"/>
  <c r="H24" i="3" s="1"/>
  <c r="G25" i="3"/>
  <c r="H25" i="3" s="1"/>
  <c r="N4" i="3"/>
  <c r="O4" i="3"/>
  <c r="P4" i="3"/>
  <c r="Q4" i="3"/>
  <c r="R4" i="3"/>
  <c r="S4" i="3"/>
  <c r="T4" i="3"/>
  <c r="U4" i="3"/>
  <c r="M4" i="3"/>
  <c r="V25" i="3"/>
  <c r="V24" i="3"/>
  <c r="V23" i="3"/>
  <c r="V22" i="3"/>
  <c r="V21" i="3"/>
  <c r="V20" i="3"/>
  <c r="V19" i="3"/>
  <c r="V18" i="3"/>
  <c r="V17" i="3"/>
  <c r="V16" i="3"/>
  <c r="V15" i="3"/>
  <c r="V14" i="3"/>
  <c r="V13" i="3"/>
  <c r="V12" i="3"/>
  <c r="V11" i="3"/>
  <c r="V10" i="3"/>
  <c r="V9" i="3"/>
  <c r="V8" i="3"/>
  <c r="V7" i="3"/>
  <c r="V6" i="3"/>
  <c r="V5" i="3"/>
  <c r="C52" i="17"/>
  <c r="C71" i="18" l="1"/>
  <c r="AB28" i="30"/>
  <c r="D13" i="24"/>
  <c r="J45" i="4"/>
  <c r="J14" i="4"/>
  <c r="J38" i="4"/>
  <c r="J46" i="4"/>
  <c r="J15" i="4"/>
  <c r="J39" i="4"/>
  <c r="J47" i="4"/>
  <c r="J40" i="4"/>
  <c r="J48" i="4"/>
  <c r="J25" i="4"/>
  <c r="J41" i="4"/>
  <c r="J49" i="4"/>
  <c r="J42" i="4"/>
  <c r="J50" i="4"/>
  <c r="J51" i="4"/>
  <c r="J36" i="4"/>
  <c r="J44" i="4"/>
  <c r="J52" i="4"/>
  <c r="L36" i="4"/>
  <c r="L44" i="4"/>
  <c r="L52" i="4"/>
  <c r="L45" i="4"/>
  <c r="L14" i="4"/>
  <c r="L38" i="4"/>
  <c r="L46" i="4"/>
  <c r="L15" i="4"/>
  <c r="L39" i="4"/>
  <c r="L47" i="4"/>
  <c r="L40" i="4"/>
  <c r="L48" i="4"/>
  <c r="L25" i="4"/>
  <c r="L41" i="4"/>
  <c r="L49" i="4"/>
  <c r="L42" i="4"/>
  <c r="L50" i="4"/>
  <c r="L51" i="4"/>
  <c r="C110" i="18"/>
  <c r="C70" i="6"/>
  <c r="D53" i="32"/>
  <c r="E53" i="32"/>
  <c r="E88" i="21"/>
  <c r="C88" i="21"/>
  <c r="F88" i="21"/>
  <c r="E102" i="21"/>
  <c r="C102" i="21"/>
  <c r="F102" i="21"/>
  <c r="C94" i="21"/>
  <c r="F94" i="21"/>
  <c r="E86" i="21"/>
  <c r="C86" i="21"/>
  <c r="F86" i="21"/>
  <c r="E103" i="21"/>
  <c r="C103" i="21"/>
  <c r="F103" i="21"/>
  <c r="E93" i="21"/>
  <c r="F93" i="21"/>
  <c r="C93" i="21"/>
  <c r="E96" i="21"/>
  <c r="C96" i="21"/>
  <c r="F96" i="21"/>
  <c r="E87" i="21"/>
  <c r="C87" i="21"/>
  <c r="F87" i="21"/>
  <c r="F100" i="21"/>
  <c r="C100" i="21"/>
  <c r="F92" i="21"/>
  <c r="C92" i="21"/>
  <c r="F84" i="21"/>
  <c r="C84" i="21"/>
  <c r="E99" i="21"/>
  <c r="F99" i="21"/>
  <c r="C99" i="21"/>
  <c r="F91" i="21"/>
  <c r="C91" i="21"/>
  <c r="E85" i="21"/>
  <c r="F85" i="21"/>
  <c r="C85" i="21"/>
  <c r="F98" i="21"/>
  <c r="C98" i="21"/>
  <c r="E90" i="21"/>
  <c r="F90" i="21"/>
  <c r="C90" i="21"/>
  <c r="C95" i="21"/>
  <c r="F95" i="21"/>
  <c r="F101" i="21"/>
  <c r="C101" i="21"/>
  <c r="E97" i="21"/>
  <c r="C97" i="21"/>
  <c r="F97" i="21"/>
  <c r="C89" i="21"/>
  <c r="F89" i="21"/>
  <c r="F86" i="9"/>
  <c r="G86" i="9" s="1"/>
  <c r="H86" i="9" s="1"/>
  <c r="C65" i="10"/>
  <c r="C67" i="23"/>
  <c r="C28" i="9"/>
  <c r="N44" i="4"/>
  <c r="D101" i="21"/>
  <c r="E101" i="21"/>
  <c r="D95" i="21"/>
  <c r="E95" i="21"/>
  <c r="D94" i="21"/>
  <c r="E94" i="21"/>
  <c r="D100" i="21"/>
  <c r="E100" i="21"/>
  <c r="D92" i="21"/>
  <c r="E92" i="21"/>
  <c r="D91" i="21"/>
  <c r="E91" i="21"/>
  <c r="D98" i="21"/>
  <c r="E98" i="21"/>
  <c r="D89" i="21"/>
  <c r="E89" i="21"/>
  <c r="F21" i="18"/>
  <c r="P44" i="4"/>
  <c r="P40" i="4"/>
  <c r="C166" i="17"/>
  <c r="F176" i="18"/>
  <c r="C60" i="6"/>
  <c r="C53" i="28"/>
  <c r="D53" i="20"/>
  <c r="C59" i="18"/>
  <c r="D59" i="18"/>
  <c r="C66" i="17"/>
  <c r="D66" i="17"/>
  <c r="C58" i="17"/>
  <c r="D58" i="17"/>
  <c r="C59" i="23"/>
  <c r="D52" i="20"/>
  <c r="C73" i="18"/>
  <c r="D73" i="18"/>
  <c r="C65" i="18"/>
  <c r="D65" i="18"/>
  <c r="C57" i="18"/>
  <c r="D57" i="18"/>
  <c r="C72" i="17"/>
  <c r="D72" i="17"/>
  <c r="C64" i="17"/>
  <c r="D64" i="17"/>
  <c r="C56" i="17"/>
  <c r="D56" i="17"/>
  <c r="C68" i="6"/>
  <c r="C67" i="28"/>
  <c r="D67" i="28"/>
  <c r="C57" i="23"/>
  <c r="D57" i="23"/>
  <c r="C63" i="18"/>
  <c r="D63" i="18"/>
  <c r="C70" i="17"/>
  <c r="D70" i="17"/>
  <c r="C54" i="17"/>
  <c r="D54" i="17"/>
  <c r="C65" i="17"/>
  <c r="C66" i="18"/>
  <c r="C71" i="23"/>
  <c r="D71" i="23"/>
  <c r="C58" i="18"/>
  <c r="C61" i="28"/>
  <c r="C57" i="17"/>
  <c r="C61" i="23"/>
  <c r="D61" i="23"/>
  <c r="D52" i="19"/>
  <c r="D52" i="21"/>
  <c r="D52" i="18"/>
  <c r="D52" i="17"/>
  <c r="D52" i="23"/>
  <c r="D52" i="6"/>
  <c r="P41" i="4"/>
  <c r="N36" i="4"/>
  <c r="P36" i="4"/>
  <c r="N25" i="4"/>
  <c r="N48" i="4"/>
  <c r="N46" i="4"/>
  <c r="P51" i="4"/>
  <c r="P48" i="4"/>
  <c r="P14" i="4"/>
  <c r="P45" i="4"/>
  <c r="P42" i="4"/>
  <c r="P50" i="4"/>
  <c r="P38" i="4"/>
  <c r="P15" i="4"/>
  <c r="P47" i="4"/>
  <c r="D9" i="24"/>
  <c r="D10" i="24"/>
  <c r="C30" i="28"/>
  <c r="E30" i="28"/>
  <c r="D30" i="28"/>
  <c r="C27" i="17"/>
  <c r="E27" i="17"/>
  <c r="C157" i="18"/>
  <c r="C189" i="18"/>
  <c r="C173" i="18"/>
  <c r="C175" i="20"/>
  <c r="E177" i="23"/>
  <c r="E171" i="17"/>
  <c r="E179" i="17"/>
  <c r="G177" i="23"/>
  <c r="E165" i="18"/>
  <c r="E187" i="17"/>
  <c r="F175" i="20"/>
  <c r="F189" i="18"/>
  <c r="E173" i="18"/>
  <c r="G167" i="19"/>
  <c r="C183" i="19"/>
  <c r="G171" i="17"/>
  <c r="E183" i="20"/>
  <c r="C181" i="18"/>
  <c r="C179" i="17"/>
  <c r="F187" i="17"/>
  <c r="G179" i="17"/>
  <c r="E185" i="23"/>
  <c r="C187" i="17"/>
  <c r="C175" i="19"/>
  <c r="F171" i="17"/>
  <c r="G187" i="17"/>
  <c r="E175" i="19"/>
  <c r="C142" i="18"/>
  <c r="C118" i="18"/>
  <c r="F183" i="20"/>
  <c r="C135" i="18"/>
  <c r="C121" i="19"/>
  <c r="G183" i="20"/>
  <c r="C145" i="19"/>
  <c r="C129" i="19"/>
  <c r="C123" i="23"/>
  <c r="M70" i="30" s="1"/>
  <c r="C113" i="19"/>
  <c r="C119" i="18"/>
  <c r="C137" i="19"/>
  <c r="C143" i="18"/>
  <c r="C111" i="18"/>
  <c r="C89" i="18"/>
  <c r="C74" i="17"/>
  <c r="D11" i="24"/>
  <c r="C98" i="6"/>
  <c r="C56" i="20"/>
  <c r="C72" i="18"/>
  <c r="C99" i="19"/>
  <c r="C74" i="28"/>
  <c r="C64" i="20"/>
  <c r="C72" i="20"/>
  <c r="C90" i="6"/>
  <c r="C67" i="21"/>
  <c r="C69" i="21"/>
  <c r="C74" i="6"/>
  <c r="C58" i="6"/>
  <c r="C62" i="17"/>
  <c r="C95" i="23"/>
  <c r="C65" i="6"/>
  <c r="D12" i="24"/>
  <c r="C64" i="19"/>
  <c r="C62" i="6"/>
  <c r="C72" i="19"/>
  <c r="D8" i="24"/>
  <c r="C178" i="18"/>
  <c r="F23" i="24"/>
  <c r="C52" i="19"/>
  <c r="F29" i="24"/>
  <c r="F21" i="24"/>
  <c r="F13" i="24"/>
  <c r="F27" i="24"/>
  <c r="F19" i="24"/>
  <c r="F11" i="24"/>
  <c r="C94" i="18"/>
  <c r="C67" i="18"/>
  <c r="F25" i="24"/>
  <c r="F17" i="24"/>
  <c r="F9" i="24"/>
  <c r="C102" i="17"/>
  <c r="C102" i="23"/>
  <c r="C66" i="6"/>
  <c r="C115" i="23"/>
  <c r="M62" i="30" s="1"/>
  <c r="F169" i="17"/>
  <c r="G169" i="17"/>
  <c r="F163" i="18"/>
  <c r="C57" i="19"/>
  <c r="C56" i="18"/>
  <c r="C83" i="17"/>
  <c r="C94" i="17"/>
  <c r="C59" i="28"/>
  <c r="C60" i="28"/>
  <c r="C88" i="23"/>
  <c r="C92" i="19"/>
  <c r="C56" i="21"/>
  <c r="C57" i="20"/>
  <c r="C74" i="19"/>
  <c r="C96" i="23"/>
  <c r="C67" i="6"/>
  <c r="C65" i="20"/>
  <c r="C65" i="19"/>
  <c r="C58" i="19"/>
  <c r="C74" i="23"/>
  <c r="C73" i="20"/>
  <c r="C66" i="19"/>
  <c r="E173" i="19"/>
  <c r="C161" i="17"/>
  <c r="G169" i="6"/>
  <c r="F177" i="6"/>
  <c r="K146" i="19"/>
  <c r="F164" i="19"/>
  <c r="C154" i="18"/>
  <c r="E163" i="18"/>
  <c r="E173" i="20"/>
  <c r="C173" i="19"/>
  <c r="E179" i="28"/>
  <c r="F161" i="17"/>
  <c r="C169" i="6"/>
  <c r="G185" i="17"/>
  <c r="G177" i="6"/>
  <c r="F185" i="17"/>
  <c r="C116" i="18"/>
  <c r="C167" i="23"/>
  <c r="E169" i="6"/>
  <c r="F179" i="28"/>
  <c r="C110" i="19"/>
  <c r="C159" i="23"/>
  <c r="C165" i="19"/>
  <c r="F169" i="6"/>
  <c r="C179" i="28"/>
  <c r="E189" i="19"/>
  <c r="E169" i="17"/>
  <c r="G163" i="18"/>
  <c r="F189" i="19"/>
  <c r="E161" i="17"/>
  <c r="F165" i="19"/>
  <c r="F171" i="28"/>
  <c r="C189" i="19"/>
  <c r="G165" i="19"/>
  <c r="F173" i="20"/>
  <c r="C118" i="19"/>
  <c r="E165" i="19"/>
  <c r="F175" i="23"/>
  <c r="F181" i="19"/>
  <c r="C185" i="6"/>
  <c r="E185" i="17"/>
  <c r="C177" i="17"/>
  <c r="G173" i="19"/>
  <c r="C159" i="21"/>
  <c r="F163" i="28"/>
  <c r="C175" i="23"/>
  <c r="C181" i="19"/>
  <c r="C155" i="18"/>
  <c r="F185" i="6"/>
  <c r="C153" i="17"/>
  <c r="G175" i="23"/>
  <c r="C163" i="18"/>
  <c r="C173" i="20"/>
  <c r="E177" i="6"/>
  <c r="C169" i="17"/>
  <c r="C185" i="17"/>
  <c r="G161" i="17"/>
  <c r="G171" i="28"/>
  <c r="C52" i="18"/>
  <c r="C60" i="20"/>
  <c r="C64" i="28"/>
  <c r="C56" i="28"/>
  <c r="C70" i="19"/>
  <c r="C62" i="19"/>
  <c r="E54" i="19"/>
  <c r="E69" i="18"/>
  <c r="E61" i="18"/>
  <c r="E53" i="18"/>
  <c r="E68" i="17"/>
  <c r="E60" i="17"/>
  <c r="C54" i="28"/>
  <c r="D103" i="21"/>
  <c r="D87" i="21"/>
  <c r="C89" i="28"/>
  <c r="D89" i="28"/>
  <c r="F94" i="6"/>
  <c r="D94" i="6"/>
  <c r="F86" i="6"/>
  <c r="D86" i="6"/>
  <c r="C97" i="19"/>
  <c r="D97" i="19"/>
  <c r="C86" i="18"/>
  <c r="D86" i="18"/>
  <c r="C99" i="17"/>
  <c r="D99" i="17"/>
  <c r="E69" i="21"/>
  <c r="C53" i="21"/>
  <c r="C54" i="20"/>
  <c r="F71" i="28"/>
  <c r="F63" i="28"/>
  <c r="F55" i="28"/>
  <c r="F70" i="6"/>
  <c r="F62" i="6"/>
  <c r="F54" i="6"/>
  <c r="F69" i="23"/>
  <c r="F61" i="23"/>
  <c r="C53" i="19"/>
  <c r="F68" i="18"/>
  <c r="C60" i="18"/>
  <c r="E67" i="17"/>
  <c r="D96" i="21"/>
  <c r="C98" i="19"/>
  <c r="D98" i="19"/>
  <c r="F55" i="6"/>
  <c r="F70" i="28"/>
  <c r="C62" i="28"/>
  <c r="C69" i="6"/>
  <c r="C61" i="6"/>
  <c r="C68" i="19"/>
  <c r="C60" i="19"/>
  <c r="E59" i="18"/>
  <c r="E66" i="17"/>
  <c r="E58" i="17"/>
  <c r="C103" i="18"/>
  <c r="D103" i="18"/>
  <c r="C70" i="21"/>
  <c r="C72" i="28"/>
  <c r="D93" i="21"/>
  <c r="D85" i="21"/>
  <c r="C98" i="20"/>
  <c r="D98" i="20"/>
  <c r="C90" i="20"/>
  <c r="D90" i="20"/>
  <c r="C95" i="28"/>
  <c r="D95" i="28"/>
  <c r="C87" i="28"/>
  <c r="D87" i="28"/>
  <c r="C100" i="6"/>
  <c r="D100" i="6"/>
  <c r="E67" i="21"/>
  <c r="C66" i="20"/>
  <c r="C59" i="20"/>
  <c r="F53" i="20"/>
  <c r="AH18" i="30" s="1"/>
  <c r="F69" i="28"/>
  <c r="F53" i="28"/>
  <c r="F68" i="6"/>
  <c r="F60" i="6"/>
  <c r="F67" i="23"/>
  <c r="F59" i="23"/>
  <c r="C67" i="19"/>
  <c r="C74" i="18"/>
  <c r="C85" i="20"/>
  <c r="D85" i="20"/>
  <c r="C88" i="19"/>
  <c r="D88" i="19"/>
  <c r="C97" i="20"/>
  <c r="D97" i="20"/>
  <c r="C94" i="28"/>
  <c r="D94" i="28"/>
  <c r="C86" i="28"/>
  <c r="D86" i="28"/>
  <c r="C99" i="6"/>
  <c r="D99" i="6"/>
  <c r="C58" i="21"/>
  <c r="C58" i="20"/>
  <c r="C59" i="6"/>
  <c r="E73" i="18"/>
  <c r="E65" i="18"/>
  <c r="E57" i="18"/>
  <c r="E72" i="17"/>
  <c r="E64" i="17"/>
  <c r="E56" i="17"/>
  <c r="C93" i="20"/>
  <c r="D93" i="20"/>
  <c r="C95" i="18"/>
  <c r="D95" i="18"/>
  <c r="C69" i="20"/>
  <c r="C99" i="20"/>
  <c r="D99" i="20"/>
  <c r="D99" i="21"/>
  <c r="C88" i="20"/>
  <c r="D88" i="20"/>
  <c r="C101" i="28"/>
  <c r="D101" i="28"/>
  <c r="C93" i="28"/>
  <c r="D93" i="28"/>
  <c r="C103" i="23"/>
  <c r="D103" i="23"/>
  <c r="E93" i="19"/>
  <c r="D93" i="19"/>
  <c r="E85" i="19"/>
  <c r="D85" i="19"/>
  <c r="E87" i="17"/>
  <c r="D87" i="17"/>
  <c r="E73" i="21"/>
  <c r="F67" i="28"/>
  <c r="F74" i="6"/>
  <c r="F58" i="6"/>
  <c r="F73" i="23"/>
  <c r="F65" i="23"/>
  <c r="F57" i="23"/>
  <c r="C73" i="19"/>
  <c r="C71" i="17"/>
  <c r="C63" i="17"/>
  <c r="C55" i="17"/>
  <c r="C87" i="18"/>
  <c r="D87" i="18"/>
  <c r="C61" i="20"/>
  <c r="D86" i="21"/>
  <c r="D90" i="21"/>
  <c r="C95" i="20"/>
  <c r="D95" i="20"/>
  <c r="C87" i="20"/>
  <c r="D87" i="20"/>
  <c r="C89" i="6"/>
  <c r="D89" i="6"/>
  <c r="C94" i="23"/>
  <c r="D94" i="23"/>
  <c r="C86" i="23"/>
  <c r="D86" i="23"/>
  <c r="C100" i="19"/>
  <c r="D100" i="19"/>
  <c r="C64" i="21"/>
  <c r="C71" i="20"/>
  <c r="C63" i="20"/>
  <c r="C58" i="28"/>
  <c r="C72" i="23"/>
  <c r="F71" i="18"/>
  <c r="E63" i="18"/>
  <c r="C55" i="18"/>
  <c r="E70" i="17"/>
  <c r="E54" i="17"/>
  <c r="D88" i="21"/>
  <c r="C63" i="6"/>
  <c r="D102" i="21"/>
  <c r="C91" i="20"/>
  <c r="D91" i="20"/>
  <c r="C70" i="23"/>
  <c r="C68" i="23"/>
  <c r="D97" i="21"/>
  <c r="C102" i="20"/>
  <c r="D102" i="20"/>
  <c r="C99" i="28"/>
  <c r="D99" i="28"/>
  <c r="C91" i="28"/>
  <c r="D91" i="28"/>
  <c r="E83" i="28"/>
  <c r="D83" i="28"/>
  <c r="C101" i="23"/>
  <c r="D101" i="23"/>
  <c r="C91" i="19"/>
  <c r="D91" i="19"/>
  <c r="C96" i="18"/>
  <c r="D96" i="18"/>
  <c r="C101" i="17"/>
  <c r="D101" i="17"/>
  <c r="C93" i="17"/>
  <c r="D93" i="17"/>
  <c r="C85" i="17"/>
  <c r="D85" i="17"/>
  <c r="E71" i="21"/>
  <c r="C63" i="21"/>
  <c r="C70" i="20"/>
  <c r="C62" i="20"/>
  <c r="C55" i="20"/>
  <c r="F73" i="28"/>
  <c r="F65" i="28"/>
  <c r="F57" i="28"/>
  <c r="F72" i="6"/>
  <c r="F64" i="6"/>
  <c r="F56" i="6"/>
  <c r="F71" i="23"/>
  <c r="C63" i="23"/>
  <c r="F55" i="23"/>
  <c r="C69" i="17"/>
  <c r="C61" i="17"/>
  <c r="C53" i="17"/>
  <c r="C186" i="17"/>
  <c r="C126" i="19"/>
  <c r="C125" i="28"/>
  <c r="E165" i="17"/>
  <c r="C167" i="18"/>
  <c r="G176" i="19"/>
  <c r="G185" i="21"/>
  <c r="F174" i="18"/>
  <c r="C130" i="28"/>
  <c r="F166" i="28"/>
  <c r="E158" i="28"/>
  <c r="C184" i="19"/>
  <c r="K133" i="28"/>
  <c r="C117" i="28"/>
  <c r="I133" i="28"/>
  <c r="K141" i="28"/>
  <c r="K125" i="28"/>
  <c r="C141" i="28"/>
  <c r="I117" i="28"/>
  <c r="G173" i="20"/>
  <c r="K145" i="19"/>
  <c r="G111" i="18"/>
  <c r="C187" i="23"/>
  <c r="F175" i="21"/>
  <c r="K121" i="19"/>
  <c r="F111" i="18"/>
  <c r="K143" i="18"/>
  <c r="G129" i="19"/>
  <c r="K135" i="18"/>
  <c r="G113" i="19"/>
  <c r="K119" i="18"/>
  <c r="G143" i="18"/>
  <c r="G135" i="18"/>
  <c r="G174" i="18"/>
  <c r="E182" i="18"/>
  <c r="F184" i="19"/>
  <c r="C183" i="20"/>
  <c r="E185" i="21"/>
  <c r="F158" i="28"/>
  <c r="C160" i="20"/>
  <c r="C168" i="20"/>
  <c r="C154" i="23"/>
  <c r="F167" i="19"/>
  <c r="G183" i="19"/>
  <c r="G168" i="19"/>
  <c r="G153" i="21"/>
  <c r="G167" i="20"/>
  <c r="E184" i="19"/>
  <c r="F168" i="19"/>
  <c r="E176" i="19"/>
  <c r="G158" i="28"/>
  <c r="G184" i="19"/>
  <c r="F168" i="20"/>
  <c r="F185" i="23"/>
  <c r="E189" i="18"/>
  <c r="C155" i="6"/>
  <c r="F153" i="21"/>
  <c r="E157" i="28"/>
  <c r="E168" i="19"/>
  <c r="F175" i="19"/>
  <c r="F172" i="17"/>
  <c r="F176" i="19"/>
  <c r="C156" i="17"/>
  <c r="G185" i="23"/>
  <c r="G174" i="28"/>
  <c r="C172" i="17"/>
  <c r="G172" i="17"/>
  <c r="E153" i="21"/>
  <c r="E172" i="17"/>
  <c r="C167" i="20"/>
  <c r="G182" i="28"/>
  <c r="G134" i="23"/>
  <c r="C182" i="28"/>
  <c r="C153" i="21"/>
  <c r="F177" i="23"/>
  <c r="E179" i="6"/>
  <c r="F183" i="19"/>
  <c r="G173" i="18"/>
  <c r="G175" i="20"/>
  <c r="F182" i="28"/>
  <c r="C112" i="6"/>
  <c r="C59" i="30" s="1"/>
  <c r="C182" i="18"/>
  <c r="C152" i="19"/>
  <c r="F182" i="18"/>
  <c r="F173" i="18"/>
  <c r="E168" i="20"/>
  <c r="E175" i="20"/>
  <c r="E183" i="19"/>
  <c r="G189" i="18"/>
  <c r="G175" i="19"/>
  <c r="G182" i="18"/>
  <c r="G168" i="20"/>
  <c r="C125" i="20"/>
  <c r="AE38" i="30" s="1"/>
  <c r="F146" i="19"/>
  <c r="C144" i="6"/>
  <c r="C167" i="28"/>
  <c r="K111" i="18"/>
  <c r="G119" i="18"/>
  <c r="F167" i="28"/>
  <c r="C134" i="23"/>
  <c r="C128" i="6"/>
  <c r="C75" i="30" s="1"/>
  <c r="K113" i="19"/>
  <c r="E159" i="28"/>
  <c r="G141" i="17"/>
  <c r="O140" i="21"/>
  <c r="D140" i="21"/>
  <c r="O132" i="21"/>
  <c r="D132" i="21"/>
  <c r="O124" i="21"/>
  <c r="D124" i="21"/>
  <c r="I116" i="21"/>
  <c r="D116" i="21"/>
  <c r="C138" i="20"/>
  <c r="D138" i="20"/>
  <c r="C130" i="20"/>
  <c r="D130" i="20"/>
  <c r="D114" i="20"/>
  <c r="C142" i="6"/>
  <c r="D142" i="6"/>
  <c r="O134" i="6"/>
  <c r="D134" i="6"/>
  <c r="D118" i="6"/>
  <c r="G140" i="23"/>
  <c r="D140" i="23"/>
  <c r="O124" i="23"/>
  <c r="D124" i="23"/>
  <c r="D116" i="23"/>
  <c r="C146" i="19"/>
  <c r="D146" i="19"/>
  <c r="G138" i="19"/>
  <c r="D138" i="19"/>
  <c r="G130" i="19"/>
  <c r="D130" i="19"/>
  <c r="F122" i="19"/>
  <c r="D122" i="19"/>
  <c r="K114" i="19"/>
  <c r="D114" i="19"/>
  <c r="F144" i="18"/>
  <c r="D144" i="18"/>
  <c r="O136" i="18"/>
  <c r="D136" i="18"/>
  <c r="O120" i="18"/>
  <c r="D120" i="18"/>
  <c r="D112" i="18"/>
  <c r="D142" i="17"/>
  <c r="K126" i="17"/>
  <c r="D126" i="17"/>
  <c r="D118" i="17"/>
  <c r="G187" i="21"/>
  <c r="D187" i="21"/>
  <c r="G179" i="21"/>
  <c r="D179" i="21"/>
  <c r="C171" i="21"/>
  <c r="D171" i="21"/>
  <c r="C163" i="21"/>
  <c r="D163" i="21"/>
  <c r="F155" i="21"/>
  <c r="D155" i="21"/>
  <c r="E177" i="20"/>
  <c r="D177" i="20"/>
  <c r="E161" i="20"/>
  <c r="I161" i="20" s="1"/>
  <c r="D161" i="20"/>
  <c r="C153" i="20"/>
  <c r="D153" i="20"/>
  <c r="C183" i="28"/>
  <c r="D183" i="28"/>
  <c r="W175" i="28"/>
  <c r="D175" i="28"/>
  <c r="S189" i="6"/>
  <c r="D189" i="6"/>
  <c r="C173" i="6"/>
  <c r="D173" i="6"/>
  <c r="C165" i="6"/>
  <c r="D165" i="6"/>
  <c r="F187" i="23"/>
  <c r="D187" i="23"/>
  <c r="E155" i="23"/>
  <c r="D155" i="23"/>
  <c r="G153" i="19"/>
  <c r="D153" i="19"/>
  <c r="U183" i="18"/>
  <c r="D183" i="18"/>
  <c r="F175" i="18"/>
  <c r="D175" i="18"/>
  <c r="R167" i="18"/>
  <c r="D167" i="18"/>
  <c r="C181" i="17"/>
  <c r="D181" i="17"/>
  <c r="F173" i="17"/>
  <c r="D173" i="17"/>
  <c r="C165" i="17"/>
  <c r="D165" i="17"/>
  <c r="D84" i="18"/>
  <c r="D84" i="23"/>
  <c r="D84" i="21"/>
  <c r="D84" i="6"/>
  <c r="D84" i="20"/>
  <c r="D84" i="19"/>
  <c r="D84" i="17"/>
  <c r="K147" i="21"/>
  <c r="D147" i="21"/>
  <c r="I139" i="21"/>
  <c r="D139" i="21"/>
  <c r="O131" i="21"/>
  <c r="D131" i="21"/>
  <c r="I123" i="21"/>
  <c r="D123" i="21"/>
  <c r="I115" i="21"/>
  <c r="D115" i="21"/>
  <c r="O145" i="20"/>
  <c r="D145" i="20"/>
  <c r="O129" i="20"/>
  <c r="D129" i="20"/>
  <c r="D121" i="20"/>
  <c r="D113" i="20"/>
  <c r="O143" i="28"/>
  <c r="D143" i="28"/>
  <c r="O135" i="28"/>
  <c r="D135" i="28"/>
  <c r="O127" i="28"/>
  <c r="D127" i="28"/>
  <c r="O119" i="28"/>
  <c r="D119" i="28"/>
  <c r="F111" i="28"/>
  <c r="D111" i="28"/>
  <c r="O141" i="6"/>
  <c r="D141" i="6"/>
  <c r="O125" i="6"/>
  <c r="D125" i="6"/>
  <c r="D117" i="6"/>
  <c r="O147" i="23"/>
  <c r="D147" i="23"/>
  <c r="O139" i="23"/>
  <c r="D139" i="23"/>
  <c r="O131" i="23"/>
  <c r="D131" i="23"/>
  <c r="D123" i="23"/>
  <c r="D115" i="23"/>
  <c r="O145" i="19"/>
  <c r="D145" i="19"/>
  <c r="O137" i="19"/>
  <c r="D137" i="19"/>
  <c r="O129" i="19"/>
  <c r="D129" i="19"/>
  <c r="O121" i="19"/>
  <c r="D121" i="19"/>
  <c r="O127" i="18"/>
  <c r="D127" i="18"/>
  <c r="G133" i="17"/>
  <c r="D133" i="17"/>
  <c r="U162" i="21"/>
  <c r="D162" i="21"/>
  <c r="E154" i="21"/>
  <c r="D154" i="21"/>
  <c r="C176" i="20"/>
  <c r="D176" i="20"/>
  <c r="W182" i="28"/>
  <c r="D182" i="28"/>
  <c r="W166" i="28"/>
  <c r="D166" i="28"/>
  <c r="W158" i="28"/>
  <c r="D158" i="28"/>
  <c r="W172" i="6"/>
  <c r="D172" i="6"/>
  <c r="F164" i="6"/>
  <c r="D164" i="6"/>
  <c r="C156" i="6"/>
  <c r="D156" i="6"/>
  <c r="U186" i="23"/>
  <c r="D186" i="23"/>
  <c r="C178" i="23"/>
  <c r="D178" i="23"/>
  <c r="C170" i="23"/>
  <c r="D170" i="23"/>
  <c r="C162" i="23"/>
  <c r="D162" i="23"/>
  <c r="V176" i="19"/>
  <c r="D176" i="19"/>
  <c r="D83" i="23"/>
  <c r="D83" i="6"/>
  <c r="K146" i="21"/>
  <c r="D146" i="21"/>
  <c r="O138" i="21"/>
  <c r="D138" i="21"/>
  <c r="O130" i="21"/>
  <c r="D130" i="21"/>
  <c r="O122" i="21"/>
  <c r="D122" i="21"/>
  <c r="O114" i="21"/>
  <c r="D114" i="21"/>
  <c r="O144" i="20"/>
  <c r="D144" i="20"/>
  <c r="O136" i="20"/>
  <c r="D136" i="20"/>
  <c r="O128" i="20"/>
  <c r="D128" i="20"/>
  <c r="D120" i="20"/>
  <c r="M142" i="28"/>
  <c r="D142" i="28"/>
  <c r="C126" i="28"/>
  <c r="D126" i="28"/>
  <c r="O118" i="28"/>
  <c r="D118" i="28"/>
  <c r="O140" i="6"/>
  <c r="D140" i="6"/>
  <c r="O124" i="6"/>
  <c r="D124" i="6"/>
  <c r="K116" i="6"/>
  <c r="D116" i="6"/>
  <c r="C146" i="23"/>
  <c r="D146" i="23"/>
  <c r="C130" i="23"/>
  <c r="M77" i="30" s="1"/>
  <c r="D130" i="23"/>
  <c r="C114" i="23"/>
  <c r="M61" i="30" s="1"/>
  <c r="D114" i="23"/>
  <c r="C144" i="19"/>
  <c r="D144" i="19"/>
  <c r="K128" i="19"/>
  <c r="D128" i="19"/>
  <c r="D112" i="19"/>
  <c r="O142" i="18"/>
  <c r="D142" i="18"/>
  <c r="O134" i="18"/>
  <c r="D134" i="18"/>
  <c r="O126" i="18"/>
  <c r="D126" i="18"/>
  <c r="O118" i="18"/>
  <c r="D118" i="18"/>
  <c r="G124" i="17"/>
  <c r="D124" i="17"/>
  <c r="C185" i="21"/>
  <c r="D185" i="21"/>
  <c r="V177" i="21"/>
  <c r="D177" i="21"/>
  <c r="G169" i="21"/>
  <c r="D169" i="21"/>
  <c r="G159" i="20"/>
  <c r="D159" i="20"/>
  <c r="W187" i="6"/>
  <c r="D187" i="6"/>
  <c r="F163" i="6"/>
  <c r="D163" i="6"/>
  <c r="W185" i="23"/>
  <c r="D185" i="23"/>
  <c r="T167" i="19"/>
  <c r="D167" i="19"/>
  <c r="E159" i="19"/>
  <c r="N159" i="19" s="1"/>
  <c r="D159" i="19"/>
  <c r="V179" i="17"/>
  <c r="D179" i="17"/>
  <c r="E155" i="17"/>
  <c r="D155" i="17"/>
  <c r="D83" i="20"/>
  <c r="D83" i="21"/>
  <c r="D83" i="17"/>
  <c r="D83" i="18"/>
  <c r="D83" i="19"/>
  <c r="O121" i="21"/>
  <c r="D121" i="21"/>
  <c r="O143" i="20"/>
  <c r="D143" i="20"/>
  <c r="O135" i="20"/>
  <c r="D135" i="20"/>
  <c r="C127" i="20"/>
  <c r="D127" i="20"/>
  <c r="F141" i="28"/>
  <c r="D141" i="28"/>
  <c r="F133" i="28"/>
  <c r="D133" i="28"/>
  <c r="F125" i="28"/>
  <c r="D125" i="28"/>
  <c r="F117" i="28"/>
  <c r="D117" i="28"/>
  <c r="O147" i="6"/>
  <c r="D147" i="6"/>
  <c r="O139" i="6"/>
  <c r="D139" i="6"/>
  <c r="O131" i="6"/>
  <c r="D131" i="6"/>
  <c r="O123" i="6"/>
  <c r="D123" i="6"/>
  <c r="O137" i="23"/>
  <c r="D137" i="23"/>
  <c r="K121" i="23"/>
  <c r="D121" i="23"/>
  <c r="C113" i="23"/>
  <c r="M60" i="30" s="1"/>
  <c r="D113" i="23"/>
  <c r="O143" i="19"/>
  <c r="D143" i="19"/>
  <c r="O135" i="19"/>
  <c r="D135" i="19"/>
  <c r="O127" i="19"/>
  <c r="D127" i="19"/>
  <c r="O119" i="19"/>
  <c r="D119" i="19"/>
  <c r="C111" i="19"/>
  <c r="D111" i="19"/>
  <c r="C141" i="18"/>
  <c r="D141" i="18"/>
  <c r="C133" i="18"/>
  <c r="D133" i="18"/>
  <c r="C125" i="18"/>
  <c r="D125" i="18"/>
  <c r="C117" i="18"/>
  <c r="D117" i="18"/>
  <c r="D147" i="17"/>
  <c r="G139" i="17"/>
  <c r="D139" i="17"/>
  <c r="D123" i="17"/>
  <c r="G115" i="17"/>
  <c r="D115" i="17"/>
  <c r="W184" i="21"/>
  <c r="D184" i="21"/>
  <c r="W176" i="21"/>
  <c r="D176" i="21"/>
  <c r="G182" i="20"/>
  <c r="D182" i="20"/>
  <c r="C188" i="28"/>
  <c r="D188" i="28"/>
  <c r="E164" i="28"/>
  <c r="D164" i="28"/>
  <c r="E186" i="6"/>
  <c r="D186" i="6"/>
  <c r="V178" i="6"/>
  <c r="D178" i="6"/>
  <c r="E154" i="6"/>
  <c r="I154" i="6" s="1"/>
  <c r="D154" i="6"/>
  <c r="W184" i="23"/>
  <c r="D184" i="23"/>
  <c r="E168" i="23"/>
  <c r="N168" i="23" s="1"/>
  <c r="D168" i="23"/>
  <c r="C160" i="23"/>
  <c r="D160" i="23"/>
  <c r="F182" i="19"/>
  <c r="D182" i="19"/>
  <c r="F174" i="19"/>
  <c r="D174" i="19"/>
  <c r="C158" i="19"/>
  <c r="D158" i="19"/>
  <c r="E188" i="18"/>
  <c r="D188" i="18"/>
  <c r="E180" i="18"/>
  <c r="D180" i="18"/>
  <c r="G172" i="18"/>
  <c r="D172" i="18"/>
  <c r="F164" i="18"/>
  <c r="D164" i="18"/>
  <c r="E156" i="18"/>
  <c r="D156" i="18"/>
  <c r="E186" i="17"/>
  <c r="D186" i="17"/>
  <c r="C162" i="17"/>
  <c r="D162" i="17"/>
  <c r="E154" i="17"/>
  <c r="I154" i="17" s="1"/>
  <c r="D154" i="17"/>
  <c r="O144" i="21"/>
  <c r="D144" i="21"/>
  <c r="O136" i="21"/>
  <c r="D136" i="21"/>
  <c r="O128" i="21"/>
  <c r="D128" i="21"/>
  <c r="O120" i="21"/>
  <c r="D120" i="21"/>
  <c r="O112" i="21"/>
  <c r="D112" i="21"/>
  <c r="C118" i="20"/>
  <c r="AE31" i="30" s="1"/>
  <c r="D118" i="20"/>
  <c r="O140" i="28"/>
  <c r="D140" i="28"/>
  <c r="F132" i="28"/>
  <c r="D132" i="28"/>
  <c r="O124" i="28"/>
  <c r="D124" i="28"/>
  <c r="O116" i="28"/>
  <c r="D116" i="28"/>
  <c r="O146" i="6"/>
  <c r="D146" i="6"/>
  <c r="C122" i="6"/>
  <c r="C69" i="30" s="1"/>
  <c r="D122" i="6"/>
  <c r="C144" i="23"/>
  <c r="D144" i="23"/>
  <c r="G128" i="23"/>
  <c r="D128" i="23"/>
  <c r="O120" i="23"/>
  <c r="D120" i="23"/>
  <c r="O112" i="23"/>
  <c r="D112" i="23"/>
  <c r="O142" i="19"/>
  <c r="D142" i="19"/>
  <c r="O134" i="19"/>
  <c r="D134" i="19"/>
  <c r="O118" i="19"/>
  <c r="D118" i="19"/>
  <c r="O140" i="18"/>
  <c r="D140" i="18"/>
  <c r="O132" i="18"/>
  <c r="D132" i="18"/>
  <c r="O124" i="18"/>
  <c r="D124" i="18"/>
  <c r="D116" i="18"/>
  <c r="K122" i="17"/>
  <c r="D122" i="17"/>
  <c r="W167" i="21"/>
  <c r="D167" i="21"/>
  <c r="G159" i="21"/>
  <c r="D159" i="21"/>
  <c r="C165" i="20"/>
  <c r="D165" i="20"/>
  <c r="E157" i="20"/>
  <c r="U157" i="20" s="1"/>
  <c r="D157" i="20"/>
  <c r="C187" i="28"/>
  <c r="D187" i="28"/>
  <c r="C153" i="6"/>
  <c r="D153" i="6"/>
  <c r="V189" i="19"/>
  <c r="D189" i="19"/>
  <c r="V173" i="19"/>
  <c r="D173" i="19"/>
  <c r="O143" i="21"/>
  <c r="D143" i="21"/>
  <c r="O135" i="21"/>
  <c r="D135" i="21"/>
  <c r="I127" i="21"/>
  <c r="D127" i="21"/>
  <c r="O111" i="21"/>
  <c r="D111" i="21"/>
  <c r="D117" i="20"/>
  <c r="K139" i="28"/>
  <c r="D139" i="28"/>
  <c r="K131" i="28"/>
  <c r="D131" i="28"/>
  <c r="O137" i="6"/>
  <c r="D137" i="6"/>
  <c r="O129" i="6"/>
  <c r="D129" i="6"/>
  <c r="O121" i="6"/>
  <c r="D121" i="6"/>
  <c r="D113" i="6"/>
  <c r="K143" i="23"/>
  <c r="D143" i="23"/>
  <c r="C135" i="23"/>
  <c r="D135" i="23"/>
  <c r="D119" i="23"/>
  <c r="G111" i="23"/>
  <c r="D111" i="23"/>
  <c r="O141" i="19"/>
  <c r="D141" i="19"/>
  <c r="O133" i="19"/>
  <c r="D133" i="19"/>
  <c r="O125" i="19"/>
  <c r="D125" i="19"/>
  <c r="D117" i="19"/>
  <c r="G147" i="18"/>
  <c r="D147" i="18"/>
  <c r="K139" i="18"/>
  <c r="D139" i="18"/>
  <c r="K131" i="18"/>
  <c r="D131" i="18"/>
  <c r="K123" i="18"/>
  <c r="D123" i="18"/>
  <c r="G115" i="18"/>
  <c r="D115" i="18"/>
  <c r="D129" i="17"/>
  <c r="G121" i="17"/>
  <c r="D121" i="17"/>
  <c r="G113" i="17"/>
  <c r="D113" i="17"/>
  <c r="G158" i="21"/>
  <c r="D158" i="21"/>
  <c r="W188" i="20"/>
  <c r="D188" i="20"/>
  <c r="C172" i="20"/>
  <c r="D172" i="20"/>
  <c r="F186" i="28"/>
  <c r="D186" i="28"/>
  <c r="G178" i="28"/>
  <c r="D178" i="28"/>
  <c r="C162" i="28"/>
  <c r="D162" i="28"/>
  <c r="U154" i="28"/>
  <c r="D154" i="28"/>
  <c r="C184" i="6"/>
  <c r="D184" i="6"/>
  <c r="C176" i="6"/>
  <c r="D176" i="6"/>
  <c r="U182" i="23"/>
  <c r="D182" i="23"/>
  <c r="E188" i="19"/>
  <c r="D188" i="19"/>
  <c r="E180" i="19"/>
  <c r="D180" i="19"/>
  <c r="C172" i="19"/>
  <c r="D172" i="19"/>
  <c r="C156" i="19"/>
  <c r="D156" i="19"/>
  <c r="C186" i="18"/>
  <c r="D186" i="18"/>
  <c r="G184" i="17"/>
  <c r="D184" i="17"/>
  <c r="C176" i="17"/>
  <c r="D176" i="17"/>
  <c r="W168" i="17"/>
  <c r="D168" i="17"/>
  <c r="G160" i="17"/>
  <c r="D160" i="17"/>
  <c r="O142" i="21"/>
  <c r="D142" i="21"/>
  <c r="O134" i="21"/>
  <c r="D134" i="21"/>
  <c r="O126" i="21"/>
  <c r="D126" i="21"/>
  <c r="O140" i="20"/>
  <c r="D140" i="20"/>
  <c r="C124" i="20"/>
  <c r="AE37" i="30" s="1"/>
  <c r="D124" i="20"/>
  <c r="C116" i="20"/>
  <c r="AE29" i="30" s="1"/>
  <c r="D116" i="20"/>
  <c r="O146" i="28"/>
  <c r="D146" i="28"/>
  <c r="F138" i="28"/>
  <c r="D138" i="28"/>
  <c r="C122" i="28"/>
  <c r="D122" i="28"/>
  <c r="O114" i="28"/>
  <c r="D114" i="28"/>
  <c r="O136" i="6"/>
  <c r="D136" i="6"/>
  <c r="O120" i="6"/>
  <c r="D120" i="6"/>
  <c r="G112" i="6"/>
  <c r="D112" i="6"/>
  <c r="F118" i="23"/>
  <c r="D118" i="23"/>
  <c r="F132" i="19"/>
  <c r="D132" i="19"/>
  <c r="D116" i="19"/>
  <c r="C138" i="18"/>
  <c r="D138" i="18"/>
  <c r="C122" i="18"/>
  <c r="D122" i="18"/>
  <c r="D114" i="18"/>
  <c r="D144" i="17"/>
  <c r="D136" i="17"/>
  <c r="K128" i="17"/>
  <c r="D128" i="17"/>
  <c r="G120" i="17"/>
  <c r="D120" i="17"/>
  <c r="G112" i="17"/>
  <c r="D112" i="17"/>
  <c r="F165" i="21"/>
  <c r="D165" i="21"/>
  <c r="G157" i="21"/>
  <c r="D157" i="21"/>
  <c r="G179" i="20"/>
  <c r="D179" i="20"/>
  <c r="F177" i="28"/>
  <c r="D177" i="28"/>
  <c r="T169" i="28"/>
  <c r="D169" i="28"/>
  <c r="G161" i="28"/>
  <c r="D161" i="28"/>
  <c r="U153" i="28"/>
  <c r="D153" i="28"/>
  <c r="U167" i="6"/>
  <c r="D167" i="6"/>
  <c r="C159" i="6"/>
  <c r="D159" i="6"/>
  <c r="C189" i="23"/>
  <c r="D189" i="23"/>
  <c r="S181" i="23"/>
  <c r="D181" i="23"/>
  <c r="C165" i="23"/>
  <c r="D165" i="23"/>
  <c r="C157" i="23"/>
  <c r="D157" i="23"/>
  <c r="C187" i="19"/>
  <c r="D187" i="19"/>
  <c r="C179" i="19"/>
  <c r="D179" i="19"/>
  <c r="C163" i="19"/>
  <c r="D163" i="19"/>
  <c r="C155" i="19"/>
  <c r="D155" i="19"/>
  <c r="V185" i="18"/>
  <c r="D185" i="18"/>
  <c r="F177" i="18"/>
  <c r="D177" i="18"/>
  <c r="F169" i="18"/>
  <c r="D169" i="18"/>
  <c r="T161" i="18"/>
  <c r="D161" i="18"/>
  <c r="C153" i="18"/>
  <c r="D153" i="18"/>
  <c r="G183" i="17"/>
  <c r="D183" i="17"/>
  <c r="F175" i="17"/>
  <c r="D175" i="17"/>
  <c r="F167" i="17"/>
  <c r="D167" i="17"/>
  <c r="E159" i="17"/>
  <c r="D159" i="17"/>
  <c r="C118" i="21"/>
  <c r="D118" i="21"/>
  <c r="O141" i="21"/>
  <c r="D141" i="21"/>
  <c r="O133" i="21"/>
  <c r="D133" i="21"/>
  <c r="O125" i="21"/>
  <c r="D125" i="21"/>
  <c r="O117" i="21"/>
  <c r="D117" i="21"/>
  <c r="O147" i="20"/>
  <c r="D147" i="20"/>
  <c r="O139" i="20"/>
  <c r="D139" i="20"/>
  <c r="C123" i="20"/>
  <c r="AE36" i="30" s="1"/>
  <c r="D123" i="20"/>
  <c r="D115" i="20"/>
  <c r="I145" i="28"/>
  <c r="D145" i="28"/>
  <c r="F137" i="28"/>
  <c r="D137" i="28"/>
  <c r="K129" i="28"/>
  <c r="D129" i="28"/>
  <c r="C121" i="28"/>
  <c r="D121" i="28"/>
  <c r="I113" i="28"/>
  <c r="D113" i="28"/>
  <c r="O143" i="6"/>
  <c r="D143" i="6"/>
  <c r="O135" i="6"/>
  <c r="D135" i="6"/>
  <c r="O127" i="6"/>
  <c r="D127" i="6"/>
  <c r="O111" i="6"/>
  <c r="D111" i="6"/>
  <c r="M141" i="23"/>
  <c r="D141" i="23"/>
  <c r="F133" i="23"/>
  <c r="D133" i="23"/>
  <c r="O125" i="23"/>
  <c r="D125" i="23"/>
  <c r="C117" i="23"/>
  <c r="M64" i="30" s="1"/>
  <c r="D117" i="23"/>
  <c r="O147" i="19"/>
  <c r="D147" i="19"/>
  <c r="O139" i="19"/>
  <c r="D139" i="19"/>
  <c r="O123" i="19"/>
  <c r="D123" i="19"/>
  <c r="C115" i="19"/>
  <c r="D115" i="19"/>
  <c r="C145" i="18"/>
  <c r="D145" i="18"/>
  <c r="C137" i="18"/>
  <c r="D137" i="18"/>
  <c r="C129" i="18"/>
  <c r="D129" i="18"/>
  <c r="C121" i="18"/>
  <c r="D121" i="18"/>
  <c r="C113" i="18"/>
  <c r="D113" i="18"/>
  <c r="D143" i="17"/>
  <c r="D119" i="17"/>
  <c r="C188" i="21"/>
  <c r="D188" i="21"/>
  <c r="E180" i="21"/>
  <c r="D180" i="21"/>
  <c r="C172" i="21"/>
  <c r="D172" i="21"/>
  <c r="W156" i="21"/>
  <c r="D156" i="21"/>
  <c r="E186" i="20"/>
  <c r="D186" i="20"/>
  <c r="C162" i="20"/>
  <c r="D162" i="20"/>
  <c r="C154" i="20"/>
  <c r="D154" i="20"/>
  <c r="L184" i="28"/>
  <c r="D184" i="28"/>
  <c r="E168" i="28"/>
  <c r="D168" i="28"/>
  <c r="G160" i="28"/>
  <c r="D160" i="28"/>
  <c r="G182" i="6"/>
  <c r="D182" i="6"/>
  <c r="V166" i="6"/>
  <c r="D166" i="6"/>
  <c r="C158" i="6"/>
  <c r="D158" i="6"/>
  <c r="V180" i="23"/>
  <c r="D180" i="23"/>
  <c r="C172" i="23"/>
  <c r="D172" i="23"/>
  <c r="C164" i="23"/>
  <c r="D164" i="23"/>
  <c r="C156" i="23"/>
  <c r="D156" i="23"/>
  <c r="C186" i="19"/>
  <c r="D186" i="19"/>
  <c r="C178" i="19"/>
  <c r="D178" i="19"/>
  <c r="E170" i="19"/>
  <c r="D170" i="19"/>
  <c r="C162" i="19"/>
  <c r="D162" i="19"/>
  <c r="C154" i="19"/>
  <c r="D154" i="19"/>
  <c r="V184" i="18"/>
  <c r="D184" i="18"/>
  <c r="E160" i="18"/>
  <c r="D160" i="18"/>
  <c r="F182" i="17"/>
  <c r="D182" i="17"/>
  <c r="C174" i="17"/>
  <c r="D174" i="17"/>
  <c r="U166" i="17"/>
  <c r="D166" i="17"/>
  <c r="E158" i="17"/>
  <c r="D158" i="17"/>
  <c r="C96" i="9"/>
  <c r="C71" i="19"/>
  <c r="C54" i="19"/>
  <c r="C65" i="28"/>
  <c r="C71" i="21"/>
  <c r="C55" i="23"/>
  <c r="C57" i="28"/>
  <c r="C73" i="28"/>
  <c r="C63" i="19"/>
  <c r="C55" i="19"/>
  <c r="C124" i="28"/>
  <c r="C60" i="21"/>
  <c r="E97" i="17"/>
  <c r="C97" i="17"/>
  <c r="C69" i="23"/>
  <c r="C54" i="6"/>
  <c r="C61" i="19"/>
  <c r="C53" i="20"/>
  <c r="AE18" i="30" s="1"/>
  <c r="C60" i="17"/>
  <c r="C69" i="19"/>
  <c r="C69" i="28"/>
  <c r="F62" i="23"/>
  <c r="C62" i="23"/>
  <c r="E95" i="6"/>
  <c r="C95" i="6"/>
  <c r="F88" i="6"/>
  <c r="C88" i="6"/>
  <c r="F66" i="23"/>
  <c r="C66" i="23"/>
  <c r="C88" i="17"/>
  <c r="F64" i="23"/>
  <c r="C64" i="23"/>
  <c r="F64" i="18"/>
  <c r="C64" i="18"/>
  <c r="E87" i="19"/>
  <c r="C87" i="19"/>
  <c r="C62" i="18"/>
  <c r="C99" i="18"/>
  <c r="C86" i="6"/>
  <c r="C90" i="17"/>
  <c r="C72" i="6"/>
  <c r="C69" i="18"/>
  <c r="C68" i="17"/>
  <c r="C53" i="18"/>
  <c r="C55" i="28"/>
  <c r="C68" i="18"/>
  <c r="C64" i="6"/>
  <c r="C86" i="19"/>
  <c r="C56" i="6"/>
  <c r="C65" i="23"/>
  <c r="C66" i="21"/>
  <c r="C59" i="19"/>
  <c r="C73" i="21"/>
  <c r="C71" i="28"/>
  <c r="C59" i="21"/>
  <c r="C70" i="28"/>
  <c r="C74" i="20"/>
  <c r="C61" i="18"/>
  <c r="C73" i="23"/>
  <c r="E92" i="18"/>
  <c r="C92" i="18"/>
  <c r="F57" i="6"/>
  <c r="C57" i="6"/>
  <c r="F60" i="23"/>
  <c r="C60" i="23"/>
  <c r="E54" i="18"/>
  <c r="C54" i="18"/>
  <c r="F99" i="23"/>
  <c r="C99" i="23"/>
  <c r="C83" i="18"/>
  <c r="E85" i="6"/>
  <c r="C85" i="6"/>
  <c r="E98" i="18"/>
  <c r="C98" i="18"/>
  <c r="E89" i="17"/>
  <c r="C89" i="17"/>
  <c r="C102" i="19"/>
  <c r="C85" i="18"/>
  <c r="F60" i="17"/>
  <c r="F95" i="6"/>
  <c r="F97" i="17"/>
  <c r="F73" i="18"/>
  <c r="F73" i="21"/>
  <c r="F59" i="18"/>
  <c r="F53" i="18"/>
  <c r="F69" i="18"/>
  <c r="F57" i="18"/>
  <c r="F71" i="21"/>
  <c r="E90" i="18"/>
  <c r="C90" i="18"/>
  <c r="F66" i="28"/>
  <c r="C66" i="28"/>
  <c r="F71" i="6"/>
  <c r="C71" i="6"/>
  <c r="E56" i="19"/>
  <c r="C56" i="19"/>
  <c r="E100" i="23"/>
  <c r="F100" i="23"/>
  <c r="C100" i="23"/>
  <c r="C93" i="23"/>
  <c r="F93" i="23"/>
  <c r="E101" i="19"/>
  <c r="C101" i="19"/>
  <c r="C91" i="18"/>
  <c r="C84" i="18"/>
  <c r="C98" i="17"/>
  <c r="C68" i="20"/>
  <c r="F56" i="23"/>
  <c r="C56" i="23"/>
  <c r="F91" i="23"/>
  <c r="C91" i="23"/>
  <c r="C101" i="18"/>
  <c r="C74" i="21"/>
  <c r="F74" i="21"/>
  <c r="F54" i="23"/>
  <c r="C54" i="23"/>
  <c r="E101" i="6"/>
  <c r="C101" i="6"/>
  <c r="E98" i="23"/>
  <c r="C98" i="23"/>
  <c r="E90" i="23"/>
  <c r="C90" i="23"/>
  <c r="E100" i="18"/>
  <c r="C100" i="18"/>
  <c r="E103" i="17"/>
  <c r="C103" i="17"/>
  <c r="C62" i="21"/>
  <c r="F52" i="28"/>
  <c r="C52" i="28"/>
  <c r="E53" i="23"/>
  <c r="C53" i="23"/>
  <c r="F53" i="23"/>
  <c r="E59" i="17"/>
  <c r="F59" i="17"/>
  <c r="C59" i="17"/>
  <c r="C67" i="20"/>
  <c r="F83" i="23"/>
  <c r="Q53" i="30" s="1"/>
  <c r="C83" i="23"/>
  <c r="M53" i="30" s="1"/>
  <c r="C93" i="18"/>
  <c r="C86" i="17"/>
  <c r="C61" i="21"/>
  <c r="C54" i="21"/>
  <c r="E85" i="28"/>
  <c r="C85" i="28"/>
  <c r="F85" i="28"/>
  <c r="E103" i="19"/>
  <c r="C103" i="19"/>
  <c r="F103" i="19"/>
  <c r="C96" i="19"/>
  <c r="E70" i="18"/>
  <c r="C70" i="18"/>
  <c r="F102" i="6"/>
  <c r="C102" i="6"/>
  <c r="E93" i="6"/>
  <c r="C93" i="6"/>
  <c r="E95" i="19"/>
  <c r="C95" i="19"/>
  <c r="E95" i="17"/>
  <c r="C95" i="17"/>
  <c r="F68" i="28"/>
  <c r="C68" i="28"/>
  <c r="F73" i="6"/>
  <c r="C73" i="6"/>
  <c r="F58" i="23"/>
  <c r="C58" i="23"/>
  <c r="C94" i="19"/>
  <c r="F52" i="21"/>
  <c r="C52" i="21"/>
  <c r="F53" i="6"/>
  <c r="C53" i="6"/>
  <c r="C85" i="19"/>
  <c r="C94" i="6"/>
  <c r="C83" i="28"/>
  <c r="C73" i="17"/>
  <c r="F92" i="18"/>
  <c r="F83" i="17"/>
  <c r="F59" i="6"/>
  <c r="F63" i="23"/>
  <c r="F55" i="18"/>
  <c r="C63" i="28"/>
  <c r="C93" i="19"/>
  <c r="F87" i="19"/>
  <c r="F66" i="17"/>
  <c r="C84" i="23"/>
  <c r="M54" i="30" s="1"/>
  <c r="C87" i="17"/>
  <c r="C55" i="6"/>
  <c r="F64" i="17"/>
  <c r="C96" i="17"/>
  <c r="C67" i="17"/>
  <c r="F83" i="28"/>
  <c r="F84" i="23"/>
  <c r="Q54" i="30" s="1"/>
  <c r="F52" i="19"/>
  <c r="C116" i="28"/>
  <c r="I132" i="28"/>
  <c r="F144" i="23"/>
  <c r="K132" i="28"/>
  <c r="I116" i="28"/>
  <c r="C146" i="6"/>
  <c r="C132" i="28"/>
  <c r="I124" i="28"/>
  <c r="K124" i="28"/>
  <c r="C116" i="21"/>
  <c r="F175" i="28"/>
  <c r="E187" i="21"/>
  <c r="E166" i="17"/>
  <c r="E184" i="18"/>
  <c r="E186" i="19"/>
  <c r="E167" i="18"/>
  <c r="G165" i="17"/>
  <c r="K138" i="19"/>
  <c r="K134" i="17"/>
  <c r="G114" i="19"/>
  <c r="C110" i="17"/>
  <c r="C130" i="19"/>
  <c r="C146" i="21"/>
  <c r="C136" i="18"/>
  <c r="E175" i="28"/>
  <c r="C173" i="17"/>
  <c r="E173" i="17"/>
  <c r="F186" i="19"/>
  <c r="C187" i="21"/>
  <c r="E165" i="6"/>
  <c r="F181" i="17"/>
  <c r="G173" i="17"/>
  <c r="K136" i="18"/>
  <c r="F138" i="19"/>
  <c r="F184" i="18"/>
  <c r="C155" i="23"/>
  <c r="C161" i="20"/>
  <c r="F165" i="6"/>
  <c r="E181" i="17"/>
  <c r="G167" i="28"/>
  <c r="G165" i="6"/>
  <c r="G176" i="18"/>
  <c r="G181" i="17"/>
  <c r="K124" i="23"/>
  <c r="K130" i="19"/>
  <c r="F130" i="19"/>
  <c r="C184" i="18"/>
  <c r="C114" i="19"/>
  <c r="C175" i="28"/>
  <c r="E176" i="18"/>
  <c r="G175" i="28"/>
  <c r="G170" i="19"/>
  <c r="G184" i="18"/>
  <c r="F166" i="17"/>
  <c r="E178" i="19"/>
  <c r="I142" i="28"/>
  <c r="C176" i="18"/>
  <c r="E183" i="28"/>
  <c r="F159" i="28"/>
  <c r="C158" i="17"/>
  <c r="G189" i="6"/>
  <c r="G187" i="23"/>
  <c r="G178" i="19"/>
  <c r="K116" i="23"/>
  <c r="G122" i="19"/>
  <c r="E171" i="21"/>
  <c r="F170" i="19"/>
  <c r="F189" i="6"/>
  <c r="G167" i="18"/>
  <c r="F116" i="23"/>
  <c r="F136" i="18"/>
  <c r="C29" i="20"/>
  <c r="F29" i="20"/>
  <c r="C24" i="17"/>
  <c r="D24" i="17"/>
  <c r="F25" i="20"/>
  <c r="G25" i="20"/>
  <c r="D22" i="21"/>
  <c r="D21" i="6"/>
  <c r="E41" i="30" s="1"/>
  <c r="E99" i="20"/>
  <c r="F99" i="20"/>
  <c r="E91" i="20"/>
  <c r="F91" i="20"/>
  <c r="F83" i="20"/>
  <c r="AH19" i="30" s="1"/>
  <c r="C83" i="20"/>
  <c r="AE19" i="30" s="1"/>
  <c r="E96" i="28"/>
  <c r="F96" i="28"/>
  <c r="C96" i="28"/>
  <c r="E88" i="28"/>
  <c r="F88" i="28"/>
  <c r="C88" i="28"/>
  <c r="E90" i="6"/>
  <c r="F90" i="6"/>
  <c r="E96" i="23"/>
  <c r="F96" i="23"/>
  <c r="E99" i="19"/>
  <c r="F99" i="19"/>
  <c r="E89" i="19"/>
  <c r="C89" i="19"/>
  <c r="F89" i="19"/>
  <c r="E101" i="17"/>
  <c r="F101" i="17"/>
  <c r="E92" i="17"/>
  <c r="F92" i="17"/>
  <c r="C92" i="17"/>
  <c r="E68" i="21"/>
  <c r="C68" i="21"/>
  <c r="F68" i="21"/>
  <c r="E98" i="20"/>
  <c r="F98" i="20"/>
  <c r="E90" i="20"/>
  <c r="F90" i="20"/>
  <c r="E103" i="28"/>
  <c r="C103" i="28"/>
  <c r="F103" i="28"/>
  <c r="E95" i="28"/>
  <c r="F95" i="28"/>
  <c r="E87" i="28"/>
  <c r="F87" i="28"/>
  <c r="E100" i="6"/>
  <c r="F100" i="6"/>
  <c r="E89" i="6"/>
  <c r="F89" i="6"/>
  <c r="E95" i="23"/>
  <c r="F95" i="23"/>
  <c r="E98" i="19"/>
  <c r="F98" i="19"/>
  <c r="E89" i="18"/>
  <c r="F89" i="18"/>
  <c r="E100" i="17"/>
  <c r="F100" i="17"/>
  <c r="C100" i="17"/>
  <c r="E91" i="17"/>
  <c r="C91" i="17"/>
  <c r="F91" i="17"/>
  <c r="E97" i="20"/>
  <c r="F97" i="20"/>
  <c r="E89" i="20"/>
  <c r="F89" i="20"/>
  <c r="C89" i="20"/>
  <c r="E102" i="28"/>
  <c r="F102" i="28"/>
  <c r="C102" i="28"/>
  <c r="E94" i="28"/>
  <c r="F94" i="28"/>
  <c r="E86" i="28"/>
  <c r="F86" i="28"/>
  <c r="E99" i="6"/>
  <c r="F99" i="6"/>
  <c r="C84" i="6"/>
  <c r="C54" i="30" s="1"/>
  <c r="F84" i="6"/>
  <c r="G54" i="30" s="1"/>
  <c r="E94" i="23"/>
  <c r="F94" i="23"/>
  <c r="E97" i="19"/>
  <c r="F97" i="19"/>
  <c r="E97" i="18"/>
  <c r="F97" i="18"/>
  <c r="C97" i="18"/>
  <c r="E88" i="18"/>
  <c r="F88" i="18"/>
  <c r="C88" i="18"/>
  <c r="E99" i="17"/>
  <c r="F99" i="17"/>
  <c r="E72" i="21"/>
  <c r="C72" i="21"/>
  <c r="F72" i="21"/>
  <c r="C23" i="20"/>
  <c r="E23" i="20"/>
  <c r="F83" i="21"/>
  <c r="E96" i="20"/>
  <c r="C96" i="20"/>
  <c r="F96" i="20"/>
  <c r="E88" i="20"/>
  <c r="F88" i="20"/>
  <c r="E101" i="28"/>
  <c r="F101" i="28"/>
  <c r="E93" i="28"/>
  <c r="F93" i="28"/>
  <c r="E98" i="6"/>
  <c r="F98" i="6"/>
  <c r="C83" i="6"/>
  <c r="C53" i="30" s="1"/>
  <c r="F83" i="6"/>
  <c r="G53" i="30" s="1"/>
  <c r="E89" i="23"/>
  <c r="C89" i="23"/>
  <c r="F89" i="23"/>
  <c r="E96" i="18"/>
  <c r="F96" i="18"/>
  <c r="E87" i="18"/>
  <c r="F87" i="18"/>
  <c r="E57" i="21"/>
  <c r="F57" i="21"/>
  <c r="C57" i="21"/>
  <c r="C22" i="20"/>
  <c r="E22" i="20"/>
  <c r="E103" i="20"/>
  <c r="F103" i="20"/>
  <c r="C103" i="20"/>
  <c r="E95" i="20"/>
  <c r="F95" i="20"/>
  <c r="E87" i="20"/>
  <c r="F87" i="20"/>
  <c r="E100" i="28"/>
  <c r="F100" i="28"/>
  <c r="C100" i="28"/>
  <c r="E92" i="28"/>
  <c r="C92" i="28"/>
  <c r="F92" i="28"/>
  <c r="E103" i="6"/>
  <c r="F103" i="6"/>
  <c r="C103" i="6"/>
  <c r="E97" i="6"/>
  <c r="C97" i="6"/>
  <c r="F97" i="6"/>
  <c r="E103" i="23"/>
  <c r="F103" i="23"/>
  <c r="E88" i="23"/>
  <c r="F88" i="23"/>
  <c r="F84" i="19"/>
  <c r="E95" i="18"/>
  <c r="F95" i="18"/>
  <c r="E86" i="18"/>
  <c r="F86" i="18"/>
  <c r="E65" i="21"/>
  <c r="F65" i="21"/>
  <c r="C65" i="21"/>
  <c r="E56" i="21"/>
  <c r="F56" i="21"/>
  <c r="E102" i="20"/>
  <c r="F102" i="20"/>
  <c r="E94" i="20"/>
  <c r="C94" i="20"/>
  <c r="F94" i="20"/>
  <c r="E86" i="20"/>
  <c r="C86" i="20"/>
  <c r="F86" i="20"/>
  <c r="E99" i="28"/>
  <c r="F99" i="28"/>
  <c r="E91" i="28"/>
  <c r="F91" i="28"/>
  <c r="E96" i="6"/>
  <c r="C96" i="6"/>
  <c r="F96" i="6"/>
  <c r="E87" i="6"/>
  <c r="F87" i="6"/>
  <c r="C87" i="6"/>
  <c r="E102" i="23"/>
  <c r="F102" i="23"/>
  <c r="E87" i="23"/>
  <c r="F87" i="23"/>
  <c r="C87" i="23"/>
  <c r="E92" i="19"/>
  <c r="F92" i="19"/>
  <c r="F83" i="19"/>
  <c r="C83" i="19"/>
  <c r="E94" i="18"/>
  <c r="F94" i="18"/>
  <c r="E70" i="21"/>
  <c r="F70" i="21"/>
  <c r="E55" i="21"/>
  <c r="F55" i="21"/>
  <c r="C55" i="21"/>
  <c r="E101" i="20"/>
  <c r="F101" i="20"/>
  <c r="C101" i="20"/>
  <c r="E93" i="20"/>
  <c r="F93" i="20"/>
  <c r="E85" i="20"/>
  <c r="F85" i="20"/>
  <c r="E98" i="28"/>
  <c r="F98" i="28"/>
  <c r="C98" i="28"/>
  <c r="E90" i="28"/>
  <c r="F90" i="28"/>
  <c r="C90" i="28"/>
  <c r="E92" i="6"/>
  <c r="F92" i="6"/>
  <c r="C92" i="6"/>
  <c r="E101" i="23"/>
  <c r="F101" i="23"/>
  <c r="E92" i="23"/>
  <c r="F92" i="23"/>
  <c r="C92" i="23"/>
  <c r="E86" i="23"/>
  <c r="F86" i="23"/>
  <c r="E91" i="19"/>
  <c r="F91" i="19"/>
  <c r="E103" i="18"/>
  <c r="F103" i="18"/>
  <c r="E94" i="17"/>
  <c r="F94" i="17"/>
  <c r="E85" i="17"/>
  <c r="F85" i="17"/>
  <c r="E100" i="20"/>
  <c r="C100" i="20"/>
  <c r="F100" i="20"/>
  <c r="E92" i="20"/>
  <c r="F92" i="20"/>
  <c r="C92" i="20"/>
  <c r="C84" i="20"/>
  <c r="AE20" i="30" s="1"/>
  <c r="F84" i="20"/>
  <c r="AH20" i="30" s="1"/>
  <c r="E97" i="28"/>
  <c r="C97" i="28"/>
  <c r="F97" i="28"/>
  <c r="E89" i="28"/>
  <c r="F89" i="28"/>
  <c r="E84" i="28"/>
  <c r="F84" i="28"/>
  <c r="C84" i="28"/>
  <c r="E91" i="6"/>
  <c r="F91" i="6"/>
  <c r="C91" i="6"/>
  <c r="E97" i="23"/>
  <c r="F97" i="23"/>
  <c r="C97" i="23"/>
  <c r="E85" i="23"/>
  <c r="C85" i="23"/>
  <c r="F85" i="23"/>
  <c r="E100" i="19"/>
  <c r="F100" i="19"/>
  <c r="E90" i="19"/>
  <c r="F90" i="19"/>
  <c r="C90" i="19"/>
  <c r="E102" i="18"/>
  <c r="F102" i="18"/>
  <c r="C102" i="18"/>
  <c r="E102" i="17"/>
  <c r="F102" i="17"/>
  <c r="E93" i="17"/>
  <c r="F93" i="17"/>
  <c r="E63" i="21"/>
  <c r="F63" i="21"/>
  <c r="F93" i="6"/>
  <c r="F98" i="23"/>
  <c r="F101" i="19"/>
  <c r="F85" i="19"/>
  <c r="F90" i="18"/>
  <c r="F95" i="17"/>
  <c r="E62" i="21"/>
  <c r="F62" i="21"/>
  <c r="E65" i="20"/>
  <c r="F65" i="20"/>
  <c r="F54" i="20"/>
  <c r="E72" i="28"/>
  <c r="F72" i="28"/>
  <c r="E64" i="28"/>
  <c r="F64" i="28"/>
  <c r="E58" i="28"/>
  <c r="F58" i="28"/>
  <c r="E66" i="6"/>
  <c r="F66" i="6"/>
  <c r="E74" i="23"/>
  <c r="F74" i="23"/>
  <c r="N38" i="4"/>
  <c r="N45" i="4"/>
  <c r="P25" i="4"/>
  <c r="N47" i="4"/>
  <c r="P49" i="4"/>
  <c r="E86" i="17"/>
  <c r="F86" i="17"/>
  <c r="F84" i="17"/>
  <c r="E59" i="21"/>
  <c r="F59" i="21"/>
  <c r="E72" i="20"/>
  <c r="F72" i="20"/>
  <c r="E64" i="20"/>
  <c r="F64" i="20"/>
  <c r="E59" i="20"/>
  <c r="F59" i="20"/>
  <c r="E65" i="6"/>
  <c r="F65" i="6"/>
  <c r="N15" i="4"/>
  <c r="E30" i="20"/>
  <c r="E102" i="6"/>
  <c r="E86" i="6"/>
  <c r="E91" i="23"/>
  <c r="E94" i="19"/>
  <c r="F94" i="19"/>
  <c r="E99" i="18"/>
  <c r="F99" i="18"/>
  <c r="F83" i="18"/>
  <c r="E88" i="17"/>
  <c r="F88" i="17"/>
  <c r="E71" i="20"/>
  <c r="F71" i="20"/>
  <c r="E63" i="20"/>
  <c r="F63" i="20"/>
  <c r="E58" i="20"/>
  <c r="F58" i="20"/>
  <c r="E56" i="28"/>
  <c r="F56" i="28"/>
  <c r="E72" i="23"/>
  <c r="F72" i="23"/>
  <c r="P39" i="4"/>
  <c r="P46" i="4"/>
  <c r="N39" i="4"/>
  <c r="E88" i="6"/>
  <c r="E93" i="23"/>
  <c r="E96" i="19"/>
  <c r="F96" i="19"/>
  <c r="E101" i="18"/>
  <c r="F101" i="18"/>
  <c r="E85" i="18"/>
  <c r="F85" i="18"/>
  <c r="E90" i="17"/>
  <c r="F90" i="17"/>
  <c r="F67" i="21"/>
  <c r="E64" i="21"/>
  <c r="F64" i="21"/>
  <c r="E61" i="21"/>
  <c r="F61" i="21"/>
  <c r="E58" i="21"/>
  <c r="F58" i="21"/>
  <c r="E57" i="20"/>
  <c r="F57" i="20"/>
  <c r="E62" i="28"/>
  <c r="F62" i="28"/>
  <c r="E63" i="6"/>
  <c r="F63" i="6"/>
  <c r="N51" i="4"/>
  <c r="F101" i="6"/>
  <c r="F85" i="6"/>
  <c r="F90" i="23"/>
  <c r="F93" i="19"/>
  <c r="F98" i="18"/>
  <c r="F103" i="17"/>
  <c r="F87" i="17"/>
  <c r="E54" i="21"/>
  <c r="F54" i="21"/>
  <c r="E70" i="20"/>
  <c r="F70" i="20"/>
  <c r="E62" i="20"/>
  <c r="F62" i="20"/>
  <c r="E56" i="20"/>
  <c r="F56" i="20"/>
  <c r="E70" i="28"/>
  <c r="E69" i="6"/>
  <c r="F69" i="6"/>
  <c r="E70" i="23"/>
  <c r="F70" i="23"/>
  <c r="N11" i="4"/>
  <c r="N41" i="4"/>
  <c r="N50" i="4"/>
  <c r="F95" i="19"/>
  <c r="F100" i="18"/>
  <c r="F84" i="18"/>
  <c r="F89" i="17"/>
  <c r="F69" i="21"/>
  <c r="E74" i="20"/>
  <c r="F74" i="20"/>
  <c r="F52" i="20"/>
  <c r="AH17" i="30" s="1"/>
  <c r="E61" i="28"/>
  <c r="F61" i="28"/>
  <c r="E54" i="28"/>
  <c r="F54" i="28"/>
  <c r="N42" i="4"/>
  <c r="N49" i="4"/>
  <c r="G30" i="20"/>
  <c r="C25" i="20"/>
  <c r="H25" i="20"/>
  <c r="E94" i="6"/>
  <c r="E99" i="23"/>
  <c r="E102" i="19"/>
  <c r="F102" i="19"/>
  <c r="E86" i="19"/>
  <c r="F86" i="19"/>
  <c r="E91" i="18"/>
  <c r="F91" i="18"/>
  <c r="E96" i="17"/>
  <c r="F96" i="17"/>
  <c r="E60" i="21"/>
  <c r="F60" i="21"/>
  <c r="E69" i="20"/>
  <c r="F69" i="20"/>
  <c r="E61" i="20"/>
  <c r="F61" i="20"/>
  <c r="E74" i="28"/>
  <c r="F74" i="28"/>
  <c r="E60" i="28"/>
  <c r="F60" i="28"/>
  <c r="E61" i="6"/>
  <c r="F61" i="6"/>
  <c r="N14" i="4"/>
  <c r="N52" i="4"/>
  <c r="G29" i="20"/>
  <c r="E88" i="19"/>
  <c r="F88" i="19"/>
  <c r="E93" i="18"/>
  <c r="F93" i="18"/>
  <c r="E98" i="17"/>
  <c r="F98" i="17"/>
  <c r="E74" i="21"/>
  <c r="E66" i="21"/>
  <c r="F66" i="21"/>
  <c r="E53" i="21"/>
  <c r="F53" i="21"/>
  <c r="E73" i="20"/>
  <c r="F73" i="20"/>
  <c r="E66" i="20"/>
  <c r="F66" i="20"/>
  <c r="E60" i="20"/>
  <c r="F60" i="20"/>
  <c r="E59" i="28"/>
  <c r="F59" i="28"/>
  <c r="E67" i="6"/>
  <c r="F67" i="6"/>
  <c r="E68" i="23"/>
  <c r="F68" i="23"/>
  <c r="E71" i="28"/>
  <c r="E55" i="28"/>
  <c r="E62" i="6"/>
  <c r="F52" i="6"/>
  <c r="G52" i="30" s="1"/>
  <c r="E69" i="23"/>
  <c r="E56" i="23"/>
  <c r="E72" i="19"/>
  <c r="F72" i="19"/>
  <c r="E67" i="19"/>
  <c r="F67" i="19"/>
  <c r="E68" i="18"/>
  <c r="M42" i="30"/>
  <c r="O42" i="30"/>
  <c r="E71" i="6"/>
  <c r="E68" i="6"/>
  <c r="E55" i="6"/>
  <c r="E62" i="23"/>
  <c r="E59" i="23"/>
  <c r="E66" i="19"/>
  <c r="F66" i="19"/>
  <c r="E61" i="19"/>
  <c r="F61" i="19"/>
  <c r="E71" i="18"/>
  <c r="E67" i="18"/>
  <c r="F67" i="18"/>
  <c r="E58" i="18"/>
  <c r="F58" i="18"/>
  <c r="E73" i="17"/>
  <c r="F73" i="17"/>
  <c r="E63" i="17"/>
  <c r="F63" i="17"/>
  <c r="E53" i="17"/>
  <c r="F53" i="17"/>
  <c r="E67" i="20"/>
  <c r="F67" i="20"/>
  <c r="E55" i="20"/>
  <c r="F55" i="20"/>
  <c r="E67" i="28"/>
  <c r="E74" i="6"/>
  <c r="E58" i="6"/>
  <c r="E65" i="23"/>
  <c r="F52" i="23"/>
  <c r="Q52" i="30" s="1"/>
  <c r="E71" i="19"/>
  <c r="F71" i="19"/>
  <c r="E60" i="19"/>
  <c r="F60" i="19"/>
  <c r="E62" i="17"/>
  <c r="F62" i="17"/>
  <c r="E73" i="28"/>
  <c r="E57" i="28"/>
  <c r="E64" i="6"/>
  <c r="E71" i="23"/>
  <c r="E58" i="23"/>
  <c r="E55" i="23"/>
  <c r="E70" i="19"/>
  <c r="F70" i="19"/>
  <c r="E65" i="19"/>
  <c r="F65" i="19"/>
  <c r="E74" i="18"/>
  <c r="F74" i="18"/>
  <c r="E66" i="18"/>
  <c r="F66" i="18"/>
  <c r="E62" i="18"/>
  <c r="F62" i="18"/>
  <c r="E71" i="17"/>
  <c r="F71" i="17"/>
  <c r="E61" i="17"/>
  <c r="F61" i="17"/>
  <c r="C26" i="19"/>
  <c r="E26" i="19"/>
  <c r="E66" i="28"/>
  <c r="E63" i="28"/>
  <c r="E73" i="6"/>
  <c r="E70" i="6"/>
  <c r="E57" i="6"/>
  <c r="E54" i="6"/>
  <c r="E64" i="23"/>
  <c r="E61" i="23"/>
  <c r="E64" i="19"/>
  <c r="F64" i="19"/>
  <c r="E59" i="19"/>
  <c r="F59" i="19"/>
  <c r="E55" i="19"/>
  <c r="F55" i="19"/>
  <c r="E57" i="17"/>
  <c r="F57" i="17"/>
  <c r="F52" i="17"/>
  <c r="C20" i="21"/>
  <c r="D20" i="21"/>
  <c r="C43" i="30"/>
  <c r="E43" i="30"/>
  <c r="E69" i="28"/>
  <c r="E53" i="28"/>
  <c r="E60" i="6"/>
  <c r="E67" i="23"/>
  <c r="E54" i="23"/>
  <c r="E74" i="19"/>
  <c r="F74" i="19"/>
  <c r="E69" i="19"/>
  <c r="F69" i="19"/>
  <c r="E58" i="19"/>
  <c r="F58" i="19"/>
  <c r="E60" i="18"/>
  <c r="F60" i="18"/>
  <c r="E56" i="18"/>
  <c r="F56" i="18"/>
  <c r="F52" i="18"/>
  <c r="E65" i="17"/>
  <c r="F65" i="17"/>
  <c r="C31" i="21"/>
  <c r="E31" i="21"/>
  <c r="E53" i="6"/>
  <c r="E73" i="23"/>
  <c r="E60" i="23"/>
  <c r="E57" i="23"/>
  <c r="E68" i="19"/>
  <c r="F68" i="19"/>
  <c r="E63" i="19"/>
  <c r="F63" i="19"/>
  <c r="E64" i="18"/>
  <c r="E69" i="17"/>
  <c r="F69" i="17"/>
  <c r="E55" i="17"/>
  <c r="F55" i="17"/>
  <c r="E68" i="20"/>
  <c r="F68" i="20"/>
  <c r="E68" i="28"/>
  <c r="E65" i="28"/>
  <c r="E52" i="28"/>
  <c r="E72" i="6"/>
  <c r="E59" i="6"/>
  <c r="E56" i="6"/>
  <c r="E66" i="23"/>
  <c r="E63" i="23"/>
  <c r="E73" i="19"/>
  <c r="F73" i="19"/>
  <c r="E62" i="19"/>
  <c r="F62" i="19"/>
  <c r="E57" i="19"/>
  <c r="F57" i="19"/>
  <c r="E53" i="19"/>
  <c r="F53" i="19"/>
  <c r="E72" i="18"/>
  <c r="F72" i="18"/>
  <c r="E55" i="18"/>
  <c r="E74" i="17"/>
  <c r="F74" i="17"/>
  <c r="C31" i="28"/>
  <c r="E31" i="28"/>
  <c r="D22" i="28"/>
  <c r="F63" i="18"/>
  <c r="F70" i="17"/>
  <c r="F54" i="17"/>
  <c r="C30" i="21"/>
  <c r="E30" i="21"/>
  <c r="F65" i="18"/>
  <c r="F72" i="17"/>
  <c r="F56" i="17"/>
  <c r="F67" i="17"/>
  <c r="F58" i="17"/>
  <c r="C20" i="28"/>
  <c r="D20" i="28"/>
  <c r="C31" i="19"/>
  <c r="D31" i="19"/>
  <c r="D28" i="21"/>
  <c r="E23" i="21"/>
  <c r="M44" i="30"/>
  <c r="E25" i="19"/>
  <c r="C26" i="17"/>
  <c r="E26" i="17"/>
  <c r="C23" i="28"/>
  <c r="E23" i="28"/>
  <c r="C28" i="28"/>
  <c r="D28" i="28"/>
  <c r="C44" i="30"/>
  <c r="F56" i="19"/>
  <c r="F54" i="19"/>
  <c r="F70" i="18"/>
  <c r="F61" i="18"/>
  <c r="F54" i="18"/>
  <c r="F68" i="17"/>
  <c r="D30" i="21"/>
  <c r="C23" i="19"/>
  <c r="D23" i="19"/>
  <c r="F132" i="18"/>
  <c r="C141" i="23"/>
  <c r="C134" i="6"/>
  <c r="G134" i="6"/>
  <c r="G120" i="6"/>
  <c r="K116" i="21"/>
  <c r="K138" i="28"/>
  <c r="E188" i="20"/>
  <c r="F110" i="19"/>
  <c r="K134" i="6"/>
  <c r="K147" i="18"/>
  <c r="G110" i="6"/>
  <c r="C139" i="21"/>
  <c r="C121" i="20"/>
  <c r="AE34" i="30" s="1"/>
  <c r="K110" i="6"/>
  <c r="C177" i="28"/>
  <c r="C161" i="28"/>
  <c r="E182" i="19"/>
  <c r="E164" i="18"/>
  <c r="E184" i="23"/>
  <c r="C180" i="18"/>
  <c r="C188" i="18"/>
  <c r="G180" i="18"/>
  <c r="G178" i="6"/>
  <c r="G135" i="23"/>
  <c r="C164" i="28"/>
  <c r="C182" i="19"/>
  <c r="C156" i="18"/>
  <c r="C164" i="18"/>
  <c r="C184" i="23"/>
  <c r="G182" i="19"/>
  <c r="K115" i="17"/>
  <c r="F135" i="23"/>
  <c r="G116" i="20"/>
  <c r="C143" i="19"/>
  <c r="F178" i="6"/>
  <c r="G176" i="21"/>
  <c r="C121" i="23"/>
  <c r="M68" i="30" s="1"/>
  <c r="C154" i="6"/>
  <c r="E188" i="28"/>
  <c r="E178" i="6"/>
  <c r="F184" i="23"/>
  <c r="F182" i="20"/>
  <c r="G184" i="21"/>
  <c r="F121" i="23"/>
  <c r="C154" i="17"/>
  <c r="C184" i="21"/>
  <c r="F186" i="17"/>
  <c r="C168" i="23"/>
  <c r="E176" i="21"/>
  <c r="E182" i="20"/>
  <c r="G184" i="23"/>
  <c r="F188" i="28"/>
  <c r="C135" i="19"/>
  <c r="C178" i="6"/>
  <c r="F176" i="21"/>
  <c r="F172" i="18"/>
  <c r="G172" i="28"/>
  <c r="M141" i="28"/>
  <c r="C127" i="19"/>
  <c r="C119" i="19"/>
  <c r="E184" i="21"/>
  <c r="F184" i="21"/>
  <c r="F172" i="28"/>
  <c r="C176" i="21"/>
  <c r="C172" i="18"/>
  <c r="C133" i="23"/>
  <c r="C164" i="19"/>
  <c r="F162" i="28"/>
  <c r="C160" i="17"/>
  <c r="G176" i="6"/>
  <c r="G164" i="19"/>
  <c r="K133" i="19"/>
  <c r="C147" i="21"/>
  <c r="C115" i="18"/>
  <c r="K145" i="28"/>
  <c r="K115" i="21"/>
  <c r="E164" i="19"/>
  <c r="F172" i="19"/>
  <c r="E186" i="18"/>
  <c r="F184" i="6"/>
  <c r="C166" i="21"/>
  <c r="C188" i="20"/>
  <c r="G184" i="6"/>
  <c r="G168" i="17"/>
  <c r="K115" i="18"/>
  <c r="K121" i="17"/>
  <c r="G133" i="19"/>
  <c r="K137" i="28"/>
  <c r="E172" i="19"/>
  <c r="E168" i="17"/>
  <c r="F186" i="18"/>
  <c r="E158" i="21"/>
  <c r="F188" i="20"/>
  <c r="G172" i="19"/>
  <c r="G188" i="20"/>
  <c r="G186" i="18"/>
  <c r="G176" i="17"/>
  <c r="G131" i="18"/>
  <c r="C131" i="18"/>
  <c r="C133" i="19"/>
  <c r="C147" i="18"/>
  <c r="C129" i="28"/>
  <c r="C111" i="23"/>
  <c r="M58" i="30" s="1"/>
  <c r="C119" i="23"/>
  <c r="M66" i="30" s="1"/>
  <c r="I137" i="28"/>
  <c r="K139" i="21"/>
  <c r="F168" i="17"/>
  <c r="E184" i="6"/>
  <c r="C188" i="19"/>
  <c r="F158" i="21"/>
  <c r="C158" i="23"/>
  <c r="G178" i="18"/>
  <c r="K111" i="6"/>
  <c r="K111" i="23"/>
  <c r="K113" i="17"/>
  <c r="G123" i="18"/>
  <c r="I129" i="28"/>
  <c r="C168" i="17"/>
  <c r="C182" i="23"/>
  <c r="F184" i="17"/>
  <c r="G180" i="19"/>
  <c r="G188" i="19"/>
  <c r="K117" i="19"/>
  <c r="G141" i="23"/>
  <c r="E178" i="18"/>
  <c r="F180" i="19"/>
  <c r="E178" i="28"/>
  <c r="F176" i="17"/>
  <c r="C137" i="28"/>
  <c r="C131" i="21"/>
  <c r="K113" i="28"/>
  <c r="K131" i="21"/>
  <c r="F178" i="18"/>
  <c r="F176" i="6"/>
  <c r="E176" i="17"/>
  <c r="F182" i="23"/>
  <c r="F188" i="19"/>
  <c r="E184" i="17"/>
  <c r="G132" i="28"/>
  <c r="K141" i="23"/>
  <c r="G146" i="6"/>
  <c r="F141" i="23"/>
  <c r="C158" i="21"/>
  <c r="I131" i="21"/>
  <c r="C117" i="19"/>
  <c r="C178" i="28"/>
  <c r="F146" i="6"/>
  <c r="I143" i="28"/>
  <c r="C119" i="28"/>
  <c r="C125" i="6"/>
  <c r="C72" i="30" s="1"/>
  <c r="I119" i="28"/>
  <c r="C127" i="28"/>
  <c r="C140" i="23"/>
  <c r="C147" i="23"/>
  <c r="I111" i="28"/>
  <c r="E169" i="28"/>
  <c r="E173" i="21"/>
  <c r="E181" i="23"/>
  <c r="E181" i="21"/>
  <c r="E161" i="28"/>
  <c r="I135" i="28"/>
  <c r="F171" i="20"/>
  <c r="C157" i="21"/>
  <c r="C163" i="20"/>
  <c r="G169" i="28"/>
  <c r="G181" i="23"/>
  <c r="G128" i="17"/>
  <c r="E177" i="28"/>
  <c r="G153" i="28"/>
  <c r="C111" i="28"/>
  <c r="K135" i="28"/>
  <c r="C167" i="6"/>
  <c r="C173" i="21"/>
  <c r="G173" i="21"/>
  <c r="G177" i="28"/>
  <c r="C117" i="6"/>
  <c r="C64" i="30" s="1"/>
  <c r="I127" i="28"/>
  <c r="F167" i="6"/>
  <c r="F178" i="19"/>
  <c r="G181" i="21"/>
  <c r="F134" i="6"/>
  <c r="E167" i="6"/>
  <c r="E165" i="21"/>
  <c r="E189" i="23"/>
  <c r="F153" i="28"/>
  <c r="K120" i="17"/>
  <c r="C169" i="28"/>
  <c r="F181" i="23"/>
  <c r="K119" i="28"/>
  <c r="F169" i="28"/>
  <c r="C153" i="28"/>
  <c r="F161" i="28"/>
  <c r="F173" i="21"/>
  <c r="E161" i="23"/>
  <c r="I161" i="23" s="1"/>
  <c r="C161" i="23"/>
  <c r="F110" i="28"/>
  <c r="C135" i="28"/>
  <c r="C112" i="21"/>
  <c r="K143" i="28"/>
  <c r="K111" i="28"/>
  <c r="E171" i="20"/>
  <c r="G171" i="20"/>
  <c r="F112" i="21"/>
  <c r="G146" i="23"/>
  <c r="C142" i="28"/>
  <c r="C171" i="20"/>
  <c r="G188" i="21"/>
  <c r="G170" i="20"/>
  <c r="F145" i="28"/>
  <c r="C116" i="6"/>
  <c r="C63" i="30" s="1"/>
  <c r="I110" i="28"/>
  <c r="E152" i="28"/>
  <c r="C161" i="18"/>
  <c r="K117" i="6"/>
  <c r="G152" i="28"/>
  <c r="C180" i="21"/>
  <c r="F157" i="21"/>
  <c r="F140" i="23"/>
  <c r="C147" i="19"/>
  <c r="C143" i="28"/>
  <c r="K127" i="28"/>
  <c r="C181" i="21"/>
  <c r="E153" i="28"/>
  <c r="F188" i="21"/>
  <c r="E157" i="21"/>
  <c r="C155" i="20"/>
  <c r="G167" i="6"/>
  <c r="G111" i="28"/>
  <c r="G172" i="21"/>
  <c r="G127" i="21"/>
  <c r="G110" i="28"/>
  <c r="C169" i="18"/>
  <c r="E188" i="21"/>
  <c r="G126" i="28"/>
  <c r="C188" i="23"/>
  <c r="C160" i="28"/>
  <c r="C166" i="6"/>
  <c r="K126" i="28"/>
  <c r="C139" i="19"/>
  <c r="E179" i="19"/>
  <c r="C185" i="18"/>
  <c r="E184" i="28"/>
  <c r="E166" i="6"/>
  <c r="G142" i="28"/>
  <c r="F126" i="28"/>
  <c r="K146" i="23"/>
  <c r="K122" i="19"/>
  <c r="G110" i="19"/>
  <c r="E133" i="28"/>
  <c r="E171" i="19"/>
  <c r="C180" i="23"/>
  <c r="F156" i="21"/>
  <c r="F172" i="21"/>
  <c r="F142" i="28"/>
  <c r="K127" i="21"/>
  <c r="I126" i="28"/>
  <c r="C113" i="28"/>
  <c r="C125" i="23"/>
  <c r="M72" i="30" s="1"/>
  <c r="F170" i="20"/>
  <c r="E183" i="17"/>
  <c r="C171" i="19"/>
  <c r="E172" i="21"/>
  <c r="C177" i="18"/>
  <c r="F180" i="23"/>
  <c r="E156" i="21"/>
  <c r="F160" i="28"/>
  <c r="G171" i="19"/>
  <c r="K125" i="6"/>
  <c r="K140" i="23"/>
  <c r="G116" i="23"/>
  <c r="G118" i="19"/>
  <c r="F180" i="21"/>
  <c r="C156" i="21"/>
  <c r="E160" i="28"/>
  <c r="G180" i="23"/>
  <c r="E180" i="23"/>
  <c r="G179" i="19"/>
  <c r="C136" i="20"/>
  <c r="C123" i="19"/>
  <c r="C110" i="28"/>
  <c r="K142" i="28"/>
  <c r="G188" i="23"/>
  <c r="G187" i="19"/>
  <c r="G156" i="21"/>
  <c r="K110" i="17"/>
  <c r="G126" i="17"/>
  <c r="M119" i="21"/>
  <c r="O119" i="21"/>
  <c r="V185" i="20"/>
  <c r="F185" i="20"/>
  <c r="O134" i="28"/>
  <c r="C134" i="28"/>
  <c r="I134" i="28"/>
  <c r="K134" i="28"/>
  <c r="F134" i="28"/>
  <c r="G134" i="28"/>
  <c r="F127" i="17"/>
  <c r="O127" i="17"/>
  <c r="C145" i="6"/>
  <c r="O145" i="6"/>
  <c r="V174" i="20"/>
  <c r="C174" i="20"/>
  <c r="G174" i="20"/>
  <c r="F174" i="20"/>
  <c r="E174" i="20"/>
  <c r="F145" i="21"/>
  <c r="O145" i="21"/>
  <c r="C145" i="21"/>
  <c r="I145" i="21"/>
  <c r="K145" i="21"/>
  <c r="G129" i="21"/>
  <c r="O129" i="21"/>
  <c r="M113" i="21"/>
  <c r="O113" i="21"/>
  <c r="I113" i="21"/>
  <c r="C113" i="21"/>
  <c r="I137" i="21"/>
  <c r="O137" i="21"/>
  <c r="G122" i="28"/>
  <c r="K144" i="19"/>
  <c r="G142" i="20"/>
  <c r="O142" i="20"/>
  <c r="G134" i="20"/>
  <c r="O134" i="20"/>
  <c r="G126" i="20"/>
  <c r="O126" i="20"/>
  <c r="M119" i="20"/>
  <c r="AH32" i="30" s="1"/>
  <c r="M111" i="20"/>
  <c r="E145" i="28"/>
  <c r="O145" i="28"/>
  <c r="E137" i="28"/>
  <c r="O137" i="28"/>
  <c r="E129" i="28"/>
  <c r="O129" i="28"/>
  <c r="M121" i="28"/>
  <c r="O121" i="28"/>
  <c r="E113" i="28"/>
  <c r="O113" i="28"/>
  <c r="G144" i="6"/>
  <c r="O144" i="6"/>
  <c r="G128" i="6"/>
  <c r="O128" i="6"/>
  <c r="I112" i="6"/>
  <c r="C142" i="23"/>
  <c r="O142" i="23"/>
  <c r="M135" i="23"/>
  <c r="O135" i="23"/>
  <c r="M129" i="23"/>
  <c r="Q76" i="30" s="1"/>
  <c r="I121" i="23"/>
  <c r="M111" i="19"/>
  <c r="M141" i="18"/>
  <c r="O141" i="18"/>
  <c r="M133" i="18"/>
  <c r="O133" i="18"/>
  <c r="M125" i="18"/>
  <c r="O125" i="18"/>
  <c r="M117" i="18"/>
  <c r="O117" i="18"/>
  <c r="O147" i="17"/>
  <c r="F147" i="17"/>
  <c r="O139" i="17"/>
  <c r="F139" i="17"/>
  <c r="O132" i="17"/>
  <c r="F132" i="17"/>
  <c r="G125" i="17"/>
  <c r="O125" i="17"/>
  <c r="F125" i="17"/>
  <c r="G117" i="17"/>
  <c r="O117" i="17"/>
  <c r="F117" i="17"/>
  <c r="F122" i="28"/>
  <c r="G143" i="23"/>
  <c r="I122" i="28"/>
  <c r="K112" i="21"/>
  <c r="F171" i="19"/>
  <c r="C164" i="20"/>
  <c r="C179" i="21"/>
  <c r="F179" i="19"/>
  <c r="C174" i="23"/>
  <c r="E176" i="6"/>
  <c r="F188" i="23"/>
  <c r="F178" i="28"/>
  <c r="F187" i="21"/>
  <c r="C169" i="21"/>
  <c r="E176" i="28"/>
  <c r="G174" i="23"/>
  <c r="F121" i="28"/>
  <c r="K137" i="6"/>
  <c r="F112" i="6"/>
  <c r="F143" i="23"/>
  <c r="F128" i="19"/>
  <c r="F126" i="18"/>
  <c r="K118" i="21"/>
  <c r="O118" i="21"/>
  <c r="F132" i="20"/>
  <c r="O132" i="20"/>
  <c r="F124" i="20"/>
  <c r="O111" i="28"/>
  <c r="K142" i="6"/>
  <c r="O142" i="6"/>
  <c r="K126" i="6"/>
  <c r="O126" i="6"/>
  <c r="M110" i="6"/>
  <c r="G57" i="30" s="1"/>
  <c r="O141" i="23"/>
  <c r="M133" i="23"/>
  <c r="O133" i="23"/>
  <c r="C127" i="23"/>
  <c r="M74" i="30" s="1"/>
  <c r="O127" i="23"/>
  <c r="M111" i="23"/>
  <c r="Q58" i="30" s="1"/>
  <c r="O111" i="23"/>
  <c r="M147" i="18"/>
  <c r="O147" i="18"/>
  <c r="M139" i="18"/>
  <c r="O139" i="18"/>
  <c r="M131" i="18"/>
  <c r="O131" i="18"/>
  <c r="C123" i="18"/>
  <c r="O123" i="18"/>
  <c r="M115" i="18"/>
  <c r="G145" i="17"/>
  <c r="F145" i="17"/>
  <c r="O145" i="17"/>
  <c r="O137" i="17"/>
  <c r="F137" i="17"/>
  <c r="F130" i="17"/>
  <c r="O130" i="17"/>
  <c r="O123" i="17"/>
  <c r="F123" i="17"/>
  <c r="I115" i="17"/>
  <c r="M112" i="20"/>
  <c r="AH25" i="30" s="1"/>
  <c r="I130" i="28"/>
  <c r="O130" i="28"/>
  <c r="M136" i="23"/>
  <c r="O136" i="23"/>
  <c r="I138" i="28"/>
  <c r="K122" i="28"/>
  <c r="F144" i="19"/>
  <c r="M127" i="21"/>
  <c r="O127" i="21"/>
  <c r="F133" i="20"/>
  <c r="O133" i="20"/>
  <c r="M118" i="20"/>
  <c r="AH31" i="30" s="1"/>
  <c r="C144" i="28"/>
  <c r="O144" i="28"/>
  <c r="C120" i="28"/>
  <c r="O120" i="28"/>
  <c r="M126" i="19"/>
  <c r="O126" i="19"/>
  <c r="O146" i="17"/>
  <c r="F146" i="17"/>
  <c r="F138" i="17"/>
  <c r="O138" i="17"/>
  <c r="M131" i="17"/>
  <c r="O131" i="17"/>
  <c r="F131" i="17"/>
  <c r="O124" i="17"/>
  <c r="F124" i="17"/>
  <c r="C124" i="18"/>
  <c r="C143" i="23"/>
  <c r="C126" i="18"/>
  <c r="C114" i="28"/>
  <c r="C145" i="28"/>
  <c r="K121" i="28"/>
  <c r="C111" i="6"/>
  <c r="C58" i="30" s="1"/>
  <c r="I112" i="21"/>
  <c r="C152" i="28"/>
  <c r="F183" i="17"/>
  <c r="F179" i="21"/>
  <c r="F174" i="23"/>
  <c r="E188" i="23"/>
  <c r="E169" i="21"/>
  <c r="C154" i="28"/>
  <c r="F176" i="28"/>
  <c r="C177" i="21"/>
  <c r="G163" i="21"/>
  <c r="G166" i="6"/>
  <c r="G185" i="18"/>
  <c r="G154" i="28"/>
  <c r="G161" i="18"/>
  <c r="G182" i="23"/>
  <c r="D110" i="17"/>
  <c r="K124" i="17"/>
  <c r="G112" i="20"/>
  <c r="G111" i="6"/>
  <c r="G130" i="23"/>
  <c r="G115" i="23"/>
  <c r="G126" i="19"/>
  <c r="F124" i="18"/>
  <c r="K131" i="20"/>
  <c r="O131" i="20"/>
  <c r="K123" i="20"/>
  <c r="O142" i="28"/>
  <c r="O126" i="28"/>
  <c r="E110" i="28"/>
  <c r="O110" i="28"/>
  <c r="K133" i="6"/>
  <c r="O133" i="6"/>
  <c r="M140" i="23"/>
  <c r="O140" i="23"/>
  <c r="F126" i="23"/>
  <c r="O126" i="23"/>
  <c r="M118" i="23"/>
  <c r="Q65" i="30" s="1"/>
  <c r="M110" i="23"/>
  <c r="Q57" i="30" s="1"/>
  <c r="M140" i="19"/>
  <c r="O140" i="19"/>
  <c r="M132" i="19"/>
  <c r="O132" i="19"/>
  <c r="M124" i="19"/>
  <c r="O124" i="19"/>
  <c r="F146" i="18"/>
  <c r="O146" i="18"/>
  <c r="F138" i="18"/>
  <c r="O138" i="18"/>
  <c r="C130" i="18"/>
  <c r="O130" i="18"/>
  <c r="F122" i="18"/>
  <c r="O122" i="18"/>
  <c r="C114" i="18"/>
  <c r="O144" i="17"/>
  <c r="F144" i="17"/>
  <c r="F136" i="17"/>
  <c r="O136" i="17"/>
  <c r="F129" i="17"/>
  <c r="O129" i="17"/>
  <c r="F122" i="17"/>
  <c r="O122" i="17"/>
  <c r="M114" i="17"/>
  <c r="F141" i="20"/>
  <c r="O141" i="20"/>
  <c r="K136" i="28"/>
  <c r="O136" i="28"/>
  <c r="G128" i="28"/>
  <c r="O128" i="28"/>
  <c r="G112" i="28"/>
  <c r="O112" i="28"/>
  <c r="M134" i="23"/>
  <c r="O134" i="23"/>
  <c r="O116" i="17"/>
  <c r="F116" i="17"/>
  <c r="C146" i="28"/>
  <c r="C137" i="6"/>
  <c r="C138" i="28"/>
  <c r="K114" i="28"/>
  <c r="C112" i="20"/>
  <c r="AE25" i="30" s="1"/>
  <c r="C129" i="6"/>
  <c r="C76" i="30" s="1"/>
  <c r="I114" i="28"/>
  <c r="I121" i="28"/>
  <c r="E169" i="18"/>
  <c r="E162" i="28"/>
  <c r="E185" i="18"/>
  <c r="E161" i="18"/>
  <c r="F163" i="21"/>
  <c r="C176" i="28"/>
  <c r="F177" i="21"/>
  <c r="G176" i="28"/>
  <c r="G162" i="28"/>
  <c r="G169" i="18"/>
  <c r="K112" i="23"/>
  <c r="K112" i="19"/>
  <c r="K126" i="18"/>
  <c r="K139" i="17"/>
  <c r="F111" i="6"/>
  <c r="F114" i="23"/>
  <c r="G137" i="19"/>
  <c r="F126" i="19"/>
  <c r="F142" i="18"/>
  <c r="F116" i="21"/>
  <c r="O116" i="21"/>
  <c r="G146" i="20"/>
  <c r="O146" i="20"/>
  <c r="G138" i="20"/>
  <c r="O138" i="20"/>
  <c r="G130" i="20"/>
  <c r="O130" i="20"/>
  <c r="C122" i="20"/>
  <c r="AE35" i="30" s="1"/>
  <c r="O122" i="20"/>
  <c r="E141" i="28"/>
  <c r="O141" i="28"/>
  <c r="M133" i="28"/>
  <c r="O133" i="28"/>
  <c r="E125" i="28"/>
  <c r="O125" i="28"/>
  <c r="E117" i="28"/>
  <c r="O117" i="28"/>
  <c r="G132" i="6"/>
  <c r="O132" i="6"/>
  <c r="G116" i="6"/>
  <c r="M146" i="23"/>
  <c r="O146" i="23"/>
  <c r="K132" i="23"/>
  <c r="O132" i="23"/>
  <c r="C131" i="19"/>
  <c r="O131" i="19"/>
  <c r="M115" i="19"/>
  <c r="M145" i="18"/>
  <c r="O145" i="18"/>
  <c r="M137" i="18"/>
  <c r="O137" i="18"/>
  <c r="M129" i="18"/>
  <c r="O129" i="18"/>
  <c r="M121" i="18"/>
  <c r="O121" i="18"/>
  <c r="M113" i="18"/>
  <c r="F143" i="17"/>
  <c r="O143" i="17"/>
  <c r="F135" i="17"/>
  <c r="O135" i="17"/>
  <c r="O128" i="17"/>
  <c r="F128" i="17"/>
  <c r="O121" i="17"/>
  <c r="F121" i="17"/>
  <c r="K127" i="20"/>
  <c r="O127" i="20"/>
  <c r="O122" i="28"/>
  <c r="M143" i="23"/>
  <c r="O143" i="23"/>
  <c r="C113" i="6"/>
  <c r="C60" i="30" s="1"/>
  <c r="F125" i="20"/>
  <c r="M128" i="23"/>
  <c r="Q75" i="30" s="1"/>
  <c r="C132" i="18"/>
  <c r="C127" i="21"/>
  <c r="C136" i="23"/>
  <c r="I146" i="28"/>
  <c r="C110" i="20"/>
  <c r="AE23" i="30" s="1"/>
  <c r="D152" i="28"/>
  <c r="E170" i="20"/>
  <c r="E177" i="18"/>
  <c r="F185" i="18"/>
  <c r="F161" i="18"/>
  <c r="F154" i="28"/>
  <c r="E163" i="21"/>
  <c r="F184" i="28"/>
  <c r="C160" i="6"/>
  <c r="E177" i="21"/>
  <c r="G184" i="28"/>
  <c r="G177" i="18"/>
  <c r="G138" i="28"/>
  <c r="G123" i="23"/>
  <c r="F140" i="18"/>
  <c r="I147" i="21"/>
  <c r="O147" i="21"/>
  <c r="F139" i="21"/>
  <c r="O139" i="21"/>
  <c r="C123" i="21"/>
  <c r="O123" i="21"/>
  <c r="C115" i="21"/>
  <c r="O115" i="21"/>
  <c r="C137" i="20"/>
  <c r="O137" i="20"/>
  <c r="O132" i="28"/>
  <c r="C145" i="23"/>
  <c r="O145" i="23"/>
  <c r="M138" i="23"/>
  <c r="O138" i="23"/>
  <c r="M146" i="19"/>
  <c r="O146" i="19"/>
  <c r="M138" i="19"/>
  <c r="O138" i="19"/>
  <c r="M130" i="19"/>
  <c r="O130" i="19"/>
  <c r="M122" i="19"/>
  <c r="O122" i="19"/>
  <c r="G144" i="18"/>
  <c r="O144" i="18"/>
  <c r="F128" i="18"/>
  <c r="O128" i="18"/>
  <c r="O142" i="17"/>
  <c r="F142" i="17"/>
  <c r="F120" i="17"/>
  <c r="O120" i="17"/>
  <c r="K146" i="28"/>
  <c r="E179" i="21"/>
  <c r="E182" i="23"/>
  <c r="E154" i="28"/>
  <c r="C184" i="28"/>
  <c r="F166" i="6"/>
  <c r="C183" i="17"/>
  <c r="G177" i="21"/>
  <c r="K135" i="23"/>
  <c r="K133" i="17"/>
  <c r="G121" i="23"/>
  <c r="F112" i="19"/>
  <c r="F118" i="18"/>
  <c r="I146" i="21"/>
  <c r="O146" i="21"/>
  <c r="C147" i="28"/>
  <c r="O147" i="28"/>
  <c r="C139" i="28"/>
  <c r="O139" i="28"/>
  <c r="C131" i="28"/>
  <c r="O131" i="28"/>
  <c r="M123" i="28"/>
  <c r="O123" i="28"/>
  <c r="I115" i="28"/>
  <c r="O115" i="28"/>
  <c r="G138" i="6"/>
  <c r="O138" i="6"/>
  <c r="C130" i="6"/>
  <c r="C77" i="30" s="1"/>
  <c r="O130" i="6"/>
  <c r="G122" i="6"/>
  <c r="O122" i="6"/>
  <c r="C114" i="6"/>
  <c r="C61" i="30" s="1"/>
  <c r="M144" i="23"/>
  <c r="O144" i="23"/>
  <c r="M113" i="19"/>
  <c r="M143" i="18"/>
  <c r="O143" i="18"/>
  <c r="M135" i="18"/>
  <c r="O135" i="18"/>
  <c r="M119" i="18"/>
  <c r="O119" i="18"/>
  <c r="I111" i="18"/>
  <c r="O141" i="17"/>
  <c r="F141" i="17"/>
  <c r="O134" i="17"/>
  <c r="F134" i="17"/>
  <c r="F119" i="17"/>
  <c r="O119" i="17"/>
  <c r="F111" i="17"/>
  <c r="O138" i="28"/>
  <c r="K122" i="23"/>
  <c r="K114" i="23"/>
  <c r="M144" i="19"/>
  <c r="O144" i="19"/>
  <c r="M136" i="19"/>
  <c r="O136" i="19"/>
  <c r="M128" i="19"/>
  <c r="O128" i="19"/>
  <c r="F120" i="19"/>
  <c r="O120" i="19"/>
  <c r="O140" i="17"/>
  <c r="F140" i="17"/>
  <c r="O133" i="17"/>
  <c r="F133" i="17"/>
  <c r="M126" i="17"/>
  <c r="O126" i="17"/>
  <c r="F126" i="17"/>
  <c r="K118" i="17"/>
  <c r="O118" i="17"/>
  <c r="F118" i="17"/>
  <c r="I110" i="17"/>
  <c r="F110" i="17"/>
  <c r="D59" i="24"/>
  <c r="S185" i="28"/>
  <c r="C185" i="28"/>
  <c r="E185" i="28"/>
  <c r="G185" i="28"/>
  <c r="F185" i="28"/>
  <c r="U183" i="6"/>
  <c r="C183" i="6"/>
  <c r="E183" i="6"/>
  <c r="G183" i="6"/>
  <c r="F183" i="6"/>
  <c r="F170" i="18"/>
  <c r="C170" i="18"/>
  <c r="G170" i="18"/>
  <c r="E170" i="18"/>
  <c r="C111" i="21"/>
  <c r="I134" i="21"/>
  <c r="K134" i="21"/>
  <c r="C134" i="21"/>
  <c r="W180" i="6"/>
  <c r="E180" i="6"/>
  <c r="G180" i="6"/>
  <c r="C180" i="6"/>
  <c r="F180" i="6"/>
  <c r="C124" i="6"/>
  <c r="C71" i="30" s="1"/>
  <c r="G124" i="6"/>
  <c r="K124" i="6"/>
  <c r="K135" i="17"/>
  <c r="E180" i="20"/>
  <c r="G180" i="20"/>
  <c r="F180" i="20"/>
  <c r="C180" i="20"/>
  <c r="W178" i="17"/>
  <c r="G178" i="17"/>
  <c r="E178" i="17"/>
  <c r="F178" i="17"/>
  <c r="C178" i="17"/>
  <c r="K143" i="20"/>
  <c r="C143" i="20"/>
  <c r="C110" i="23"/>
  <c r="M57" i="30" s="1"/>
  <c r="C132" i="19"/>
  <c r="C126" i="20"/>
  <c r="C126" i="23"/>
  <c r="M73" i="30" s="1"/>
  <c r="C123" i="28"/>
  <c r="C124" i="19"/>
  <c r="C146" i="18"/>
  <c r="I118" i="21"/>
  <c r="C153" i="19"/>
  <c r="C160" i="18"/>
  <c r="E175" i="17"/>
  <c r="E175" i="18"/>
  <c r="C167" i="17"/>
  <c r="G164" i="28"/>
  <c r="F124" i="19"/>
  <c r="F130" i="18"/>
  <c r="M122" i="28"/>
  <c r="C118" i="23"/>
  <c r="M65" i="30" s="1"/>
  <c r="I131" i="28"/>
  <c r="I139" i="28"/>
  <c r="F172" i="20"/>
  <c r="F183" i="18"/>
  <c r="F164" i="28"/>
  <c r="F160" i="18"/>
  <c r="R160" i="18" s="1"/>
  <c r="E172" i="28"/>
  <c r="F172" i="6"/>
  <c r="E168" i="18"/>
  <c r="C162" i="21"/>
  <c r="E186" i="23"/>
  <c r="G186" i="23"/>
  <c r="G167" i="17"/>
  <c r="K145" i="17"/>
  <c r="K117" i="17"/>
  <c r="C140" i="19"/>
  <c r="C138" i="23"/>
  <c r="C134" i="20"/>
  <c r="E183" i="18"/>
  <c r="C172" i="28"/>
  <c r="C172" i="6"/>
  <c r="E178" i="23"/>
  <c r="C175" i="17"/>
  <c r="G172" i="6"/>
  <c r="G186" i="6"/>
  <c r="F140" i="19"/>
  <c r="K147" i="28"/>
  <c r="F186" i="6"/>
  <c r="E167" i="17"/>
  <c r="F179" i="20"/>
  <c r="F178" i="23"/>
  <c r="C186" i="23"/>
  <c r="G175" i="18"/>
  <c r="G160" i="18"/>
  <c r="K138" i="23"/>
  <c r="K125" i="17"/>
  <c r="F162" i="21"/>
  <c r="F186" i="23"/>
  <c r="G164" i="6"/>
  <c r="C119" i="20"/>
  <c r="AE32" i="30" s="1"/>
  <c r="K115" i="28"/>
  <c r="C115" i="28"/>
  <c r="I147" i="28"/>
  <c r="K123" i="28"/>
  <c r="C186" i="6"/>
  <c r="F154" i="21"/>
  <c r="E179" i="20"/>
  <c r="E185" i="20"/>
  <c r="G183" i="18"/>
  <c r="G185" i="20"/>
  <c r="K118" i="20"/>
  <c r="G118" i="20"/>
  <c r="G138" i="23"/>
  <c r="C183" i="18"/>
  <c r="E172" i="6"/>
  <c r="G175" i="17"/>
  <c r="C142" i="20"/>
  <c r="I123" i="28"/>
  <c r="C161" i="19"/>
  <c r="C179" i="20"/>
  <c r="C185" i="20"/>
  <c r="F129" i="28"/>
  <c r="F113" i="28"/>
  <c r="K112" i="20"/>
  <c r="F136" i="23"/>
  <c r="M132" i="28"/>
  <c r="V178" i="21"/>
  <c r="E178" i="21"/>
  <c r="C178" i="21"/>
  <c r="G178" i="21"/>
  <c r="F178" i="21"/>
  <c r="M137" i="23"/>
  <c r="F137" i="23"/>
  <c r="G137" i="23"/>
  <c r="K137" i="23"/>
  <c r="C137" i="23"/>
  <c r="F140" i="20"/>
  <c r="C140" i="20"/>
  <c r="C136" i="6"/>
  <c r="G136" i="6"/>
  <c r="C121" i="6"/>
  <c r="C68" i="30" s="1"/>
  <c r="K121" i="6"/>
  <c r="S160" i="21"/>
  <c r="E160" i="21"/>
  <c r="C160" i="21"/>
  <c r="G160" i="21"/>
  <c r="F160" i="21"/>
  <c r="E184" i="20"/>
  <c r="F184" i="20"/>
  <c r="G184" i="20"/>
  <c r="C184" i="20"/>
  <c r="G166" i="18"/>
  <c r="E166" i="18"/>
  <c r="F166" i="18"/>
  <c r="C166" i="18"/>
  <c r="F188" i="17"/>
  <c r="C188" i="17"/>
  <c r="G188" i="17"/>
  <c r="G137" i="17"/>
  <c r="K137" i="17"/>
  <c r="G116" i="17"/>
  <c r="K116" i="17"/>
  <c r="G178" i="20"/>
  <c r="E178" i="20"/>
  <c r="C178" i="20"/>
  <c r="F178" i="20"/>
  <c r="E152" i="23"/>
  <c r="I152" i="23" s="1"/>
  <c r="C152" i="23"/>
  <c r="U174" i="21"/>
  <c r="G174" i="21"/>
  <c r="C174" i="21"/>
  <c r="E174" i="21"/>
  <c r="F174" i="21"/>
  <c r="V163" i="17"/>
  <c r="E163" i="17"/>
  <c r="G163" i="17"/>
  <c r="F163" i="17"/>
  <c r="C163" i="17"/>
  <c r="M121" i="21"/>
  <c r="G121" i="21"/>
  <c r="K121" i="21"/>
  <c r="I121" i="21"/>
  <c r="C121" i="21"/>
  <c r="F121" i="21"/>
  <c r="I136" i="21"/>
  <c r="K136" i="21"/>
  <c r="F136" i="21"/>
  <c r="C136" i="21"/>
  <c r="I128" i="21"/>
  <c r="F128" i="21"/>
  <c r="K128" i="21"/>
  <c r="C128" i="21"/>
  <c r="I113" i="20"/>
  <c r="M113" i="20"/>
  <c r="G113" i="20"/>
  <c r="C113" i="20"/>
  <c r="AE26" i="30" s="1"/>
  <c r="W164" i="21"/>
  <c r="G164" i="21"/>
  <c r="F164" i="21"/>
  <c r="E164" i="21"/>
  <c r="C164" i="21"/>
  <c r="V174" i="6"/>
  <c r="E174" i="6"/>
  <c r="C174" i="6"/>
  <c r="F174" i="6"/>
  <c r="G174" i="6"/>
  <c r="M135" i="21"/>
  <c r="I135" i="21"/>
  <c r="G135" i="21"/>
  <c r="F140" i="28"/>
  <c r="G140" i="28"/>
  <c r="C140" i="28"/>
  <c r="I140" i="28"/>
  <c r="K140" i="28"/>
  <c r="G166" i="20"/>
  <c r="C166" i="20"/>
  <c r="U165" i="28"/>
  <c r="C165" i="28"/>
  <c r="G165" i="28"/>
  <c r="E165" i="28"/>
  <c r="F165" i="28"/>
  <c r="G179" i="23"/>
  <c r="E179" i="23"/>
  <c r="C179" i="23"/>
  <c r="F179" i="23"/>
  <c r="K134" i="20"/>
  <c r="E123" i="28"/>
  <c r="F113" i="21"/>
  <c r="K126" i="20"/>
  <c r="M137" i="28"/>
  <c r="G137" i="21"/>
  <c r="K119" i="20"/>
  <c r="M113" i="28"/>
  <c r="M145" i="28"/>
  <c r="M145" i="21"/>
  <c r="G158" i="23"/>
  <c r="M121" i="23"/>
  <c r="Q68" i="30" s="1"/>
  <c r="K142" i="20"/>
  <c r="M129" i="28"/>
  <c r="G140" i="6"/>
  <c r="K140" i="6"/>
  <c r="E187" i="20"/>
  <c r="C187" i="20"/>
  <c r="F187" i="20"/>
  <c r="G187" i="20"/>
  <c r="F181" i="6"/>
  <c r="G164" i="17"/>
  <c r="E164" i="17"/>
  <c r="F164" i="17"/>
  <c r="C164" i="17"/>
  <c r="M110" i="20"/>
  <c r="AH23" i="30" s="1"/>
  <c r="K110" i="20"/>
  <c r="G110" i="20"/>
  <c r="F124" i="28"/>
  <c r="G124" i="28"/>
  <c r="F116" i="28"/>
  <c r="G116" i="28"/>
  <c r="M116" i="28"/>
  <c r="F124" i="23"/>
  <c r="G124" i="23"/>
  <c r="W183" i="21"/>
  <c r="C183" i="21"/>
  <c r="E183" i="21"/>
  <c r="F183" i="21"/>
  <c r="G183" i="21"/>
  <c r="G155" i="21"/>
  <c r="C155" i="21"/>
  <c r="E155" i="21"/>
  <c r="C186" i="28"/>
  <c r="E186" i="28"/>
  <c r="G186" i="28"/>
  <c r="W157" i="28"/>
  <c r="F157" i="28"/>
  <c r="C157" i="28"/>
  <c r="G157" i="28"/>
  <c r="C153" i="23"/>
  <c r="G185" i="19"/>
  <c r="F185" i="19"/>
  <c r="C185" i="19"/>
  <c r="E185" i="19"/>
  <c r="G177" i="19"/>
  <c r="F177" i="19"/>
  <c r="C177" i="19"/>
  <c r="E177" i="19"/>
  <c r="F169" i="19"/>
  <c r="G169" i="19"/>
  <c r="E169" i="19"/>
  <c r="C169" i="19"/>
  <c r="W169" i="19"/>
  <c r="W170" i="17"/>
  <c r="F170" i="17"/>
  <c r="E170" i="17"/>
  <c r="R170" i="17"/>
  <c r="C170" i="17"/>
  <c r="G170" i="17"/>
  <c r="E157" i="17"/>
  <c r="C157" i="17"/>
  <c r="C180" i="28"/>
  <c r="G180" i="28"/>
  <c r="E180" i="28"/>
  <c r="F180" i="28"/>
  <c r="W188" i="6"/>
  <c r="C188" i="6"/>
  <c r="G188" i="6"/>
  <c r="F188" i="6"/>
  <c r="E188" i="6"/>
  <c r="K123" i="21"/>
  <c r="F122" i="6"/>
  <c r="I121" i="20"/>
  <c r="M147" i="28"/>
  <c r="E147" i="28"/>
  <c r="E139" i="28"/>
  <c r="M139" i="28"/>
  <c r="M131" i="28"/>
  <c r="E131" i="28"/>
  <c r="F131" i="23"/>
  <c r="G131" i="23"/>
  <c r="K131" i="23"/>
  <c r="G182" i="21"/>
  <c r="F182" i="21"/>
  <c r="C182" i="21"/>
  <c r="C175" i="21"/>
  <c r="E175" i="21"/>
  <c r="V168" i="21"/>
  <c r="C168" i="21"/>
  <c r="F168" i="21"/>
  <c r="G168" i="21"/>
  <c r="E168" i="21"/>
  <c r="E161" i="21"/>
  <c r="F161" i="21"/>
  <c r="G161" i="21"/>
  <c r="U171" i="28"/>
  <c r="E171" i="28"/>
  <c r="C171" i="28"/>
  <c r="V156" i="28"/>
  <c r="C156" i="28"/>
  <c r="E156" i="28"/>
  <c r="F156" i="28"/>
  <c r="G156" i="28"/>
  <c r="K140" i="17"/>
  <c r="C133" i="6"/>
  <c r="G136" i="20"/>
  <c r="F136" i="20"/>
  <c r="F146" i="28"/>
  <c r="G146" i="28"/>
  <c r="F114" i="28"/>
  <c r="G114" i="28"/>
  <c r="M114" i="28"/>
  <c r="K147" i="23"/>
  <c r="F147" i="23"/>
  <c r="G147" i="23"/>
  <c r="K130" i="23"/>
  <c r="F130" i="23"/>
  <c r="M119" i="17"/>
  <c r="G119" i="17"/>
  <c r="K119" i="17"/>
  <c r="K112" i="17"/>
  <c r="F189" i="21"/>
  <c r="C189" i="21"/>
  <c r="E189" i="21"/>
  <c r="G189" i="21"/>
  <c r="N170" i="28"/>
  <c r="G170" i="28"/>
  <c r="F170" i="28"/>
  <c r="C170" i="28"/>
  <c r="E170" i="28"/>
  <c r="G163" i="28"/>
  <c r="E163" i="28"/>
  <c r="C163" i="28"/>
  <c r="V179" i="6"/>
  <c r="G179" i="6"/>
  <c r="F179" i="6"/>
  <c r="C179" i="6"/>
  <c r="G157" i="6"/>
  <c r="C157" i="6"/>
  <c r="E157" i="6"/>
  <c r="V157" i="6" s="1"/>
  <c r="E159" i="18"/>
  <c r="U159" i="18" s="1"/>
  <c r="C159" i="18"/>
  <c r="W189" i="17"/>
  <c r="G189" i="17"/>
  <c r="C189" i="17"/>
  <c r="E189" i="17"/>
  <c r="F189" i="17"/>
  <c r="U182" i="17"/>
  <c r="E182" i="17"/>
  <c r="C182" i="17"/>
  <c r="G182" i="17"/>
  <c r="E162" i="17"/>
  <c r="G162" i="17"/>
  <c r="F162" i="17"/>
  <c r="I142" i="23"/>
  <c r="M142" i="23"/>
  <c r="G142" i="23"/>
  <c r="W181" i="20"/>
  <c r="C181" i="20"/>
  <c r="E181" i="20"/>
  <c r="F181" i="20"/>
  <c r="G181" i="20"/>
  <c r="M139" i="21"/>
  <c r="F130" i="6"/>
  <c r="G130" i="6"/>
  <c r="K120" i="18"/>
  <c r="F120" i="18"/>
  <c r="G158" i="20"/>
  <c r="C158" i="20"/>
  <c r="W171" i="6"/>
  <c r="G171" i="6"/>
  <c r="F171" i="6"/>
  <c r="C171" i="6"/>
  <c r="E171" i="6"/>
  <c r="G171" i="23"/>
  <c r="C171" i="23"/>
  <c r="G163" i="23"/>
  <c r="C163" i="23"/>
  <c r="E163" i="23"/>
  <c r="K163" i="23" s="1"/>
  <c r="C166" i="19"/>
  <c r="E166" i="19"/>
  <c r="G166" i="19"/>
  <c r="F166" i="19"/>
  <c r="F162" i="18"/>
  <c r="G162" i="18"/>
  <c r="C162" i="18"/>
  <c r="C131" i="20"/>
  <c r="C140" i="6"/>
  <c r="C181" i="6"/>
  <c r="K145" i="23"/>
  <c r="F145" i="23"/>
  <c r="G145" i="23"/>
  <c r="I113" i="23"/>
  <c r="K113" i="23"/>
  <c r="F113" i="23"/>
  <c r="G113" i="23"/>
  <c r="M127" i="18"/>
  <c r="G127" i="18"/>
  <c r="K127" i="18"/>
  <c r="C112" i="18"/>
  <c r="F112" i="18"/>
  <c r="F168" i="28"/>
  <c r="G168" i="28"/>
  <c r="C168" i="28"/>
  <c r="W170" i="6"/>
  <c r="G170" i="6"/>
  <c r="C170" i="6"/>
  <c r="T170" i="6"/>
  <c r="E170" i="6"/>
  <c r="F170" i="6"/>
  <c r="G187" i="18"/>
  <c r="E187" i="18"/>
  <c r="F187" i="18"/>
  <c r="W179" i="18"/>
  <c r="G179" i="18"/>
  <c r="E179" i="18"/>
  <c r="F179" i="18"/>
  <c r="C179" i="18"/>
  <c r="G171" i="18"/>
  <c r="E171" i="18"/>
  <c r="F171" i="18"/>
  <c r="C171" i="18"/>
  <c r="F165" i="18"/>
  <c r="G165" i="18"/>
  <c r="C165" i="18"/>
  <c r="V174" i="17"/>
  <c r="F174" i="17"/>
  <c r="E174" i="17"/>
  <c r="G174" i="17"/>
  <c r="M147" i="21"/>
  <c r="F147" i="21"/>
  <c r="G147" i="21"/>
  <c r="M131" i="21"/>
  <c r="G131" i="21"/>
  <c r="G123" i="21"/>
  <c r="F123" i="21"/>
  <c r="M115" i="21"/>
  <c r="F115" i="21"/>
  <c r="G115" i="21"/>
  <c r="F142" i="6"/>
  <c r="G142" i="6"/>
  <c r="F120" i="23"/>
  <c r="K120" i="23"/>
  <c r="G120" i="23"/>
  <c r="F112" i="23"/>
  <c r="G112" i="23"/>
  <c r="M142" i="19"/>
  <c r="F142" i="19"/>
  <c r="G142" i="19"/>
  <c r="M134" i="19"/>
  <c r="F134" i="19"/>
  <c r="G134" i="19"/>
  <c r="K134" i="18"/>
  <c r="F134" i="18"/>
  <c r="W189" i="20"/>
  <c r="G189" i="20"/>
  <c r="C189" i="20"/>
  <c r="F189" i="20"/>
  <c r="E189" i="20"/>
  <c r="G177" i="20"/>
  <c r="F177" i="20"/>
  <c r="C177" i="20"/>
  <c r="W189" i="28"/>
  <c r="F189" i="28"/>
  <c r="G189" i="28"/>
  <c r="E189" i="28"/>
  <c r="C189" i="28"/>
  <c r="U174" i="28"/>
  <c r="E174" i="28"/>
  <c r="F174" i="28"/>
  <c r="C174" i="28"/>
  <c r="E162" i="6"/>
  <c r="I162" i="6" s="1"/>
  <c r="C162" i="6"/>
  <c r="G162" i="6"/>
  <c r="W180" i="17"/>
  <c r="E180" i="17"/>
  <c r="C180" i="17"/>
  <c r="G180" i="17"/>
  <c r="F180" i="17"/>
  <c r="M119" i="23"/>
  <c r="Q66" i="30" s="1"/>
  <c r="G119" i="23"/>
  <c r="K119" i="23"/>
  <c r="F110" i="18"/>
  <c r="K110" i="18"/>
  <c r="M135" i="17"/>
  <c r="G135" i="17"/>
  <c r="M129" i="17"/>
  <c r="K129" i="17"/>
  <c r="G129" i="17"/>
  <c r="G169" i="20"/>
  <c r="E169" i="20"/>
  <c r="C169" i="20"/>
  <c r="F169" i="20"/>
  <c r="W181" i="28"/>
  <c r="G181" i="28"/>
  <c r="F181" i="28"/>
  <c r="E181" i="28"/>
  <c r="C181" i="28"/>
  <c r="V173" i="28"/>
  <c r="F173" i="28"/>
  <c r="G166" i="28"/>
  <c r="C166" i="28"/>
  <c r="E182" i="6"/>
  <c r="C182" i="6"/>
  <c r="F182" i="6"/>
  <c r="S175" i="6"/>
  <c r="G175" i="6"/>
  <c r="C168" i="6"/>
  <c r="E168" i="6"/>
  <c r="G168" i="6"/>
  <c r="F168" i="6"/>
  <c r="E161" i="6"/>
  <c r="N161" i="6" s="1"/>
  <c r="C161" i="6"/>
  <c r="V183" i="23"/>
  <c r="F183" i="23"/>
  <c r="G176" i="23"/>
  <c r="F176" i="23"/>
  <c r="M138" i="28"/>
  <c r="M117" i="28"/>
  <c r="M125" i="28"/>
  <c r="K113" i="20"/>
  <c r="W160" i="21"/>
  <c r="I120" i="20"/>
  <c r="M120" i="20"/>
  <c r="AH33" i="30" s="1"/>
  <c r="C120" i="20"/>
  <c r="AE33" i="30" s="1"/>
  <c r="G120" i="20"/>
  <c r="K120" i="20"/>
  <c r="I130" i="21"/>
  <c r="K130" i="21"/>
  <c r="C130" i="21"/>
  <c r="I114" i="21"/>
  <c r="C114" i="21"/>
  <c r="K114" i="21"/>
  <c r="K135" i="20"/>
  <c r="C135" i="20"/>
  <c r="C144" i="21"/>
  <c r="K144" i="21"/>
  <c r="I144" i="21"/>
  <c r="F120" i="21"/>
  <c r="C120" i="21"/>
  <c r="I120" i="21"/>
  <c r="K120" i="21"/>
  <c r="G144" i="20"/>
  <c r="C144" i="20"/>
  <c r="F144" i="20"/>
  <c r="C139" i="20"/>
  <c r="K139" i="20"/>
  <c r="M143" i="21"/>
  <c r="I143" i="21"/>
  <c r="F143" i="21"/>
  <c r="K143" i="21"/>
  <c r="G143" i="21"/>
  <c r="C143" i="21"/>
  <c r="G128" i="20"/>
  <c r="F128" i="20"/>
  <c r="C128" i="20"/>
  <c r="M118" i="28"/>
  <c r="C118" i="28"/>
  <c r="F118" i="28"/>
  <c r="I118" i="28"/>
  <c r="G118" i="28"/>
  <c r="K118" i="28"/>
  <c r="K118" i="6"/>
  <c r="G118" i="6"/>
  <c r="C118" i="6"/>
  <c r="C65" i="30" s="1"/>
  <c r="C110" i="21"/>
  <c r="F110" i="21"/>
  <c r="M115" i="20"/>
  <c r="AH28" i="30" s="1"/>
  <c r="K115" i="20"/>
  <c r="G115" i="20"/>
  <c r="C115" i="20"/>
  <c r="AE28" i="30" s="1"/>
  <c r="K132" i="21"/>
  <c r="C132" i="21"/>
  <c r="F132" i="21"/>
  <c r="I132" i="21"/>
  <c r="C147" i="20"/>
  <c r="K147" i="20"/>
  <c r="K141" i="6"/>
  <c r="C141" i="6"/>
  <c r="M139" i="23"/>
  <c r="E169" i="23"/>
  <c r="V169" i="23" s="1"/>
  <c r="G169" i="23"/>
  <c r="C139" i="23"/>
  <c r="C129" i="21"/>
  <c r="E173" i="28"/>
  <c r="C159" i="17"/>
  <c r="G163" i="6"/>
  <c r="F130" i="28"/>
  <c r="F138" i="6"/>
  <c r="G126" i="6"/>
  <c r="G132" i="23"/>
  <c r="G127" i="23"/>
  <c r="G122" i="17"/>
  <c r="M123" i="21"/>
  <c r="M126" i="28"/>
  <c r="M111" i="28"/>
  <c r="M112" i="6"/>
  <c r="G59" i="30" s="1"/>
  <c r="I120" i="23"/>
  <c r="M120" i="23"/>
  <c r="Q67" i="30" s="1"/>
  <c r="U173" i="20"/>
  <c r="W173" i="20"/>
  <c r="V184" i="6"/>
  <c r="P184" i="6"/>
  <c r="E157" i="18"/>
  <c r="V157" i="18" s="1"/>
  <c r="G157" i="18"/>
  <c r="G114" i="20"/>
  <c r="M114" i="20"/>
  <c r="AH27" i="30" s="1"/>
  <c r="I120" i="28"/>
  <c r="C137" i="21"/>
  <c r="C138" i="6"/>
  <c r="C146" i="20"/>
  <c r="C111" i="20"/>
  <c r="AE24" i="30" s="1"/>
  <c r="K129" i="21"/>
  <c r="E187" i="6"/>
  <c r="C167" i="21"/>
  <c r="C163" i="6"/>
  <c r="E167" i="21"/>
  <c r="G173" i="28"/>
  <c r="F126" i="6"/>
  <c r="G114" i="6"/>
  <c r="F132" i="23"/>
  <c r="M140" i="28"/>
  <c r="E111" i="28"/>
  <c r="I130" i="23"/>
  <c r="M130" i="23"/>
  <c r="Q77" i="30" s="1"/>
  <c r="M122" i="17"/>
  <c r="C132" i="6"/>
  <c r="I129" i="21"/>
  <c r="C114" i="20"/>
  <c r="AE27" i="30" s="1"/>
  <c r="C154" i="21"/>
  <c r="C187" i="6"/>
  <c r="C175" i="6"/>
  <c r="F167" i="21"/>
  <c r="G167" i="21"/>
  <c r="G154" i="21"/>
  <c r="F128" i="28"/>
  <c r="K111" i="20"/>
  <c r="K132" i="6"/>
  <c r="K127" i="23"/>
  <c r="F114" i="6"/>
  <c r="E115" i="28"/>
  <c r="M115" i="28"/>
  <c r="I112" i="23"/>
  <c r="M112" i="23"/>
  <c r="Q59" i="30" s="1"/>
  <c r="M141" i="17"/>
  <c r="E160" i="20"/>
  <c r="V160" i="20" s="1"/>
  <c r="G160" i="20"/>
  <c r="E153" i="19"/>
  <c r="O153" i="19" s="1"/>
  <c r="E155" i="18"/>
  <c r="V155" i="18" s="1"/>
  <c r="W167" i="17"/>
  <c r="V167" i="17"/>
  <c r="K130" i="28"/>
  <c r="C126" i="6"/>
  <c r="C73" i="30" s="1"/>
  <c r="F175" i="6"/>
  <c r="G187" i="6"/>
  <c r="F131" i="21"/>
  <c r="K139" i="23"/>
  <c r="M146" i="28"/>
  <c r="M124" i="28"/>
  <c r="I118" i="19"/>
  <c r="M118" i="19"/>
  <c r="U182" i="6"/>
  <c r="V182" i="6"/>
  <c r="E155" i="6"/>
  <c r="T155" i="6" s="1"/>
  <c r="G155" i="6"/>
  <c r="F187" i="6"/>
  <c r="E175" i="6"/>
  <c r="F129" i="21"/>
  <c r="M137" i="21"/>
  <c r="M129" i="21"/>
  <c r="I111" i="6"/>
  <c r="M111" i="6"/>
  <c r="G58" i="30" s="1"/>
  <c r="M139" i="17"/>
  <c r="M112" i="17"/>
  <c r="R168" i="21"/>
  <c r="W168" i="21"/>
  <c r="U170" i="19"/>
  <c r="T170" i="19"/>
  <c r="W170" i="19"/>
  <c r="E163" i="19"/>
  <c r="V163" i="19" s="1"/>
  <c r="M130" i="28"/>
  <c r="E153" i="6"/>
  <c r="V153" i="6" s="1"/>
  <c r="C132" i="20"/>
  <c r="E183" i="23"/>
  <c r="F188" i="18"/>
  <c r="F137" i="21"/>
  <c r="G111" i="20"/>
  <c r="G139" i="23"/>
  <c r="M147" i="23"/>
  <c r="T186" i="6"/>
  <c r="R186" i="6"/>
  <c r="E175" i="23"/>
  <c r="N175" i="23" s="1"/>
  <c r="K137" i="21"/>
  <c r="C132" i="23"/>
  <c r="K144" i="28"/>
  <c r="C169" i="23"/>
  <c r="C173" i="28"/>
  <c r="G130" i="28"/>
  <c r="F111" i="20"/>
  <c r="F139" i="23"/>
  <c r="M134" i="28"/>
  <c r="E121" i="28"/>
  <c r="I131" i="23"/>
  <c r="M131" i="23"/>
  <c r="Q78" i="30" s="1"/>
  <c r="M137" i="17"/>
  <c r="E152" i="20"/>
  <c r="N152" i="20" s="1"/>
  <c r="D152" i="20"/>
  <c r="G152" i="20"/>
  <c r="P178" i="28"/>
  <c r="V178" i="28"/>
  <c r="S161" i="28"/>
  <c r="T161" i="28"/>
  <c r="E167" i="23"/>
  <c r="V167" i="23" s="1"/>
  <c r="E161" i="19"/>
  <c r="G161" i="19"/>
  <c r="G155" i="19"/>
  <c r="E155" i="19"/>
  <c r="N155" i="19" s="1"/>
  <c r="V158" i="17"/>
  <c r="G158" i="17"/>
  <c r="W174" i="28"/>
  <c r="M145" i="23"/>
  <c r="M113" i="23"/>
  <c r="Q60" i="30" s="1"/>
  <c r="G163" i="20"/>
  <c r="G161" i="23"/>
  <c r="G154" i="18"/>
  <c r="U188" i="6"/>
  <c r="M120" i="17"/>
  <c r="E171" i="23"/>
  <c r="U171" i="23" s="1"/>
  <c r="W161" i="18"/>
  <c r="V165" i="28"/>
  <c r="M128" i="17"/>
  <c r="G157" i="17"/>
  <c r="V180" i="17"/>
  <c r="G153" i="23"/>
  <c r="U170" i="17"/>
  <c r="V171" i="6"/>
  <c r="E131" i="6"/>
  <c r="F78" i="30" s="1"/>
  <c r="I131" i="6"/>
  <c r="M131" i="6"/>
  <c r="G78" i="30" s="1"/>
  <c r="G131" i="6"/>
  <c r="K131" i="6"/>
  <c r="C131" i="6"/>
  <c r="C78" i="30" s="1"/>
  <c r="F131" i="6"/>
  <c r="E139" i="6"/>
  <c r="I139" i="6"/>
  <c r="M139" i="6"/>
  <c r="G139" i="6"/>
  <c r="K139" i="6"/>
  <c r="C139" i="6"/>
  <c r="F139" i="6"/>
  <c r="G157" i="19"/>
  <c r="E157" i="19"/>
  <c r="C157" i="19"/>
  <c r="E143" i="6"/>
  <c r="I143" i="6"/>
  <c r="M143" i="6"/>
  <c r="G143" i="6"/>
  <c r="K143" i="6"/>
  <c r="F143" i="6"/>
  <c r="C143" i="6"/>
  <c r="E138" i="21"/>
  <c r="M138" i="21"/>
  <c r="F138" i="21"/>
  <c r="G138" i="21"/>
  <c r="C138" i="21"/>
  <c r="I138" i="21"/>
  <c r="K138" i="21"/>
  <c r="E122" i="21"/>
  <c r="M122" i="21"/>
  <c r="F122" i="21"/>
  <c r="G122" i="21"/>
  <c r="I122" i="21"/>
  <c r="K122" i="21"/>
  <c r="C122" i="21"/>
  <c r="H170" i="21"/>
  <c r="I170" i="21"/>
  <c r="K170" i="21"/>
  <c r="J170" i="21"/>
  <c r="L170" i="21"/>
  <c r="M170" i="21"/>
  <c r="O170" i="21"/>
  <c r="P170" i="21"/>
  <c r="Q170" i="21"/>
  <c r="N170" i="21"/>
  <c r="S170" i="21"/>
  <c r="R170" i="21"/>
  <c r="V170" i="21"/>
  <c r="W170" i="21"/>
  <c r="T170" i="21"/>
  <c r="U170" i="21"/>
  <c r="C170" i="21"/>
  <c r="G170" i="21"/>
  <c r="E170" i="21"/>
  <c r="F170" i="21"/>
  <c r="E147" i="6"/>
  <c r="I147" i="6"/>
  <c r="M147" i="6"/>
  <c r="G147" i="6"/>
  <c r="K147" i="6"/>
  <c r="C147" i="6"/>
  <c r="F147" i="6"/>
  <c r="I115" i="6"/>
  <c r="M115" i="6"/>
  <c r="G62" i="30" s="1"/>
  <c r="G115" i="6"/>
  <c r="K115" i="6"/>
  <c r="C115" i="6"/>
  <c r="C62" i="30" s="1"/>
  <c r="F115" i="6"/>
  <c r="H186" i="21"/>
  <c r="I186" i="21"/>
  <c r="K186" i="21"/>
  <c r="J186" i="21"/>
  <c r="M186" i="21"/>
  <c r="O186" i="21"/>
  <c r="P186" i="21"/>
  <c r="Q186" i="21"/>
  <c r="N186" i="21"/>
  <c r="L186" i="21"/>
  <c r="T186" i="21"/>
  <c r="R186" i="21"/>
  <c r="W186" i="21"/>
  <c r="U186" i="21"/>
  <c r="V186" i="21"/>
  <c r="G186" i="21"/>
  <c r="S186" i="21"/>
  <c r="C186" i="21"/>
  <c r="F186" i="21"/>
  <c r="E186" i="21"/>
  <c r="E142" i="21"/>
  <c r="M142" i="21"/>
  <c r="F142" i="21"/>
  <c r="G142" i="21"/>
  <c r="C142" i="21"/>
  <c r="K142" i="21"/>
  <c r="I142" i="21"/>
  <c r="E126" i="21"/>
  <c r="M126" i="21"/>
  <c r="F126" i="21"/>
  <c r="G126" i="21"/>
  <c r="C126" i="21"/>
  <c r="I126" i="21"/>
  <c r="K126" i="21"/>
  <c r="I119" i="6"/>
  <c r="M119" i="6"/>
  <c r="G66" i="30" s="1"/>
  <c r="G119" i="6"/>
  <c r="K119" i="6"/>
  <c r="C119" i="6"/>
  <c r="C66" i="30" s="1"/>
  <c r="E141" i="21"/>
  <c r="M141" i="21"/>
  <c r="G141" i="21"/>
  <c r="I141" i="21"/>
  <c r="C141" i="21"/>
  <c r="F141" i="21"/>
  <c r="K141" i="21"/>
  <c r="E133" i="21"/>
  <c r="F133" i="21"/>
  <c r="M133" i="21"/>
  <c r="G133" i="21"/>
  <c r="K133" i="21"/>
  <c r="I133" i="21"/>
  <c r="C133" i="21"/>
  <c r="E125" i="21"/>
  <c r="M125" i="21"/>
  <c r="F125" i="21"/>
  <c r="G125" i="21"/>
  <c r="I125" i="21"/>
  <c r="C125" i="21"/>
  <c r="K125" i="21"/>
  <c r="E117" i="21"/>
  <c r="G117" i="21"/>
  <c r="I117" i="21"/>
  <c r="K117" i="21"/>
  <c r="M117" i="21"/>
  <c r="F117" i="21"/>
  <c r="C117" i="21"/>
  <c r="E123" i="6"/>
  <c r="F70" i="30" s="1"/>
  <c r="I123" i="6"/>
  <c r="M123" i="6"/>
  <c r="G70" i="30" s="1"/>
  <c r="G123" i="6"/>
  <c r="K123" i="6"/>
  <c r="C123" i="6"/>
  <c r="C70" i="30" s="1"/>
  <c r="F123" i="6"/>
  <c r="E135" i="6"/>
  <c r="I135" i="6"/>
  <c r="M135" i="6"/>
  <c r="G135" i="6"/>
  <c r="K135" i="6"/>
  <c r="F135" i="6"/>
  <c r="C135" i="6"/>
  <c r="E127" i="6"/>
  <c r="F74" i="30" s="1"/>
  <c r="I127" i="6"/>
  <c r="M127" i="6"/>
  <c r="G74" i="30" s="1"/>
  <c r="G127" i="6"/>
  <c r="K127" i="6"/>
  <c r="F127" i="6"/>
  <c r="C127" i="6"/>
  <c r="C74" i="30" s="1"/>
  <c r="H155" i="28"/>
  <c r="I155" i="28"/>
  <c r="J155" i="28"/>
  <c r="M155" i="28"/>
  <c r="Q155" i="28"/>
  <c r="L155" i="28"/>
  <c r="S155" i="28"/>
  <c r="O155" i="28"/>
  <c r="R155" i="28"/>
  <c r="K155" i="28"/>
  <c r="N155" i="28"/>
  <c r="P155" i="28"/>
  <c r="T155" i="28"/>
  <c r="U155" i="28"/>
  <c r="W155" i="28"/>
  <c r="C155" i="28"/>
  <c r="F155" i="28"/>
  <c r="V155" i="28"/>
  <c r="G155" i="28"/>
  <c r="E155" i="28"/>
  <c r="E145" i="20"/>
  <c r="I145" i="20"/>
  <c r="M145" i="20"/>
  <c r="G145" i="20"/>
  <c r="K145" i="20"/>
  <c r="E129" i="20"/>
  <c r="I129" i="20"/>
  <c r="M129" i="20"/>
  <c r="G129" i="20"/>
  <c r="K129" i="20"/>
  <c r="I117" i="20"/>
  <c r="M117" i="20"/>
  <c r="AH30" i="30" s="1"/>
  <c r="G117" i="20"/>
  <c r="K117" i="20"/>
  <c r="C128" i="18"/>
  <c r="C112" i="28"/>
  <c r="C120" i="19"/>
  <c r="K120" i="28"/>
  <c r="I111" i="21"/>
  <c r="F111" i="21"/>
  <c r="K144" i="20"/>
  <c r="K128" i="20"/>
  <c r="K136" i="19"/>
  <c r="K120" i="19"/>
  <c r="E146" i="21"/>
  <c r="M146" i="21"/>
  <c r="F146" i="21"/>
  <c r="G146" i="21"/>
  <c r="E130" i="21"/>
  <c r="M130" i="21"/>
  <c r="F130" i="21"/>
  <c r="G130" i="21"/>
  <c r="E114" i="21"/>
  <c r="M114" i="21"/>
  <c r="F114" i="21"/>
  <c r="G114" i="21"/>
  <c r="E112" i="21"/>
  <c r="G112" i="21"/>
  <c r="M112" i="21"/>
  <c r="I123" i="20"/>
  <c r="F123" i="20"/>
  <c r="G123" i="20"/>
  <c r="I112" i="20"/>
  <c r="G145" i="28"/>
  <c r="G137" i="28"/>
  <c r="G129" i="28"/>
  <c r="G121" i="28"/>
  <c r="G113" i="28"/>
  <c r="I146" i="6"/>
  <c r="E146" i="6"/>
  <c r="K146" i="6"/>
  <c r="M146" i="6"/>
  <c r="E142" i="6"/>
  <c r="I142" i="6"/>
  <c r="M142" i="6"/>
  <c r="I138" i="6"/>
  <c r="E138" i="6"/>
  <c r="K138" i="6"/>
  <c r="M138" i="6"/>
  <c r="E134" i="6"/>
  <c r="I134" i="6"/>
  <c r="M134" i="6"/>
  <c r="I130" i="6"/>
  <c r="E130" i="6"/>
  <c r="F77" i="30" s="1"/>
  <c r="K130" i="6"/>
  <c r="M130" i="6"/>
  <c r="G77" i="30" s="1"/>
  <c r="E126" i="6"/>
  <c r="F73" i="30" s="1"/>
  <c r="I126" i="6"/>
  <c r="M126" i="6"/>
  <c r="G73" i="30" s="1"/>
  <c r="I122" i="6"/>
  <c r="E122" i="6"/>
  <c r="F69" i="30" s="1"/>
  <c r="K122" i="6"/>
  <c r="M122" i="6"/>
  <c r="G69" i="30" s="1"/>
  <c r="I118" i="6"/>
  <c r="M118" i="6"/>
  <c r="G65" i="30" s="1"/>
  <c r="I114" i="6"/>
  <c r="K114" i="6"/>
  <c r="M114" i="6"/>
  <c r="G61" i="30" s="1"/>
  <c r="E142" i="23"/>
  <c r="F142" i="23"/>
  <c r="K142" i="23"/>
  <c r="E134" i="23"/>
  <c r="I134" i="23"/>
  <c r="F134" i="23"/>
  <c r="K134" i="23"/>
  <c r="I123" i="23"/>
  <c r="F123" i="23"/>
  <c r="I115" i="23"/>
  <c r="F115" i="23"/>
  <c r="E147" i="19"/>
  <c r="I147" i="19"/>
  <c r="F147" i="19"/>
  <c r="K147" i="19"/>
  <c r="M147" i="19"/>
  <c r="G147" i="19"/>
  <c r="E142" i="19"/>
  <c r="I142" i="19"/>
  <c r="K142" i="19"/>
  <c r="E131" i="19"/>
  <c r="I131" i="19"/>
  <c r="F131" i="19"/>
  <c r="K131" i="19"/>
  <c r="M131" i="19"/>
  <c r="G131" i="19"/>
  <c r="E126" i="19"/>
  <c r="I126" i="19"/>
  <c r="K126" i="19"/>
  <c r="M120" i="19"/>
  <c r="I112" i="19"/>
  <c r="M112" i="19"/>
  <c r="G112" i="19"/>
  <c r="E145" i="18"/>
  <c r="I145" i="18"/>
  <c r="F145" i="18"/>
  <c r="K145" i="18"/>
  <c r="G145" i="18"/>
  <c r="I134" i="18"/>
  <c r="E134" i="18"/>
  <c r="M134" i="18"/>
  <c r="G134" i="18"/>
  <c r="E129" i="18"/>
  <c r="I129" i="18"/>
  <c r="F129" i="18"/>
  <c r="K129" i="18"/>
  <c r="G129" i="18"/>
  <c r="M123" i="18"/>
  <c r="I118" i="18"/>
  <c r="E118" i="18"/>
  <c r="M118" i="18"/>
  <c r="G118" i="18"/>
  <c r="I113" i="18"/>
  <c r="F113" i="18"/>
  <c r="K113" i="18"/>
  <c r="G113" i="18"/>
  <c r="I147" i="17"/>
  <c r="E147" i="17"/>
  <c r="G147" i="17"/>
  <c r="M147" i="17"/>
  <c r="K147" i="17"/>
  <c r="I143" i="17"/>
  <c r="E143" i="17"/>
  <c r="K143" i="17"/>
  <c r="G143" i="17"/>
  <c r="M143" i="17"/>
  <c r="I140" i="17"/>
  <c r="E140" i="17"/>
  <c r="G140" i="17"/>
  <c r="M140" i="17"/>
  <c r="I123" i="17"/>
  <c r="E123" i="17"/>
  <c r="M123" i="17"/>
  <c r="G123" i="17"/>
  <c r="K123" i="17"/>
  <c r="H180" i="21"/>
  <c r="I180" i="21"/>
  <c r="J180" i="21"/>
  <c r="K180" i="21"/>
  <c r="L180" i="21"/>
  <c r="M180" i="21"/>
  <c r="N180" i="21"/>
  <c r="Q180" i="21"/>
  <c r="R180" i="21"/>
  <c r="P180" i="21"/>
  <c r="O180" i="21"/>
  <c r="S180" i="21"/>
  <c r="V180" i="21"/>
  <c r="U180" i="21"/>
  <c r="W180" i="21"/>
  <c r="T180" i="21"/>
  <c r="G180" i="21"/>
  <c r="H172" i="20"/>
  <c r="I172" i="20"/>
  <c r="J172" i="20"/>
  <c r="L172" i="20"/>
  <c r="O172" i="20"/>
  <c r="P172" i="20"/>
  <c r="K172" i="20"/>
  <c r="N172" i="20"/>
  <c r="S172" i="20"/>
  <c r="M172" i="20"/>
  <c r="Q172" i="20"/>
  <c r="T172" i="20"/>
  <c r="U172" i="20"/>
  <c r="R172" i="20"/>
  <c r="E172" i="20"/>
  <c r="W172" i="20"/>
  <c r="G172" i="20"/>
  <c r="E167" i="20"/>
  <c r="H167" i="20" s="1"/>
  <c r="H183" i="28"/>
  <c r="I183" i="28"/>
  <c r="K183" i="28"/>
  <c r="J183" i="28"/>
  <c r="L183" i="28"/>
  <c r="M183" i="28"/>
  <c r="Q183" i="28"/>
  <c r="P183" i="28"/>
  <c r="O183" i="28"/>
  <c r="T183" i="28"/>
  <c r="U183" i="28"/>
  <c r="N183" i="28"/>
  <c r="R183" i="28"/>
  <c r="S183" i="28"/>
  <c r="V183" i="28"/>
  <c r="G183" i="28"/>
  <c r="F183" i="28"/>
  <c r="W183" i="28"/>
  <c r="H169" i="6"/>
  <c r="I169" i="6"/>
  <c r="J169" i="6"/>
  <c r="K169" i="6"/>
  <c r="M169" i="6"/>
  <c r="L169" i="6"/>
  <c r="Q169" i="6"/>
  <c r="S169" i="6"/>
  <c r="N169" i="6"/>
  <c r="R169" i="6"/>
  <c r="P169" i="6"/>
  <c r="T169" i="6"/>
  <c r="O169" i="6"/>
  <c r="W169" i="6"/>
  <c r="V169" i="6"/>
  <c r="U169" i="6"/>
  <c r="E164" i="6"/>
  <c r="L164" i="6" s="1"/>
  <c r="C164" i="6"/>
  <c r="E156" i="23"/>
  <c r="G156" i="23"/>
  <c r="E140" i="21"/>
  <c r="G140" i="21"/>
  <c r="M140" i="21"/>
  <c r="E135" i="21"/>
  <c r="E144" i="28"/>
  <c r="E141" i="19"/>
  <c r="I141" i="19"/>
  <c r="M141" i="19"/>
  <c r="F141" i="19"/>
  <c r="I136" i="19"/>
  <c r="E136" i="19"/>
  <c r="G136" i="19"/>
  <c r="E173" i="23"/>
  <c r="M173" i="23" s="1"/>
  <c r="G173" i="23"/>
  <c r="F176" i="20"/>
  <c r="C186" i="20"/>
  <c r="F135" i="21"/>
  <c r="G120" i="28"/>
  <c r="E145" i="21"/>
  <c r="E134" i="21"/>
  <c r="M134" i="21"/>
  <c r="F134" i="21"/>
  <c r="G134" i="21"/>
  <c r="E129" i="21"/>
  <c r="E118" i="21"/>
  <c r="M118" i="21"/>
  <c r="F118" i="21"/>
  <c r="G118" i="21"/>
  <c r="E113" i="21"/>
  <c r="I125" i="20"/>
  <c r="M125" i="20"/>
  <c r="O125" i="20" s="1"/>
  <c r="G125" i="20"/>
  <c r="K125" i="20"/>
  <c r="I114" i="20"/>
  <c r="K114" i="20"/>
  <c r="M120" i="28"/>
  <c r="F143" i="28"/>
  <c r="G143" i="28"/>
  <c r="F135" i="28"/>
  <c r="G135" i="28"/>
  <c r="F127" i="28"/>
  <c r="G127" i="28"/>
  <c r="F119" i="28"/>
  <c r="G119" i="28"/>
  <c r="E145" i="6"/>
  <c r="I145" i="6"/>
  <c r="M145" i="6"/>
  <c r="F145" i="6"/>
  <c r="G145" i="6"/>
  <c r="E141" i="6"/>
  <c r="I141" i="6"/>
  <c r="M141" i="6"/>
  <c r="F141" i="6"/>
  <c r="G141" i="6"/>
  <c r="E137" i="6"/>
  <c r="I137" i="6"/>
  <c r="M137" i="6"/>
  <c r="F137" i="6"/>
  <c r="G137" i="6"/>
  <c r="E133" i="6"/>
  <c r="I133" i="6"/>
  <c r="M133" i="6"/>
  <c r="F133" i="6"/>
  <c r="G133" i="6"/>
  <c r="I129" i="6"/>
  <c r="E129" i="6"/>
  <c r="F76" i="30" s="1"/>
  <c r="M129" i="6"/>
  <c r="G76" i="30" s="1"/>
  <c r="F129" i="6"/>
  <c r="G129" i="6"/>
  <c r="E125" i="6"/>
  <c r="F72" i="30" s="1"/>
  <c r="I125" i="6"/>
  <c r="M125" i="6"/>
  <c r="G72" i="30" s="1"/>
  <c r="F125" i="6"/>
  <c r="G125" i="6"/>
  <c r="E121" i="6"/>
  <c r="F68" i="30" s="1"/>
  <c r="I121" i="6"/>
  <c r="M121" i="6"/>
  <c r="G68" i="30" s="1"/>
  <c r="F121" i="6"/>
  <c r="G121" i="6"/>
  <c r="I117" i="6"/>
  <c r="M117" i="6"/>
  <c r="G64" i="30" s="1"/>
  <c r="F117" i="6"/>
  <c r="G117" i="6"/>
  <c r="I113" i="6"/>
  <c r="M113" i="6"/>
  <c r="G60" i="30" s="1"/>
  <c r="F113" i="6"/>
  <c r="G113" i="6"/>
  <c r="E144" i="23"/>
  <c r="I144" i="23"/>
  <c r="K144" i="23"/>
  <c r="E136" i="23"/>
  <c r="I136" i="23"/>
  <c r="K136" i="23"/>
  <c r="I125" i="23"/>
  <c r="M125" i="23"/>
  <c r="Q72" i="30" s="1"/>
  <c r="F125" i="23"/>
  <c r="K125" i="23"/>
  <c r="G125" i="23"/>
  <c r="I117" i="23"/>
  <c r="M117" i="23"/>
  <c r="Q64" i="30" s="1"/>
  <c r="F117" i="23"/>
  <c r="K117" i="23"/>
  <c r="G117" i="23"/>
  <c r="I146" i="19"/>
  <c r="E146" i="19"/>
  <c r="I135" i="19"/>
  <c r="E135" i="19"/>
  <c r="F135" i="19"/>
  <c r="M135" i="19"/>
  <c r="G135" i="19"/>
  <c r="K135" i="19"/>
  <c r="I130" i="19"/>
  <c r="E130" i="19"/>
  <c r="I119" i="19"/>
  <c r="F119" i="19"/>
  <c r="M119" i="19"/>
  <c r="G119" i="19"/>
  <c r="K119" i="19"/>
  <c r="I111" i="19"/>
  <c r="F111" i="19"/>
  <c r="G111" i="19"/>
  <c r="K111" i="19"/>
  <c r="E138" i="18"/>
  <c r="I138" i="18"/>
  <c r="M138" i="18"/>
  <c r="K138" i="18"/>
  <c r="G138" i="18"/>
  <c r="I133" i="18"/>
  <c r="E133" i="18"/>
  <c r="F133" i="18"/>
  <c r="G133" i="18"/>
  <c r="K133" i="18"/>
  <c r="E122" i="18"/>
  <c r="I122" i="18"/>
  <c r="M122" i="18"/>
  <c r="K122" i="18"/>
  <c r="G122" i="18"/>
  <c r="I117" i="18"/>
  <c r="E117" i="18"/>
  <c r="F117" i="18"/>
  <c r="G117" i="18"/>
  <c r="K117" i="18"/>
  <c r="E146" i="17"/>
  <c r="I146" i="17"/>
  <c r="K146" i="17"/>
  <c r="M146" i="17"/>
  <c r="G146" i="17"/>
  <c r="I142" i="17"/>
  <c r="E142" i="17"/>
  <c r="M142" i="17"/>
  <c r="G142" i="17"/>
  <c r="I134" i="17"/>
  <c r="E134" i="17"/>
  <c r="M134" i="17"/>
  <c r="G134" i="17"/>
  <c r="D152" i="21"/>
  <c r="G152" i="21"/>
  <c r="E152" i="21"/>
  <c r="J152" i="21" s="1"/>
  <c r="H167" i="28"/>
  <c r="I167" i="28"/>
  <c r="L167" i="28"/>
  <c r="K167" i="28"/>
  <c r="J167" i="28"/>
  <c r="M167" i="28"/>
  <c r="Q167" i="28"/>
  <c r="P167" i="28"/>
  <c r="O167" i="28"/>
  <c r="U167" i="28"/>
  <c r="R167" i="28"/>
  <c r="S167" i="28"/>
  <c r="N167" i="28"/>
  <c r="E167" i="28"/>
  <c r="W167" i="28"/>
  <c r="V167" i="28"/>
  <c r="H177" i="6"/>
  <c r="I177" i="6"/>
  <c r="J177" i="6"/>
  <c r="K177" i="6"/>
  <c r="M177" i="6"/>
  <c r="L177" i="6"/>
  <c r="Q177" i="6"/>
  <c r="S177" i="6"/>
  <c r="O177" i="6"/>
  <c r="R177" i="6"/>
  <c r="N177" i="6"/>
  <c r="P177" i="6"/>
  <c r="T177" i="6"/>
  <c r="U177" i="6"/>
  <c r="V177" i="6"/>
  <c r="W177" i="6"/>
  <c r="C177" i="6"/>
  <c r="E172" i="23"/>
  <c r="G172" i="23"/>
  <c r="E166" i="23"/>
  <c r="I166" i="23" s="1"/>
  <c r="C166" i="23"/>
  <c r="G166" i="23"/>
  <c r="E162" i="23"/>
  <c r="J162" i="23" s="1"/>
  <c r="G162" i="23"/>
  <c r="G156" i="17"/>
  <c r="E156" i="17"/>
  <c r="I156" i="17" s="1"/>
  <c r="E152" i="17"/>
  <c r="L152" i="17" s="1"/>
  <c r="D152" i="17"/>
  <c r="C152" i="17"/>
  <c r="E128" i="28"/>
  <c r="I129" i="23"/>
  <c r="G129" i="23"/>
  <c r="K129" i="23"/>
  <c r="I122" i="23"/>
  <c r="M122" i="23"/>
  <c r="Q69" i="30" s="1"/>
  <c r="G122" i="23"/>
  <c r="I127" i="17"/>
  <c r="E127" i="17"/>
  <c r="K127" i="17"/>
  <c r="G127" i="17"/>
  <c r="M127" i="17"/>
  <c r="F140" i="21"/>
  <c r="F120" i="28"/>
  <c r="F136" i="19"/>
  <c r="E144" i="21"/>
  <c r="G144" i="21"/>
  <c r="M144" i="21"/>
  <c r="E139" i="21"/>
  <c r="E128" i="21"/>
  <c r="G128" i="21"/>
  <c r="M128" i="21"/>
  <c r="E123" i="21"/>
  <c r="M111" i="21"/>
  <c r="I110" i="21"/>
  <c r="D110" i="21"/>
  <c r="K110" i="21"/>
  <c r="M110" i="21"/>
  <c r="I144" i="20"/>
  <c r="E144" i="20"/>
  <c r="M144" i="20"/>
  <c r="E140" i="20"/>
  <c r="I140" i="20"/>
  <c r="K140" i="20"/>
  <c r="M140" i="20"/>
  <c r="I136" i="20"/>
  <c r="E136" i="20"/>
  <c r="M136" i="20"/>
  <c r="E132" i="20"/>
  <c r="I132" i="20"/>
  <c r="K132" i="20"/>
  <c r="M132" i="20"/>
  <c r="I128" i="20"/>
  <c r="E128" i="20"/>
  <c r="M128" i="20"/>
  <c r="M128" i="28"/>
  <c r="M119" i="28"/>
  <c r="I133" i="23"/>
  <c r="E133" i="23"/>
  <c r="G133" i="23"/>
  <c r="K133" i="23"/>
  <c r="I128" i="23"/>
  <c r="K128" i="23"/>
  <c r="I145" i="19"/>
  <c r="E145" i="19"/>
  <c r="M145" i="19"/>
  <c r="F145" i="19"/>
  <c r="E140" i="19"/>
  <c r="I140" i="19"/>
  <c r="K140" i="19"/>
  <c r="G140" i="19"/>
  <c r="I129" i="19"/>
  <c r="E129" i="19"/>
  <c r="M129" i="19"/>
  <c r="F129" i="19"/>
  <c r="E124" i="19"/>
  <c r="I124" i="19"/>
  <c r="K124" i="19"/>
  <c r="G124" i="19"/>
  <c r="I110" i="19"/>
  <c r="D110" i="19"/>
  <c r="M110" i="19"/>
  <c r="K110" i="19"/>
  <c r="E143" i="18"/>
  <c r="I143" i="18"/>
  <c r="F143" i="18"/>
  <c r="I132" i="18"/>
  <c r="E132" i="18"/>
  <c r="M132" i="18"/>
  <c r="K132" i="18"/>
  <c r="G132" i="18"/>
  <c r="E127" i="18"/>
  <c r="I127" i="18"/>
  <c r="F127" i="18"/>
  <c r="I116" i="18"/>
  <c r="M116" i="18"/>
  <c r="K116" i="18"/>
  <c r="G116" i="18"/>
  <c r="H162" i="21"/>
  <c r="I162" i="21"/>
  <c r="K162" i="21"/>
  <c r="M162" i="21"/>
  <c r="L162" i="21"/>
  <c r="J162" i="21"/>
  <c r="O162" i="21"/>
  <c r="P162" i="21"/>
  <c r="N162" i="21"/>
  <c r="S162" i="21"/>
  <c r="R162" i="21"/>
  <c r="T162" i="21"/>
  <c r="W162" i="21"/>
  <c r="V162" i="21"/>
  <c r="Q162" i="21"/>
  <c r="G162" i="21"/>
  <c r="E162" i="21"/>
  <c r="H170" i="20"/>
  <c r="I170" i="20"/>
  <c r="J170" i="20"/>
  <c r="K170" i="20"/>
  <c r="M170" i="20"/>
  <c r="N170" i="20"/>
  <c r="Q170" i="20"/>
  <c r="T170" i="20"/>
  <c r="P170" i="20"/>
  <c r="L170" i="20"/>
  <c r="O170" i="20"/>
  <c r="S170" i="20"/>
  <c r="V170" i="20"/>
  <c r="R170" i="20"/>
  <c r="W170" i="20"/>
  <c r="U170" i="20"/>
  <c r="C170" i="20"/>
  <c r="G162" i="20"/>
  <c r="E162" i="20"/>
  <c r="P162" i="20" s="1"/>
  <c r="H181" i="6"/>
  <c r="I181" i="6"/>
  <c r="J181" i="6"/>
  <c r="K181" i="6"/>
  <c r="L181" i="6"/>
  <c r="Q181" i="6"/>
  <c r="N181" i="6"/>
  <c r="O181" i="6"/>
  <c r="S181" i="6"/>
  <c r="M181" i="6"/>
  <c r="R181" i="6"/>
  <c r="U181" i="6"/>
  <c r="P181" i="6"/>
  <c r="T181" i="6"/>
  <c r="V181" i="6"/>
  <c r="E181" i="6"/>
  <c r="G181" i="6"/>
  <c r="E152" i="6"/>
  <c r="R152" i="6" s="1"/>
  <c r="G152" i="6"/>
  <c r="D152" i="6"/>
  <c r="H183" i="23"/>
  <c r="I183" i="23"/>
  <c r="J183" i="23"/>
  <c r="K183" i="23"/>
  <c r="L183" i="23"/>
  <c r="M183" i="23"/>
  <c r="N183" i="23"/>
  <c r="S183" i="23"/>
  <c r="O183" i="23"/>
  <c r="Q183" i="23"/>
  <c r="R183" i="23"/>
  <c r="T183" i="23"/>
  <c r="P183" i="23"/>
  <c r="U183" i="23"/>
  <c r="W183" i="23"/>
  <c r="G183" i="23"/>
  <c r="C183" i="23"/>
  <c r="H177" i="23"/>
  <c r="J177" i="23"/>
  <c r="I177" i="23"/>
  <c r="K177" i="23"/>
  <c r="M177" i="23"/>
  <c r="P177" i="23"/>
  <c r="R177" i="23"/>
  <c r="L177" i="23"/>
  <c r="O177" i="23"/>
  <c r="Q177" i="23"/>
  <c r="N177" i="23"/>
  <c r="S177" i="23"/>
  <c r="U177" i="23"/>
  <c r="T177" i="23"/>
  <c r="V177" i="23"/>
  <c r="C177" i="23"/>
  <c r="H188" i="18"/>
  <c r="J188" i="18"/>
  <c r="I188" i="18"/>
  <c r="K188" i="18"/>
  <c r="L188" i="18"/>
  <c r="N188" i="18"/>
  <c r="O188" i="18"/>
  <c r="T188" i="18"/>
  <c r="M188" i="18"/>
  <c r="V188" i="18"/>
  <c r="P188" i="18"/>
  <c r="R188" i="18"/>
  <c r="U188" i="18"/>
  <c r="Q188" i="18"/>
  <c r="S188" i="18"/>
  <c r="G188" i="18"/>
  <c r="H175" i="18"/>
  <c r="K175" i="18"/>
  <c r="J175" i="18"/>
  <c r="L175" i="18"/>
  <c r="I175" i="18"/>
  <c r="M175" i="18"/>
  <c r="N175" i="18"/>
  <c r="P175" i="18"/>
  <c r="O175" i="18"/>
  <c r="R175" i="18"/>
  <c r="T175" i="18"/>
  <c r="Q175" i="18"/>
  <c r="V175" i="18"/>
  <c r="U175" i="18"/>
  <c r="W175" i="18"/>
  <c r="S175" i="18"/>
  <c r="C175" i="18"/>
  <c r="I169" i="18"/>
  <c r="J169" i="18"/>
  <c r="H169" i="18"/>
  <c r="L169" i="18"/>
  <c r="N169" i="18"/>
  <c r="M169" i="18"/>
  <c r="K169" i="18"/>
  <c r="Q169" i="18"/>
  <c r="S169" i="18"/>
  <c r="P169" i="18"/>
  <c r="T169" i="18"/>
  <c r="O169" i="18"/>
  <c r="U169" i="18"/>
  <c r="W169" i="18"/>
  <c r="R169" i="18"/>
  <c r="V169" i="18"/>
  <c r="H162" i="18"/>
  <c r="K162" i="18"/>
  <c r="J162" i="18"/>
  <c r="L162" i="18"/>
  <c r="N162" i="18"/>
  <c r="I162" i="18"/>
  <c r="M162" i="18"/>
  <c r="Q162" i="18"/>
  <c r="R162" i="18"/>
  <c r="P162" i="18"/>
  <c r="T162" i="18"/>
  <c r="S162" i="18"/>
  <c r="O162" i="18"/>
  <c r="U162" i="18"/>
  <c r="V162" i="18"/>
  <c r="W162" i="18"/>
  <c r="E162" i="18"/>
  <c r="E158" i="18"/>
  <c r="G158" i="18"/>
  <c r="C158" i="18"/>
  <c r="H188" i="17"/>
  <c r="I188" i="17"/>
  <c r="J188" i="17"/>
  <c r="K188" i="17"/>
  <c r="L188" i="17"/>
  <c r="M188" i="17"/>
  <c r="N188" i="17"/>
  <c r="P188" i="17"/>
  <c r="R188" i="17"/>
  <c r="Q188" i="17"/>
  <c r="T188" i="17"/>
  <c r="O188" i="17"/>
  <c r="S188" i="17"/>
  <c r="U188" i="17"/>
  <c r="V188" i="17"/>
  <c r="W188" i="17"/>
  <c r="E188" i="17"/>
  <c r="H177" i="17"/>
  <c r="J177" i="17"/>
  <c r="I177" i="17"/>
  <c r="K177" i="17"/>
  <c r="L177" i="17"/>
  <c r="M177" i="17"/>
  <c r="N177" i="17"/>
  <c r="P177" i="17"/>
  <c r="R177" i="17"/>
  <c r="O177" i="17"/>
  <c r="T177" i="17"/>
  <c r="S177" i="17"/>
  <c r="Q177" i="17"/>
  <c r="U177" i="17"/>
  <c r="W177" i="17"/>
  <c r="V177" i="17"/>
  <c r="F177" i="17"/>
  <c r="G177" i="17"/>
  <c r="E177" i="17"/>
  <c r="W177" i="23"/>
  <c r="E124" i="21"/>
  <c r="G124" i="21"/>
  <c r="M124" i="21"/>
  <c r="E119" i="21"/>
  <c r="E141" i="20"/>
  <c r="I141" i="20"/>
  <c r="M141" i="20"/>
  <c r="G141" i="20"/>
  <c r="K141" i="20"/>
  <c r="E137" i="20"/>
  <c r="I137" i="20"/>
  <c r="M137" i="20"/>
  <c r="G137" i="20"/>
  <c r="K137" i="20"/>
  <c r="E133" i="20"/>
  <c r="I133" i="20"/>
  <c r="M133" i="20"/>
  <c r="G133" i="20"/>
  <c r="K133" i="20"/>
  <c r="I122" i="20"/>
  <c r="M122" i="20"/>
  <c r="AH35" i="30" s="1"/>
  <c r="F122" i="20"/>
  <c r="K122" i="20"/>
  <c r="E136" i="28"/>
  <c r="H173" i="6"/>
  <c r="I173" i="6"/>
  <c r="J173" i="6"/>
  <c r="K173" i="6"/>
  <c r="L173" i="6"/>
  <c r="M173" i="6"/>
  <c r="Q173" i="6"/>
  <c r="P173" i="6"/>
  <c r="O173" i="6"/>
  <c r="N173" i="6"/>
  <c r="U173" i="6"/>
  <c r="R173" i="6"/>
  <c r="S173" i="6"/>
  <c r="T173" i="6"/>
  <c r="V173" i="6"/>
  <c r="W173" i="6"/>
  <c r="F173" i="6"/>
  <c r="G173" i="6"/>
  <c r="E173" i="6"/>
  <c r="I144" i="28"/>
  <c r="K124" i="21"/>
  <c r="K135" i="21"/>
  <c r="C145" i="20"/>
  <c r="C122" i="23"/>
  <c r="M69" i="30" s="1"/>
  <c r="K112" i="28"/>
  <c r="I124" i="21"/>
  <c r="C135" i="21"/>
  <c r="C136" i="19"/>
  <c r="C141" i="19"/>
  <c r="C141" i="20"/>
  <c r="C119" i="21"/>
  <c r="I136" i="28"/>
  <c r="I112" i="28"/>
  <c r="K113" i="21"/>
  <c r="F187" i="28"/>
  <c r="G145" i="21"/>
  <c r="G139" i="21"/>
  <c r="F127" i="21"/>
  <c r="G113" i="21"/>
  <c r="G144" i="28"/>
  <c r="K136" i="20"/>
  <c r="K145" i="6"/>
  <c r="K129" i="6"/>
  <c r="K113" i="6"/>
  <c r="G110" i="21"/>
  <c r="G140" i="20"/>
  <c r="G132" i="20"/>
  <c r="G124" i="20"/>
  <c r="G136" i="23"/>
  <c r="E111" i="21"/>
  <c r="I119" i="20"/>
  <c r="G119" i="20"/>
  <c r="I116" i="20"/>
  <c r="M116" i="20"/>
  <c r="AH29" i="30" s="1"/>
  <c r="K116" i="20"/>
  <c r="M136" i="28"/>
  <c r="M127" i="28"/>
  <c r="E119" i="28"/>
  <c r="G141" i="28"/>
  <c r="G133" i="28"/>
  <c r="G125" i="28"/>
  <c r="G117" i="28"/>
  <c r="G105" i="28"/>
  <c r="E40" i="28"/>
  <c r="F40" i="28" s="1"/>
  <c r="E39" i="28"/>
  <c r="F39" i="28" s="1"/>
  <c r="E41" i="28"/>
  <c r="F41" i="28" s="1"/>
  <c r="D110" i="28"/>
  <c r="M110" i="28"/>
  <c r="E144" i="6"/>
  <c r="I144" i="6"/>
  <c r="F144" i="6"/>
  <c r="K144" i="6"/>
  <c r="M144" i="6"/>
  <c r="E140" i="6"/>
  <c r="I140" i="6"/>
  <c r="F140" i="6"/>
  <c r="M140" i="6"/>
  <c r="E136" i="6"/>
  <c r="I136" i="6"/>
  <c r="F136" i="6"/>
  <c r="K136" i="6"/>
  <c r="M136" i="6"/>
  <c r="E132" i="6"/>
  <c r="I132" i="6"/>
  <c r="F132" i="6"/>
  <c r="M132" i="6"/>
  <c r="E128" i="6"/>
  <c r="F75" i="30" s="1"/>
  <c r="I128" i="6"/>
  <c r="F128" i="6"/>
  <c r="K128" i="6"/>
  <c r="M128" i="6"/>
  <c r="G75" i="30" s="1"/>
  <c r="E124" i="6"/>
  <c r="F71" i="30" s="1"/>
  <c r="I124" i="6"/>
  <c r="F124" i="6"/>
  <c r="M124" i="6"/>
  <c r="G71" i="30" s="1"/>
  <c r="I120" i="6"/>
  <c r="F120" i="6"/>
  <c r="K120" i="6"/>
  <c r="M120" i="6"/>
  <c r="G67" i="30" s="1"/>
  <c r="I116" i="6"/>
  <c r="F116" i="6"/>
  <c r="M116" i="6"/>
  <c r="I146" i="23"/>
  <c r="E146" i="23"/>
  <c r="F146" i="23"/>
  <c r="I138" i="23"/>
  <c r="E138" i="23"/>
  <c r="F138" i="23"/>
  <c r="E139" i="19"/>
  <c r="I139" i="19"/>
  <c r="F139" i="19"/>
  <c r="K139" i="19"/>
  <c r="M139" i="19"/>
  <c r="G139" i="19"/>
  <c r="E134" i="19"/>
  <c r="I134" i="19"/>
  <c r="K134" i="19"/>
  <c r="E123" i="19"/>
  <c r="I123" i="19"/>
  <c r="F123" i="19"/>
  <c r="K123" i="19"/>
  <c r="M123" i="19"/>
  <c r="G123" i="19"/>
  <c r="I115" i="19"/>
  <c r="K115" i="19"/>
  <c r="G115" i="19"/>
  <c r="I142" i="18"/>
  <c r="E142" i="18"/>
  <c r="M142" i="18"/>
  <c r="G142" i="18"/>
  <c r="E137" i="18"/>
  <c r="I137" i="18"/>
  <c r="F137" i="18"/>
  <c r="K137" i="18"/>
  <c r="G137" i="18"/>
  <c r="I126" i="18"/>
  <c r="E126" i="18"/>
  <c r="M126" i="18"/>
  <c r="G126" i="18"/>
  <c r="E121" i="18"/>
  <c r="I121" i="18"/>
  <c r="F121" i="18"/>
  <c r="K121" i="18"/>
  <c r="G121" i="18"/>
  <c r="E145" i="17"/>
  <c r="I145" i="17"/>
  <c r="M145" i="17"/>
  <c r="E136" i="17"/>
  <c r="I136" i="17"/>
  <c r="K136" i="17"/>
  <c r="G136" i="17"/>
  <c r="M136" i="17"/>
  <c r="E121" i="17"/>
  <c r="I121" i="17"/>
  <c r="M121" i="17"/>
  <c r="I118" i="17"/>
  <c r="E118" i="17"/>
  <c r="M118" i="17"/>
  <c r="G118" i="17"/>
  <c r="I111" i="17"/>
  <c r="M111" i="17"/>
  <c r="K111" i="17"/>
  <c r="G111" i="17"/>
  <c r="H161" i="21"/>
  <c r="I161" i="21"/>
  <c r="K161" i="21"/>
  <c r="M161" i="21"/>
  <c r="L161" i="21"/>
  <c r="J161" i="21"/>
  <c r="O161" i="21"/>
  <c r="Q161" i="21"/>
  <c r="S161" i="21"/>
  <c r="R161" i="21"/>
  <c r="P161" i="21"/>
  <c r="N161" i="21"/>
  <c r="T161" i="21"/>
  <c r="U161" i="21"/>
  <c r="V161" i="21"/>
  <c r="W161" i="21"/>
  <c r="C161" i="21"/>
  <c r="G165" i="20"/>
  <c r="E165" i="20"/>
  <c r="E159" i="20"/>
  <c r="O159" i="20" s="1"/>
  <c r="E156" i="20"/>
  <c r="O156" i="20" s="1"/>
  <c r="G156" i="20"/>
  <c r="C156" i="20"/>
  <c r="H185" i="6"/>
  <c r="I185" i="6"/>
  <c r="J185" i="6"/>
  <c r="L185" i="6"/>
  <c r="M185" i="6"/>
  <c r="K185" i="6"/>
  <c r="Q185" i="6"/>
  <c r="S185" i="6"/>
  <c r="N185" i="6"/>
  <c r="R185" i="6"/>
  <c r="P185" i="6"/>
  <c r="O185" i="6"/>
  <c r="U185" i="6"/>
  <c r="T185" i="6"/>
  <c r="W185" i="6"/>
  <c r="V185" i="6"/>
  <c r="G185" i="6"/>
  <c r="E185" i="6"/>
  <c r="H189" i="23"/>
  <c r="J189" i="23"/>
  <c r="I189" i="23"/>
  <c r="L189" i="23"/>
  <c r="K189" i="23"/>
  <c r="M189" i="23"/>
  <c r="N189" i="23"/>
  <c r="P189" i="23"/>
  <c r="R189" i="23"/>
  <c r="O189" i="23"/>
  <c r="Q189" i="23"/>
  <c r="V189" i="23"/>
  <c r="T189" i="23"/>
  <c r="S189" i="23"/>
  <c r="U189" i="23"/>
  <c r="W189" i="23"/>
  <c r="G189" i="23"/>
  <c r="F189" i="23"/>
  <c r="H176" i="23"/>
  <c r="J176" i="23"/>
  <c r="K176" i="23"/>
  <c r="I176" i="23"/>
  <c r="M176" i="23"/>
  <c r="P176" i="23"/>
  <c r="O176" i="23"/>
  <c r="Q176" i="23"/>
  <c r="T176" i="23"/>
  <c r="R176" i="23"/>
  <c r="N176" i="23"/>
  <c r="U176" i="23"/>
  <c r="L176" i="23"/>
  <c r="S176" i="23"/>
  <c r="V176" i="23"/>
  <c r="C176" i="23"/>
  <c r="W176" i="23"/>
  <c r="E176" i="23"/>
  <c r="H187" i="18"/>
  <c r="J187" i="18"/>
  <c r="I187" i="18"/>
  <c r="K187" i="18"/>
  <c r="L187" i="18"/>
  <c r="N187" i="18"/>
  <c r="M187" i="18"/>
  <c r="P187" i="18"/>
  <c r="O187" i="18"/>
  <c r="Q187" i="18"/>
  <c r="S187" i="18"/>
  <c r="U187" i="18"/>
  <c r="R187" i="18"/>
  <c r="T187" i="18"/>
  <c r="V187" i="18"/>
  <c r="C187" i="18"/>
  <c r="W187" i="18"/>
  <c r="H181" i="18"/>
  <c r="I181" i="18"/>
  <c r="J181" i="18"/>
  <c r="M181" i="18"/>
  <c r="K181" i="18"/>
  <c r="Q181" i="18"/>
  <c r="L181" i="18"/>
  <c r="R181" i="18"/>
  <c r="T181" i="18"/>
  <c r="N181" i="18"/>
  <c r="P181" i="18"/>
  <c r="S181" i="18"/>
  <c r="U181" i="18"/>
  <c r="V181" i="18"/>
  <c r="O181" i="18"/>
  <c r="W181" i="18"/>
  <c r="E181" i="18"/>
  <c r="G181" i="18"/>
  <c r="F181" i="18"/>
  <c r="H174" i="18"/>
  <c r="J174" i="18"/>
  <c r="I174" i="18"/>
  <c r="K174" i="18"/>
  <c r="M174" i="18"/>
  <c r="L174" i="18"/>
  <c r="P174" i="18"/>
  <c r="Q174" i="18"/>
  <c r="R174" i="18"/>
  <c r="N174" i="18"/>
  <c r="S174" i="18"/>
  <c r="O174" i="18"/>
  <c r="T174" i="18"/>
  <c r="V174" i="18"/>
  <c r="W174" i="18"/>
  <c r="U174" i="18"/>
  <c r="E174" i="18"/>
  <c r="C174" i="18"/>
  <c r="I168" i="18"/>
  <c r="J168" i="18"/>
  <c r="L168" i="18"/>
  <c r="N168" i="18"/>
  <c r="M168" i="18"/>
  <c r="K168" i="18"/>
  <c r="H168" i="18"/>
  <c r="O168" i="18"/>
  <c r="S168" i="18"/>
  <c r="R168" i="18"/>
  <c r="Q168" i="18"/>
  <c r="T168" i="18"/>
  <c r="W168" i="18"/>
  <c r="P168" i="18"/>
  <c r="U168" i="18"/>
  <c r="V168" i="18"/>
  <c r="G168" i="18"/>
  <c r="F168" i="18"/>
  <c r="C168" i="18"/>
  <c r="I176" i="17"/>
  <c r="H176" i="17"/>
  <c r="K176" i="17"/>
  <c r="L176" i="17"/>
  <c r="J176" i="17"/>
  <c r="M176" i="17"/>
  <c r="N176" i="17"/>
  <c r="P176" i="17"/>
  <c r="R176" i="17"/>
  <c r="O176" i="17"/>
  <c r="Q176" i="17"/>
  <c r="U176" i="17"/>
  <c r="S176" i="17"/>
  <c r="V176" i="17"/>
  <c r="T176" i="17"/>
  <c r="W176" i="17"/>
  <c r="H171" i="17"/>
  <c r="I171" i="17"/>
  <c r="K171" i="17"/>
  <c r="J171" i="17"/>
  <c r="L171" i="17"/>
  <c r="N171" i="17"/>
  <c r="Q171" i="17"/>
  <c r="R171" i="17"/>
  <c r="M171" i="17"/>
  <c r="S171" i="17"/>
  <c r="O171" i="17"/>
  <c r="U171" i="17"/>
  <c r="V171" i="17"/>
  <c r="T171" i="17"/>
  <c r="P171" i="17"/>
  <c r="W171" i="17"/>
  <c r="C171" i="17"/>
  <c r="E112" i="28"/>
  <c r="E125" i="19"/>
  <c r="I125" i="19"/>
  <c r="M125" i="19"/>
  <c r="F125" i="19"/>
  <c r="I120" i="19"/>
  <c r="G120" i="19"/>
  <c r="I116" i="19"/>
  <c r="K116" i="19"/>
  <c r="M116" i="19"/>
  <c r="G116" i="19"/>
  <c r="E144" i="18"/>
  <c r="I144" i="18"/>
  <c r="M144" i="18"/>
  <c r="E139" i="18"/>
  <c r="I139" i="18"/>
  <c r="F139" i="18"/>
  <c r="I112" i="18"/>
  <c r="M112" i="18"/>
  <c r="G112" i="18"/>
  <c r="C129" i="23"/>
  <c r="M76" i="30" s="1"/>
  <c r="C139" i="18"/>
  <c r="C116" i="19"/>
  <c r="K128" i="28"/>
  <c r="C173" i="23"/>
  <c r="G119" i="21"/>
  <c r="F144" i="28"/>
  <c r="F112" i="28"/>
  <c r="K141" i="19"/>
  <c r="K125" i="19"/>
  <c r="G139" i="18"/>
  <c r="E143" i="21"/>
  <c r="E132" i="21"/>
  <c r="G132" i="21"/>
  <c r="M132" i="21"/>
  <c r="E127" i="21"/>
  <c r="E116" i="21"/>
  <c r="G116" i="21"/>
  <c r="M116" i="21"/>
  <c r="E147" i="20"/>
  <c r="I147" i="20"/>
  <c r="M147" i="20"/>
  <c r="F147" i="20"/>
  <c r="G147" i="20"/>
  <c r="I143" i="20"/>
  <c r="E143" i="20"/>
  <c r="M143" i="20"/>
  <c r="F143" i="20"/>
  <c r="G143" i="20"/>
  <c r="E139" i="20"/>
  <c r="I139" i="20"/>
  <c r="M139" i="20"/>
  <c r="F139" i="20"/>
  <c r="G139" i="20"/>
  <c r="I135" i="20"/>
  <c r="E135" i="20"/>
  <c r="M135" i="20"/>
  <c r="F135" i="20"/>
  <c r="G135" i="20"/>
  <c r="E131" i="20"/>
  <c r="I131" i="20"/>
  <c r="M131" i="20"/>
  <c r="F131" i="20"/>
  <c r="G131" i="20"/>
  <c r="I127" i="20"/>
  <c r="E127" i="20"/>
  <c r="M127" i="20"/>
  <c r="F127" i="20"/>
  <c r="G127" i="20"/>
  <c r="I124" i="20"/>
  <c r="M124" i="20"/>
  <c r="K124" i="20"/>
  <c r="M144" i="28"/>
  <c r="M135" i="28"/>
  <c r="E127" i="28"/>
  <c r="I132" i="23"/>
  <c r="E132" i="23"/>
  <c r="M132" i="23"/>
  <c r="I127" i="23"/>
  <c r="M127" i="23"/>
  <c r="Q74" i="30" s="1"/>
  <c r="I124" i="23"/>
  <c r="M124" i="23"/>
  <c r="Q71" i="30" s="1"/>
  <c r="I119" i="23"/>
  <c r="F119" i="23"/>
  <c r="I116" i="23"/>
  <c r="M116" i="23"/>
  <c r="Q63" i="30" s="1"/>
  <c r="I111" i="23"/>
  <c r="F111" i="23"/>
  <c r="I144" i="19"/>
  <c r="E144" i="19"/>
  <c r="G144" i="19"/>
  <c r="E133" i="19"/>
  <c r="I133" i="19"/>
  <c r="M133" i="19"/>
  <c r="F133" i="19"/>
  <c r="I128" i="19"/>
  <c r="E128" i="19"/>
  <c r="G128" i="19"/>
  <c r="I114" i="19"/>
  <c r="M114" i="19"/>
  <c r="E147" i="18"/>
  <c r="I147" i="18"/>
  <c r="F147" i="18"/>
  <c r="E136" i="18"/>
  <c r="I136" i="18"/>
  <c r="M136" i="18"/>
  <c r="G136" i="18"/>
  <c r="E131" i="18"/>
  <c r="I131" i="18"/>
  <c r="F131" i="18"/>
  <c r="E120" i="18"/>
  <c r="I120" i="18"/>
  <c r="M120" i="18"/>
  <c r="G120" i="18"/>
  <c r="I115" i="18"/>
  <c r="I132" i="17"/>
  <c r="E132" i="17"/>
  <c r="M132" i="17"/>
  <c r="G132" i="17"/>
  <c r="I125" i="17"/>
  <c r="E125" i="17"/>
  <c r="M125" i="17"/>
  <c r="H171" i="21"/>
  <c r="I171" i="21"/>
  <c r="J171" i="21"/>
  <c r="K171" i="21"/>
  <c r="L171" i="21"/>
  <c r="M171" i="21"/>
  <c r="P171" i="21"/>
  <c r="Q171" i="21"/>
  <c r="N171" i="21"/>
  <c r="R171" i="21"/>
  <c r="O171" i="21"/>
  <c r="U171" i="21"/>
  <c r="S171" i="21"/>
  <c r="V171" i="21"/>
  <c r="W171" i="21"/>
  <c r="T171" i="21"/>
  <c r="G171" i="21"/>
  <c r="F171" i="21"/>
  <c r="H166" i="21"/>
  <c r="I166" i="21"/>
  <c r="J166" i="21"/>
  <c r="K166" i="21"/>
  <c r="L166" i="21"/>
  <c r="M166" i="21"/>
  <c r="O166" i="21"/>
  <c r="P166" i="21"/>
  <c r="N166" i="21"/>
  <c r="S166" i="21"/>
  <c r="R166" i="21"/>
  <c r="Q166" i="21"/>
  <c r="T166" i="21"/>
  <c r="U166" i="21"/>
  <c r="W166" i="21"/>
  <c r="G166" i="21"/>
  <c r="F166" i="21"/>
  <c r="E166" i="21"/>
  <c r="V166" i="21"/>
  <c r="I189" i="6"/>
  <c r="H189" i="6"/>
  <c r="K189" i="6"/>
  <c r="L189" i="6"/>
  <c r="M189" i="6"/>
  <c r="Q189" i="6"/>
  <c r="J189" i="6"/>
  <c r="P189" i="6"/>
  <c r="O189" i="6"/>
  <c r="T189" i="6"/>
  <c r="N189" i="6"/>
  <c r="U189" i="6"/>
  <c r="V189" i="6"/>
  <c r="E189" i="6"/>
  <c r="R189" i="6"/>
  <c r="W189" i="6"/>
  <c r="G160" i="19"/>
  <c r="C160" i="19"/>
  <c r="E160" i="19"/>
  <c r="J160" i="19" s="1"/>
  <c r="T167" i="28"/>
  <c r="E128" i="18"/>
  <c r="I128" i="18"/>
  <c r="M128" i="18"/>
  <c r="G128" i="18"/>
  <c r="E123" i="18"/>
  <c r="I123" i="18"/>
  <c r="F123" i="18"/>
  <c r="H186" i="20"/>
  <c r="I186" i="20"/>
  <c r="J186" i="20"/>
  <c r="K186" i="20"/>
  <c r="L186" i="20"/>
  <c r="M186" i="20"/>
  <c r="N186" i="20"/>
  <c r="Q186" i="20"/>
  <c r="P186" i="20"/>
  <c r="O186" i="20"/>
  <c r="S186" i="20"/>
  <c r="V186" i="20"/>
  <c r="R186" i="20"/>
  <c r="T186" i="20"/>
  <c r="W186" i="20"/>
  <c r="U186" i="20"/>
  <c r="F186" i="20"/>
  <c r="H176" i="20"/>
  <c r="I176" i="20"/>
  <c r="K176" i="20"/>
  <c r="J176" i="20"/>
  <c r="L176" i="20"/>
  <c r="M176" i="20"/>
  <c r="O176" i="20"/>
  <c r="P176" i="20"/>
  <c r="Q176" i="20"/>
  <c r="R176" i="20"/>
  <c r="N176" i="20"/>
  <c r="T176" i="20"/>
  <c r="V176" i="20"/>
  <c r="U176" i="20"/>
  <c r="W176" i="20"/>
  <c r="S176" i="20"/>
  <c r="E176" i="20"/>
  <c r="G176" i="20"/>
  <c r="H187" i="28"/>
  <c r="I187" i="28"/>
  <c r="M187" i="28"/>
  <c r="J187" i="28"/>
  <c r="Q187" i="28"/>
  <c r="L187" i="28"/>
  <c r="K187" i="28"/>
  <c r="S187" i="28"/>
  <c r="O187" i="28"/>
  <c r="R187" i="28"/>
  <c r="N187" i="28"/>
  <c r="P187" i="28"/>
  <c r="T187" i="28"/>
  <c r="W187" i="28"/>
  <c r="U187" i="28"/>
  <c r="V187" i="28"/>
  <c r="E187" i="28"/>
  <c r="C144" i="18"/>
  <c r="C140" i="21"/>
  <c r="I128" i="28"/>
  <c r="I140" i="21"/>
  <c r="C133" i="20"/>
  <c r="I119" i="21"/>
  <c r="G187" i="28"/>
  <c r="F144" i="21"/>
  <c r="F119" i="21"/>
  <c r="G136" i="28"/>
  <c r="K144" i="18"/>
  <c r="K128" i="18"/>
  <c r="K112" i="18"/>
  <c r="G122" i="20"/>
  <c r="G144" i="23"/>
  <c r="G141" i="19"/>
  <c r="G125" i="19"/>
  <c r="E137" i="21"/>
  <c r="E121" i="21"/>
  <c r="M123" i="20"/>
  <c r="I118" i="20"/>
  <c r="I110" i="20"/>
  <c r="D110" i="20"/>
  <c r="F110" i="20"/>
  <c r="M143" i="28"/>
  <c r="E135" i="28"/>
  <c r="F147" i="28"/>
  <c r="G147" i="28"/>
  <c r="F139" i="28"/>
  <c r="G139" i="28"/>
  <c r="F131" i="28"/>
  <c r="G131" i="28"/>
  <c r="F123" i="28"/>
  <c r="G123" i="28"/>
  <c r="F115" i="28"/>
  <c r="G115" i="28"/>
  <c r="I110" i="6"/>
  <c r="D110" i="6"/>
  <c r="I140" i="23"/>
  <c r="E140" i="23"/>
  <c r="M123" i="23"/>
  <c r="Q70" i="30" s="1"/>
  <c r="M115" i="23"/>
  <c r="Q62" i="30" s="1"/>
  <c r="I143" i="19"/>
  <c r="E143" i="19"/>
  <c r="F143" i="19"/>
  <c r="M143" i="19"/>
  <c r="G143" i="19"/>
  <c r="K143" i="19"/>
  <c r="I138" i="19"/>
  <c r="E138" i="19"/>
  <c r="I127" i="19"/>
  <c r="E127" i="19"/>
  <c r="F127" i="19"/>
  <c r="M127" i="19"/>
  <c r="G127" i="19"/>
  <c r="K127" i="19"/>
  <c r="I122" i="19"/>
  <c r="E122" i="19"/>
  <c r="E146" i="18"/>
  <c r="I146" i="18"/>
  <c r="M146" i="18"/>
  <c r="K146" i="18"/>
  <c r="G146" i="18"/>
  <c r="I141" i="18"/>
  <c r="E141" i="18"/>
  <c r="F141" i="18"/>
  <c r="G141" i="18"/>
  <c r="K141" i="18"/>
  <c r="E130" i="18"/>
  <c r="I130" i="18"/>
  <c r="M130" i="18"/>
  <c r="K130" i="18"/>
  <c r="G130" i="18"/>
  <c r="I125" i="18"/>
  <c r="E125" i="18"/>
  <c r="F125" i="18"/>
  <c r="G125" i="18"/>
  <c r="K125" i="18"/>
  <c r="I114" i="18"/>
  <c r="M114" i="18"/>
  <c r="K114" i="18"/>
  <c r="G114" i="18"/>
  <c r="I110" i="18"/>
  <c r="M110" i="18"/>
  <c r="G110" i="18"/>
  <c r="D110" i="18"/>
  <c r="E144" i="17"/>
  <c r="I144" i="17"/>
  <c r="K144" i="17"/>
  <c r="G144" i="17"/>
  <c r="M144" i="17"/>
  <c r="E138" i="17"/>
  <c r="I138" i="17"/>
  <c r="K138" i="17"/>
  <c r="M138" i="17"/>
  <c r="G138" i="17"/>
  <c r="I117" i="17"/>
  <c r="E117" i="17"/>
  <c r="M117" i="17"/>
  <c r="I114" i="17"/>
  <c r="K114" i="17"/>
  <c r="G114" i="17"/>
  <c r="H182" i="21"/>
  <c r="I182" i="21"/>
  <c r="J182" i="21"/>
  <c r="K182" i="21"/>
  <c r="L182" i="21"/>
  <c r="O182" i="21"/>
  <c r="P182" i="21"/>
  <c r="M182" i="21"/>
  <c r="N182" i="21"/>
  <c r="S182" i="21"/>
  <c r="R182" i="21"/>
  <c r="Q182" i="21"/>
  <c r="T182" i="21"/>
  <c r="U182" i="21"/>
  <c r="V182" i="21"/>
  <c r="W182" i="21"/>
  <c r="E182" i="21"/>
  <c r="H165" i="21"/>
  <c r="K165" i="21"/>
  <c r="I165" i="21"/>
  <c r="J165" i="21"/>
  <c r="M165" i="21"/>
  <c r="O165" i="21"/>
  <c r="N165" i="21"/>
  <c r="L165" i="21"/>
  <c r="T165" i="21"/>
  <c r="R165" i="21"/>
  <c r="P165" i="21"/>
  <c r="U165" i="21"/>
  <c r="W165" i="21"/>
  <c r="Q165" i="21"/>
  <c r="S165" i="21"/>
  <c r="V165" i="21"/>
  <c r="C165" i="21"/>
  <c r="G165" i="21"/>
  <c r="H179" i="28"/>
  <c r="I179" i="28"/>
  <c r="J179" i="28"/>
  <c r="L179" i="28"/>
  <c r="M179" i="28"/>
  <c r="K179" i="28"/>
  <c r="Q179" i="28"/>
  <c r="S179" i="28"/>
  <c r="N179" i="28"/>
  <c r="R179" i="28"/>
  <c r="P179" i="28"/>
  <c r="O179" i="28"/>
  <c r="U179" i="28"/>
  <c r="T179" i="28"/>
  <c r="W179" i="28"/>
  <c r="V179" i="28"/>
  <c r="G179" i="28"/>
  <c r="H160" i="28"/>
  <c r="I160" i="28"/>
  <c r="K160" i="28"/>
  <c r="J160" i="28"/>
  <c r="L160" i="28"/>
  <c r="N160" i="28"/>
  <c r="P160" i="28"/>
  <c r="M160" i="28"/>
  <c r="R160" i="28"/>
  <c r="T160" i="28"/>
  <c r="O160" i="28"/>
  <c r="S160" i="28"/>
  <c r="Q160" i="28"/>
  <c r="U160" i="28"/>
  <c r="V160" i="28"/>
  <c r="W160" i="28"/>
  <c r="G154" i="6"/>
  <c r="H187" i="19"/>
  <c r="I187" i="19"/>
  <c r="J187" i="19"/>
  <c r="K187" i="19"/>
  <c r="M187" i="19"/>
  <c r="L187" i="19"/>
  <c r="N187" i="19"/>
  <c r="R187" i="19"/>
  <c r="S187" i="19"/>
  <c r="O187" i="19"/>
  <c r="T187" i="19"/>
  <c r="P187" i="19"/>
  <c r="Q187" i="19"/>
  <c r="U187" i="19"/>
  <c r="V187" i="19"/>
  <c r="W187" i="19"/>
  <c r="E187" i="19"/>
  <c r="F187" i="19"/>
  <c r="H181" i="19"/>
  <c r="J181" i="19"/>
  <c r="I181" i="19"/>
  <c r="L181" i="19"/>
  <c r="N181" i="19"/>
  <c r="M181" i="19"/>
  <c r="P181" i="19"/>
  <c r="O181" i="19"/>
  <c r="Q181" i="19"/>
  <c r="S181" i="19"/>
  <c r="U181" i="19"/>
  <c r="K181" i="19"/>
  <c r="T181" i="19"/>
  <c r="R181" i="19"/>
  <c r="V181" i="19"/>
  <c r="W181" i="19"/>
  <c r="E181" i="19"/>
  <c r="G181" i="19"/>
  <c r="H174" i="19"/>
  <c r="J174" i="19"/>
  <c r="I174" i="19"/>
  <c r="K174" i="19"/>
  <c r="M174" i="19"/>
  <c r="Q174" i="19"/>
  <c r="R174" i="19"/>
  <c r="L174" i="19"/>
  <c r="N174" i="19"/>
  <c r="O174" i="19"/>
  <c r="P174" i="19"/>
  <c r="S174" i="19"/>
  <c r="V174" i="19"/>
  <c r="T174" i="19"/>
  <c r="U174" i="19"/>
  <c r="W174" i="19"/>
  <c r="G174" i="19"/>
  <c r="E174" i="19"/>
  <c r="H168" i="19"/>
  <c r="J168" i="19"/>
  <c r="I168" i="19"/>
  <c r="K168" i="19"/>
  <c r="L168" i="19"/>
  <c r="N168" i="19"/>
  <c r="M168" i="19"/>
  <c r="P168" i="19"/>
  <c r="T168" i="19"/>
  <c r="R168" i="19"/>
  <c r="S168" i="19"/>
  <c r="Q168" i="19"/>
  <c r="O168" i="19"/>
  <c r="V168" i="19"/>
  <c r="W168" i="19"/>
  <c r="U168" i="19"/>
  <c r="C168" i="19"/>
  <c r="W181" i="6"/>
  <c r="W188" i="18"/>
  <c r="M112" i="28"/>
  <c r="E120" i="28"/>
  <c r="I114" i="23"/>
  <c r="M114" i="23"/>
  <c r="Q61" i="30" s="1"/>
  <c r="G114" i="23"/>
  <c r="C136" i="28"/>
  <c r="C124" i="21"/>
  <c r="C125" i="19"/>
  <c r="C129" i="20"/>
  <c r="C128" i="28"/>
  <c r="K140" i="21"/>
  <c r="C117" i="20"/>
  <c r="AE30" i="30" s="1"/>
  <c r="K119" i="21"/>
  <c r="K111" i="21"/>
  <c r="G186" i="20"/>
  <c r="F124" i="21"/>
  <c r="G111" i="21"/>
  <c r="F136" i="28"/>
  <c r="F145" i="20"/>
  <c r="F137" i="20"/>
  <c r="F129" i="20"/>
  <c r="F122" i="23"/>
  <c r="E147" i="21"/>
  <c r="E136" i="21"/>
  <c r="G136" i="21"/>
  <c r="M136" i="21"/>
  <c r="E131" i="21"/>
  <c r="E120" i="21"/>
  <c r="G120" i="21"/>
  <c r="M120" i="21"/>
  <c r="E115" i="21"/>
  <c r="E146" i="20"/>
  <c r="I146" i="20"/>
  <c r="F146" i="20"/>
  <c r="K146" i="20"/>
  <c r="M146" i="20"/>
  <c r="E142" i="20"/>
  <c r="I142" i="20"/>
  <c r="F142" i="20"/>
  <c r="M142" i="20"/>
  <c r="E138" i="20"/>
  <c r="I138" i="20"/>
  <c r="F138" i="20"/>
  <c r="K138" i="20"/>
  <c r="M138" i="20"/>
  <c r="E134" i="20"/>
  <c r="I134" i="20"/>
  <c r="F134" i="20"/>
  <c r="M134" i="20"/>
  <c r="E130" i="20"/>
  <c r="I130" i="20"/>
  <c r="F130" i="20"/>
  <c r="K130" i="20"/>
  <c r="M130" i="20"/>
  <c r="E126" i="20"/>
  <c r="I126" i="20"/>
  <c r="F126" i="20"/>
  <c r="M126" i="20"/>
  <c r="E143" i="28"/>
  <c r="I126" i="23"/>
  <c r="K126" i="23"/>
  <c r="G126" i="23"/>
  <c r="M126" i="23"/>
  <c r="Q73" i="30" s="1"/>
  <c r="I118" i="23"/>
  <c r="K118" i="23"/>
  <c r="G118" i="23"/>
  <c r="I110" i="23"/>
  <c r="K110" i="23"/>
  <c r="G110" i="23"/>
  <c r="D110" i="23"/>
  <c r="I137" i="19"/>
  <c r="E137" i="19"/>
  <c r="M137" i="19"/>
  <c r="F137" i="19"/>
  <c r="E132" i="19"/>
  <c r="I132" i="19"/>
  <c r="K132" i="19"/>
  <c r="G132" i="19"/>
  <c r="I121" i="19"/>
  <c r="M121" i="19"/>
  <c r="F121" i="19"/>
  <c r="I117" i="19"/>
  <c r="M117" i="19"/>
  <c r="I113" i="19"/>
  <c r="F113" i="19"/>
  <c r="I140" i="18"/>
  <c r="E140" i="18"/>
  <c r="M140" i="18"/>
  <c r="K140" i="18"/>
  <c r="G140" i="18"/>
  <c r="E135" i="18"/>
  <c r="I135" i="18"/>
  <c r="F135" i="18"/>
  <c r="I124" i="18"/>
  <c r="E124" i="18"/>
  <c r="M124" i="18"/>
  <c r="K124" i="18"/>
  <c r="G124" i="18"/>
  <c r="E119" i="18"/>
  <c r="I119" i="18"/>
  <c r="F119" i="18"/>
  <c r="I131" i="17"/>
  <c r="E131" i="17"/>
  <c r="G131" i="17"/>
  <c r="K131" i="17"/>
  <c r="I113" i="17"/>
  <c r="M113" i="17"/>
  <c r="H187" i="21"/>
  <c r="I187" i="21"/>
  <c r="J187" i="21"/>
  <c r="K187" i="21"/>
  <c r="M187" i="21"/>
  <c r="L187" i="21"/>
  <c r="P187" i="21"/>
  <c r="Q187" i="21"/>
  <c r="N187" i="21"/>
  <c r="R187" i="21"/>
  <c r="O187" i="21"/>
  <c r="U187" i="21"/>
  <c r="T187" i="21"/>
  <c r="W187" i="21"/>
  <c r="S187" i="21"/>
  <c r="V187" i="21"/>
  <c r="H181" i="21"/>
  <c r="J181" i="21"/>
  <c r="K181" i="21"/>
  <c r="I181" i="21"/>
  <c r="L181" i="21"/>
  <c r="M181" i="21"/>
  <c r="O181" i="21"/>
  <c r="N181" i="21"/>
  <c r="P181" i="21"/>
  <c r="T181" i="21"/>
  <c r="Q181" i="21"/>
  <c r="R181" i="21"/>
  <c r="S181" i="21"/>
  <c r="V181" i="21"/>
  <c r="U181" i="21"/>
  <c r="W181" i="21"/>
  <c r="F181" i="21"/>
  <c r="H175" i="21"/>
  <c r="I175" i="21"/>
  <c r="J175" i="21"/>
  <c r="L175" i="21"/>
  <c r="M175" i="21"/>
  <c r="N175" i="21"/>
  <c r="P175" i="21"/>
  <c r="Q175" i="21"/>
  <c r="S175" i="21"/>
  <c r="K175" i="21"/>
  <c r="O175" i="21"/>
  <c r="R175" i="21"/>
  <c r="V175" i="21"/>
  <c r="T175" i="21"/>
  <c r="W175" i="21"/>
  <c r="G175" i="21"/>
  <c r="U175" i="21"/>
  <c r="H159" i="21"/>
  <c r="I159" i="21"/>
  <c r="J159" i="21"/>
  <c r="K159" i="21"/>
  <c r="L159" i="21"/>
  <c r="N159" i="21"/>
  <c r="P159" i="21"/>
  <c r="M159" i="21"/>
  <c r="Q159" i="21"/>
  <c r="S159" i="21"/>
  <c r="O159" i="21"/>
  <c r="R159" i="21"/>
  <c r="V159" i="21"/>
  <c r="T159" i="21"/>
  <c r="W159" i="21"/>
  <c r="F159" i="21"/>
  <c r="U159" i="21"/>
  <c r="H182" i="20"/>
  <c r="J182" i="20"/>
  <c r="L182" i="20"/>
  <c r="I182" i="20"/>
  <c r="M182" i="20"/>
  <c r="K182" i="20"/>
  <c r="Q182" i="20"/>
  <c r="N182" i="20"/>
  <c r="P182" i="20"/>
  <c r="R182" i="20"/>
  <c r="U182" i="20"/>
  <c r="T182" i="20"/>
  <c r="S182" i="20"/>
  <c r="V182" i="20"/>
  <c r="W182" i="20"/>
  <c r="C182" i="20"/>
  <c r="O182" i="20"/>
  <c r="H164" i="28"/>
  <c r="J164" i="28"/>
  <c r="K164" i="28"/>
  <c r="I164" i="28"/>
  <c r="M164" i="28"/>
  <c r="N164" i="28"/>
  <c r="P164" i="28"/>
  <c r="O164" i="28"/>
  <c r="L164" i="28"/>
  <c r="U164" i="28"/>
  <c r="Q164" i="28"/>
  <c r="S164" i="28"/>
  <c r="T164" i="28"/>
  <c r="W164" i="28"/>
  <c r="V164" i="28"/>
  <c r="R164" i="28"/>
  <c r="H159" i="28"/>
  <c r="J159" i="28"/>
  <c r="I159" i="28"/>
  <c r="K159" i="28"/>
  <c r="L159" i="28"/>
  <c r="Q159" i="28"/>
  <c r="N159" i="28"/>
  <c r="M159" i="28"/>
  <c r="P159" i="28"/>
  <c r="S159" i="28"/>
  <c r="R159" i="28"/>
  <c r="U159" i="28"/>
  <c r="T159" i="28"/>
  <c r="V159" i="28"/>
  <c r="O159" i="28"/>
  <c r="C159" i="28"/>
  <c r="W159" i="28"/>
  <c r="G159" i="28"/>
  <c r="H165" i="6"/>
  <c r="J165" i="6"/>
  <c r="I165" i="6"/>
  <c r="K165" i="6"/>
  <c r="L165" i="6"/>
  <c r="Q165" i="6"/>
  <c r="N165" i="6"/>
  <c r="M165" i="6"/>
  <c r="P165" i="6"/>
  <c r="S165" i="6"/>
  <c r="R165" i="6"/>
  <c r="U165" i="6"/>
  <c r="O165" i="6"/>
  <c r="V165" i="6"/>
  <c r="W165" i="6"/>
  <c r="T165" i="6"/>
  <c r="G157" i="23"/>
  <c r="E157" i="23"/>
  <c r="H186" i="19"/>
  <c r="I186" i="19"/>
  <c r="J186" i="19"/>
  <c r="K186" i="19"/>
  <c r="L186" i="19"/>
  <c r="M186" i="19"/>
  <c r="O186" i="19"/>
  <c r="Q186" i="19"/>
  <c r="R186" i="19"/>
  <c r="S186" i="19"/>
  <c r="P186" i="19"/>
  <c r="N186" i="19"/>
  <c r="T186" i="19"/>
  <c r="V186" i="19"/>
  <c r="U186" i="19"/>
  <c r="W186" i="19"/>
  <c r="G186" i="19"/>
  <c r="H180" i="19"/>
  <c r="J180" i="19"/>
  <c r="L180" i="19"/>
  <c r="I180" i="19"/>
  <c r="N180" i="19"/>
  <c r="M180" i="19"/>
  <c r="K180" i="19"/>
  <c r="P180" i="19"/>
  <c r="O180" i="19"/>
  <c r="U180" i="19"/>
  <c r="Q180" i="19"/>
  <c r="S180" i="19"/>
  <c r="V180" i="19"/>
  <c r="T180" i="19"/>
  <c r="R180" i="19"/>
  <c r="W180" i="19"/>
  <c r="C180" i="19"/>
  <c r="H167" i="19"/>
  <c r="I167" i="19"/>
  <c r="K167" i="19"/>
  <c r="L167" i="19"/>
  <c r="J167" i="19"/>
  <c r="N167" i="19"/>
  <c r="P167" i="19"/>
  <c r="O167" i="19"/>
  <c r="Q167" i="19"/>
  <c r="R167" i="19"/>
  <c r="M167" i="19"/>
  <c r="U167" i="19"/>
  <c r="S167" i="19"/>
  <c r="V167" i="19"/>
  <c r="W167" i="19"/>
  <c r="E167" i="19"/>
  <c r="V172" i="20"/>
  <c r="E130" i="17"/>
  <c r="I130" i="17"/>
  <c r="H176" i="21"/>
  <c r="J176" i="21"/>
  <c r="L176" i="21"/>
  <c r="I176" i="21"/>
  <c r="M176" i="21"/>
  <c r="Q176" i="21"/>
  <c r="N176" i="21"/>
  <c r="K176" i="21"/>
  <c r="P176" i="21"/>
  <c r="U176" i="21"/>
  <c r="R176" i="21"/>
  <c r="T176" i="21"/>
  <c r="O176" i="21"/>
  <c r="V176" i="21"/>
  <c r="H157" i="21"/>
  <c r="K157" i="21"/>
  <c r="J157" i="21"/>
  <c r="I157" i="21"/>
  <c r="L157" i="21"/>
  <c r="M157" i="21"/>
  <c r="O157" i="21"/>
  <c r="P157" i="21"/>
  <c r="Q157" i="21"/>
  <c r="N157" i="21"/>
  <c r="R157" i="21"/>
  <c r="T157" i="21"/>
  <c r="S157" i="21"/>
  <c r="U157" i="21"/>
  <c r="W157" i="21"/>
  <c r="H168" i="20"/>
  <c r="I168" i="20"/>
  <c r="M168" i="20"/>
  <c r="L168" i="20"/>
  <c r="K168" i="20"/>
  <c r="J168" i="20"/>
  <c r="O168" i="20"/>
  <c r="P168" i="20"/>
  <c r="R168" i="20"/>
  <c r="N168" i="20"/>
  <c r="S168" i="20"/>
  <c r="T168" i="20"/>
  <c r="Q168" i="20"/>
  <c r="W168" i="20"/>
  <c r="V168" i="20"/>
  <c r="U168" i="20"/>
  <c r="E153" i="20"/>
  <c r="O153" i="20" s="1"/>
  <c r="G153" i="20"/>
  <c r="H188" i="28"/>
  <c r="K188" i="28"/>
  <c r="I188" i="28"/>
  <c r="M188" i="28"/>
  <c r="J188" i="28"/>
  <c r="L188" i="28"/>
  <c r="N188" i="28"/>
  <c r="P188" i="28"/>
  <c r="Q188" i="28"/>
  <c r="R188" i="28"/>
  <c r="U188" i="28"/>
  <c r="O188" i="28"/>
  <c r="W188" i="28"/>
  <c r="S188" i="28"/>
  <c r="T188" i="28"/>
  <c r="H156" i="28"/>
  <c r="K156" i="28"/>
  <c r="J156" i="28"/>
  <c r="I156" i="28"/>
  <c r="M156" i="28"/>
  <c r="L156" i="28"/>
  <c r="N156" i="28"/>
  <c r="P156" i="28"/>
  <c r="Q156" i="28"/>
  <c r="R156" i="28"/>
  <c r="U156" i="28"/>
  <c r="T156" i="28"/>
  <c r="O156" i="28"/>
  <c r="W156" i="28"/>
  <c r="E158" i="6"/>
  <c r="P158" i="6" s="1"/>
  <c r="G158" i="6"/>
  <c r="H184" i="23"/>
  <c r="K184" i="23"/>
  <c r="J184" i="23"/>
  <c r="L184" i="23"/>
  <c r="M184" i="23"/>
  <c r="I184" i="23"/>
  <c r="N184" i="23"/>
  <c r="P184" i="23"/>
  <c r="T184" i="23"/>
  <c r="O184" i="23"/>
  <c r="U184" i="23"/>
  <c r="Q184" i="23"/>
  <c r="R184" i="23"/>
  <c r="S184" i="23"/>
  <c r="V184" i="23"/>
  <c r="J178" i="23"/>
  <c r="H178" i="23"/>
  <c r="I178" i="23"/>
  <c r="K178" i="23"/>
  <c r="L178" i="23"/>
  <c r="N178" i="23"/>
  <c r="O178" i="23"/>
  <c r="Q178" i="23"/>
  <c r="M178" i="23"/>
  <c r="V178" i="23"/>
  <c r="P178" i="23"/>
  <c r="R178" i="23"/>
  <c r="U178" i="23"/>
  <c r="T178" i="23"/>
  <c r="W178" i="23"/>
  <c r="G160" i="23"/>
  <c r="H188" i="19"/>
  <c r="J188" i="19"/>
  <c r="K188" i="19"/>
  <c r="L188" i="19"/>
  <c r="N188" i="19"/>
  <c r="I188" i="19"/>
  <c r="M188" i="19"/>
  <c r="P188" i="19"/>
  <c r="Q188" i="19"/>
  <c r="R188" i="19"/>
  <c r="S188" i="19"/>
  <c r="O188" i="19"/>
  <c r="U188" i="19"/>
  <c r="T188" i="19"/>
  <c r="W188" i="19"/>
  <c r="H175" i="19"/>
  <c r="I175" i="19"/>
  <c r="K175" i="19"/>
  <c r="M175" i="19"/>
  <c r="R175" i="19"/>
  <c r="L175" i="19"/>
  <c r="N175" i="19"/>
  <c r="J175" i="19"/>
  <c r="P175" i="19"/>
  <c r="S175" i="19"/>
  <c r="Q175" i="19"/>
  <c r="U175" i="19"/>
  <c r="V175" i="19"/>
  <c r="T175" i="19"/>
  <c r="O175" i="19"/>
  <c r="W175" i="19"/>
  <c r="H169" i="19"/>
  <c r="J169" i="19"/>
  <c r="L169" i="19"/>
  <c r="K169" i="19"/>
  <c r="I169" i="19"/>
  <c r="M169" i="19"/>
  <c r="Q169" i="19"/>
  <c r="P169" i="19"/>
  <c r="O169" i="19"/>
  <c r="N169" i="19"/>
  <c r="R169" i="19"/>
  <c r="V169" i="19"/>
  <c r="S169" i="19"/>
  <c r="T169" i="19"/>
  <c r="U169" i="19"/>
  <c r="E158" i="19"/>
  <c r="E154" i="19"/>
  <c r="P154" i="19" s="1"/>
  <c r="G154" i="19"/>
  <c r="H189" i="18"/>
  <c r="I189" i="18"/>
  <c r="J189" i="18"/>
  <c r="K189" i="18"/>
  <c r="L189" i="18"/>
  <c r="M189" i="18"/>
  <c r="N189" i="18"/>
  <c r="Q189" i="18"/>
  <c r="P189" i="18"/>
  <c r="O189" i="18"/>
  <c r="T189" i="18"/>
  <c r="R189" i="18"/>
  <c r="U189" i="18"/>
  <c r="V189" i="18"/>
  <c r="W189" i="18"/>
  <c r="H182" i="18"/>
  <c r="J182" i="18"/>
  <c r="I182" i="18"/>
  <c r="K182" i="18"/>
  <c r="M182" i="18"/>
  <c r="L182" i="18"/>
  <c r="P182" i="18"/>
  <c r="Q182" i="18"/>
  <c r="R182" i="18"/>
  <c r="N182" i="18"/>
  <c r="O182" i="18"/>
  <c r="S182" i="18"/>
  <c r="T182" i="18"/>
  <c r="U182" i="18"/>
  <c r="W182" i="18"/>
  <c r="V182" i="18"/>
  <c r="I176" i="18"/>
  <c r="H176" i="18"/>
  <c r="J176" i="18"/>
  <c r="L176" i="18"/>
  <c r="K176" i="18"/>
  <c r="N176" i="18"/>
  <c r="M176" i="18"/>
  <c r="O176" i="18"/>
  <c r="S176" i="18"/>
  <c r="P176" i="18"/>
  <c r="Q176" i="18"/>
  <c r="R176" i="18"/>
  <c r="W176" i="18"/>
  <c r="V176" i="18"/>
  <c r="T176" i="18"/>
  <c r="U176" i="18"/>
  <c r="H163" i="18"/>
  <c r="J163" i="18"/>
  <c r="I163" i="18"/>
  <c r="K163" i="18"/>
  <c r="L163" i="18"/>
  <c r="N163" i="18"/>
  <c r="P163" i="18"/>
  <c r="O163" i="18"/>
  <c r="M163" i="18"/>
  <c r="R163" i="18"/>
  <c r="S163" i="18"/>
  <c r="U163" i="18"/>
  <c r="W163" i="18"/>
  <c r="V163" i="18"/>
  <c r="Q163" i="18"/>
  <c r="T163" i="18"/>
  <c r="H189" i="17"/>
  <c r="I189" i="17"/>
  <c r="J189" i="17"/>
  <c r="L189" i="17"/>
  <c r="K189" i="17"/>
  <c r="M189" i="17"/>
  <c r="N189" i="17"/>
  <c r="P189" i="17"/>
  <c r="R189" i="17"/>
  <c r="O189" i="17"/>
  <c r="T189" i="17"/>
  <c r="S189" i="17"/>
  <c r="Q189" i="17"/>
  <c r="V189" i="17"/>
  <c r="U189" i="17"/>
  <c r="H183" i="17"/>
  <c r="J183" i="17"/>
  <c r="K183" i="17"/>
  <c r="I183" i="17"/>
  <c r="M183" i="17"/>
  <c r="N183" i="17"/>
  <c r="L183" i="17"/>
  <c r="Q183" i="17"/>
  <c r="S183" i="17"/>
  <c r="O183" i="17"/>
  <c r="R183" i="17"/>
  <c r="T183" i="17"/>
  <c r="P183" i="17"/>
  <c r="W183" i="17"/>
  <c r="U183" i="17"/>
  <c r="V183" i="17"/>
  <c r="H172" i="17"/>
  <c r="I172" i="17"/>
  <c r="J172" i="17"/>
  <c r="K172" i="17"/>
  <c r="L172" i="17"/>
  <c r="M172" i="17"/>
  <c r="N172" i="17"/>
  <c r="P172" i="17"/>
  <c r="R172" i="17"/>
  <c r="Q172" i="17"/>
  <c r="T172" i="17"/>
  <c r="O172" i="17"/>
  <c r="S172" i="17"/>
  <c r="W172" i="17"/>
  <c r="V172" i="17"/>
  <c r="U172" i="17"/>
  <c r="E153" i="17"/>
  <c r="G153" i="17"/>
  <c r="S156" i="28"/>
  <c r="M121" i="20"/>
  <c r="AH34" i="30" s="1"/>
  <c r="I115" i="20"/>
  <c r="I111" i="20"/>
  <c r="E147" i="23"/>
  <c r="I147" i="23"/>
  <c r="I145" i="23"/>
  <c r="E145" i="23"/>
  <c r="E143" i="23"/>
  <c r="I143" i="23"/>
  <c r="I141" i="23"/>
  <c r="E141" i="23"/>
  <c r="I139" i="23"/>
  <c r="E139" i="23"/>
  <c r="I137" i="23"/>
  <c r="E137" i="23"/>
  <c r="E135" i="23"/>
  <c r="I135" i="23"/>
  <c r="M111" i="18"/>
  <c r="M133" i="17"/>
  <c r="E129" i="17"/>
  <c r="I129" i="17"/>
  <c r="M124" i="17"/>
  <c r="E120" i="17"/>
  <c r="I120" i="17"/>
  <c r="I116" i="17"/>
  <c r="M116" i="17"/>
  <c r="H185" i="21"/>
  <c r="I185" i="21"/>
  <c r="J185" i="21"/>
  <c r="M185" i="21"/>
  <c r="K185" i="21"/>
  <c r="L185" i="21"/>
  <c r="O185" i="21"/>
  <c r="N185" i="21"/>
  <c r="S185" i="21"/>
  <c r="P185" i="21"/>
  <c r="R185" i="21"/>
  <c r="Q185" i="21"/>
  <c r="T185" i="21"/>
  <c r="U185" i="21"/>
  <c r="V185" i="21"/>
  <c r="W185" i="21"/>
  <c r="H179" i="21"/>
  <c r="J179" i="21"/>
  <c r="I179" i="21"/>
  <c r="K179" i="21"/>
  <c r="L179" i="21"/>
  <c r="M179" i="21"/>
  <c r="P179" i="21"/>
  <c r="Q179" i="21"/>
  <c r="N179" i="21"/>
  <c r="R179" i="21"/>
  <c r="S179" i="21"/>
  <c r="U179" i="21"/>
  <c r="O179" i="21"/>
  <c r="T179" i="21"/>
  <c r="W179" i="21"/>
  <c r="V179" i="21"/>
  <c r="H174" i="21"/>
  <c r="I174" i="21"/>
  <c r="K174" i="21"/>
  <c r="O174" i="21"/>
  <c r="P174" i="21"/>
  <c r="M174" i="21"/>
  <c r="S174" i="21"/>
  <c r="J174" i="21"/>
  <c r="L174" i="21"/>
  <c r="R174" i="21"/>
  <c r="Q174" i="21"/>
  <c r="T174" i="21"/>
  <c r="N174" i="21"/>
  <c r="V174" i="21"/>
  <c r="W174" i="21"/>
  <c r="H169" i="21"/>
  <c r="I169" i="21"/>
  <c r="K169" i="21"/>
  <c r="J169" i="21"/>
  <c r="L169" i="21"/>
  <c r="M169" i="21"/>
  <c r="O169" i="21"/>
  <c r="N169" i="21"/>
  <c r="S169" i="21"/>
  <c r="P169" i="21"/>
  <c r="R169" i="21"/>
  <c r="Q169" i="21"/>
  <c r="T169" i="21"/>
  <c r="U169" i="21"/>
  <c r="V169" i="21"/>
  <c r="W169" i="21"/>
  <c r="H155" i="21"/>
  <c r="I155" i="21"/>
  <c r="J155" i="21"/>
  <c r="M155" i="21"/>
  <c r="P155" i="21"/>
  <c r="L155" i="21"/>
  <c r="Q155" i="21"/>
  <c r="K155" i="21"/>
  <c r="N155" i="21"/>
  <c r="R155" i="21"/>
  <c r="O155" i="21"/>
  <c r="U155" i="21"/>
  <c r="S155" i="21"/>
  <c r="W155" i="21"/>
  <c r="H180" i="20"/>
  <c r="I180" i="20"/>
  <c r="K180" i="20"/>
  <c r="J180" i="20"/>
  <c r="L180" i="20"/>
  <c r="O180" i="20"/>
  <c r="M180" i="20"/>
  <c r="P180" i="20"/>
  <c r="S180" i="20"/>
  <c r="Q180" i="20"/>
  <c r="R180" i="20"/>
  <c r="T180" i="20"/>
  <c r="N180" i="20"/>
  <c r="U180" i="20"/>
  <c r="V180" i="20"/>
  <c r="H171" i="20"/>
  <c r="K171" i="20"/>
  <c r="I171" i="20"/>
  <c r="J171" i="20"/>
  <c r="M171" i="20"/>
  <c r="L171" i="20"/>
  <c r="O171" i="20"/>
  <c r="N171" i="20"/>
  <c r="R171" i="20"/>
  <c r="T171" i="20"/>
  <c r="P171" i="20"/>
  <c r="Q171" i="20"/>
  <c r="V171" i="20"/>
  <c r="W171" i="20"/>
  <c r="G161" i="20"/>
  <c r="G155" i="20"/>
  <c r="H168" i="28"/>
  <c r="I168" i="28"/>
  <c r="K168" i="28"/>
  <c r="J168" i="28"/>
  <c r="L168" i="28"/>
  <c r="N168" i="28"/>
  <c r="P168" i="28"/>
  <c r="M168" i="28"/>
  <c r="R168" i="28"/>
  <c r="Q168" i="28"/>
  <c r="T168" i="28"/>
  <c r="S168" i="28"/>
  <c r="O168" i="28"/>
  <c r="U168" i="28"/>
  <c r="V168" i="28"/>
  <c r="W168" i="28"/>
  <c r="H163" i="28"/>
  <c r="I163" i="28"/>
  <c r="J163" i="28"/>
  <c r="K163" i="28"/>
  <c r="M163" i="28"/>
  <c r="L163" i="28"/>
  <c r="Q163" i="28"/>
  <c r="S163" i="28"/>
  <c r="N163" i="28"/>
  <c r="R163" i="28"/>
  <c r="P163" i="28"/>
  <c r="T163" i="28"/>
  <c r="O163" i="28"/>
  <c r="U163" i="28"/>
  <c r="W163" i="28"/>
  <c r="V163" i="28"/>
  <c r="G160" i="6"/>
  <c r="H188" i="23"/>
  <c r="J188" i="23"/>
  <c r="I188" i="23"/>
  <c r="K188" i="23"/>
  <c r="N188" i="23"/>
  <c r="L188" i="23"/>
  <c r="M188" i="23"/>
  <c r="P188" i="23"/>
  <c r="O188" i="23"/>
  <c r="Q188" i="23"/>
  <c r="S188" i="23"/>
  <c r="R188" i="23"/>
  <c r="T188" i="23"/>
  <c r="V188" i="23"/>
  <c r="W188" i="23"/>
  <c r="U188" i="23"/>
  <c r="H182" i="23"/>
  <c r="I182" i="23"/>
  <c r="J182" i="23"/>
  <c r="K182" i="23"/>
  <c r="L182" i="23"/>
  <c r="M182" i="23"/>
  <c r="O182" i="23"/>
  <c r="Q182" i="23"/>
  <c r="N182" i="23"/>
  <c r="S182" i="23"/>
  <c r="P182" i="23"/>
  <c r="T182" i="23"/>
  <c r="V182" i="23"/>
  <c r="R182" i="23"/>
  <c r="W182" i="23"/>
  <c r="G168" i="23"/>
  <c r="G165" i="23"/>
  <c r="E165" i="23"/>
  <c r="O165" i="23" s="1"/>
  <c r="H179" i="19"/>
  <c r="I179" i="19"/>
  <c r="J179" i="19"/>
  <c r="K179" i="19"/>
  <c r="L179" i="19"/>
  <c r="M179" i="19"/>
  <c r="Q179" i="19"/>
  <c r="S179" i="19"/>
  <c r="N179" i="19"/>
  <c r="R179" i="19"/>
  <c r="T179" i="19"/>
  <c r="P179" i="19"/>
  <c r="O179" i="19"/>
  <c r="V179" i="19"/>
  <c r="U179" i="19"/>
  <c r="W179" i="19"/>
  <c r="J173" i="19"/>
  <c r="I173" i="19"/>
  <c r="H173" i="19"/>
  <c r="K173" i="19"/>
  <c r="L173" i="19"/>
  <c r="N173" i="19"/>
  <c r="M173" i="19"/>
  <c r="P173" i="19"/>
  <c r="O173" i="19"/>
  <c r="Q173" i="19"/>
  <c r="S173" i="19"/>
  <c r="T173" i="19"/>
  <c r="U173" i="19"/>
  <c r="R173" i="19"/>
  <c r="W173" i="19"/>
  <c r="H166" i="19"/>
  <c r="J166" i="19"/>
  <c r="K166" i="19"/>
  <c r="I166" i="19"/>
  <c r="L166" i="19"/>
  <c r="M166" i="19"/>
  <c r="Q166" i="19"/>
  <c r="R166" i="19"/>
  <c r="O166" i="19"/>
  <c r="N166" i="19"/>
  <c r="V166" i="19"/>
  <c r="T166" i="19"/>
  <c r="U166" i="19"/>
  <c r="S166" i="19"/>
  <c r="P166" i="19"/>
  <c r="W166" i="19"/>
  <c r="E162" i="19"/>
  <c r="V162" i="19" s="1"/>
  <c r="G162" i="19"/>
  <c r="E156" i="19"/>
  <c r="O156" i="19" s="1"/>
  <c r="G156" i="19"/>
  <c r="H186" i="18"/>
  <c r="K186" i="18"/>
  <c r="J186" i="18"/>
  <c r="L186" i="18"/>
  <c r="N186" i="18"/>
  <c r="M186" i="18"/>
  <c r="Q186" i="18"/>
  <c r="R186" i="18"/>
  <c r="P186" i="18"/>
  <c r="O186" i="18"/>
  <c r="T186" i="18"/>
  <c r="U186" i="18"/>
  <c r="S186" i="18"/>
  <c r="V186" i="18"/>
  <c r="I186" i="18"/>
  <c r="W186" i="18"/>
  <c r="H180" i="18"/>
  <c r="J180" i="18"/>
  <c r="I180" i="18"/>
  <c r="K180" i="18"/>
  <c r="N180" i="18"/>
  <c r="L180" i="18"/>
  <c r="O180" i="18"/>
  <c r="M180" i="18"/>
  <c r="Q180" i="18"/>
  <c r="T180" i="18"/>
  <c r="P180" i="18"/>
  <c r="S180" i="18"/>
  <c r="V180" i="18"/>
  <c r="R180" i="18"/>
  <c r="H167" i="18"/>
  <c r="K167" i="18"/>
  <c r="J167" i="18"/>
  <c r="I167" i="18"/>
  <c r="L167" i="18"/>
  <c r="M167" i="18"/>
  <c r="N167" i="18"/>
  <c r="P167" i="18"/>
  <c r="O167" i="18"/>
  <c r="Q167" i="18"/>
  <c r="T167" i="18"/>
  <c r="S167" i="18"/>
  <c r="V167" i="18"/>
  <c r="U167" i="18"/>
  <c r="W167" i="18"/>
  <c r="I161" i="18"/>
  <c r="H161" i="18"/>
  <c r="J161" i="18"/>
  <c r="K161" i="18"/>
  <c r="N161" i="18"/>
  <c r="M161" i="18"/>
  <c r="L161" i="18"/>
  <c r="Q161" i="18"/>
  <c r="R161" i="18"/>
  <c r="S161" i="18"/>
  <c r="O161" i="18"/>
  <c r="P161" i="18"/>
  <c r="U161" i="18"/>
  <c r="V161" i="18"/>
  <c r="H187" i="17"/>
  <c r="I187" i="17"/>
  <c r="K187" i="17"/>
  <c r="J187" i="17"/>
  <c r="Q187" i="17"/>
  <c r="N187" i="17"/>
  <c r="M187" i="17"/>
  <c r="R187" i="17"/>
  <c r="P187" i="17"/>
  <c r="L187" i="17"/>
  <c r="S187" i="17"/>
  <c r="U187" i="17"/>
  <c r="O187" i="17"/>
  <c r="T187" i="17"/>
  <c r="V187" i="17"/>
  <c r="W187" i="17"/>
  <c r="H181" i="17"/>
  <c r="I181" i="17"/>
  <c r="J181" i="17"/>
  <c r="L181" i="17"/>
  <c r="K181" i="17"/>
  <c r="M181" i="17"/>
  <c r="N181" i="17"/>
  <c r="P181" i="17"/>
  <c r="R181" i="17"/>
  <c r="O181" i="17"/>
  <c r="Q181" i="17"/>
  <c r="V181" i="17"/>
  <c r="U181" i="17"/>
  <c r="S181" i="17"/>
  <c r="T181" i="17"/>
  <c r="W181" i="17"/>
  <c r="H161" i="17"/>
  <c r="J161" i="17"/>
  <c r="I161" i="17"/>
  <c r="K161" i="17"/>
  <c r="L161" i="17"/>
  <c r="M161" i="17"/>
  <c r="N161" i="17"/>
  <c r="P161" i="17"/>
  <c r="R161" i="17"/>
  <c r="O161" i="17"/>
  <c r="T161" i="17"/>
  <c r="S161" i="17"/>
  <c r="U161" i="17"/>
  <c r="W161" i="17"/>
  <c r="Q161" i="17"/>
  <c r="V161" i="17"/>
  <c r="W180" i="20"/>
  <c r="W179" i="17"/>
  <c r="S178" i="23"/>
  <c r="K118" i="19"/>
  <c r="E122" i="17"/>
  <c r="I122" i="17"/>
  <c r="M110" i="17"/>
  <c r="H184" i="21"/>
  <c r="J184" i="21"/>
  <c r="I184" i="21"/>
  <c r="K184" i="21"/>
  <c r="L184" i="21"/>
  <c r="M184" i="21"/>
  <c r="Q184" i="21"/>
  <c r="N184" i="21"/>
  <c r="O184" i="21"/>
  <c r="U184" i="21"/>
  <c r="P184" i="21"/>
  <c r="S184" i="21"/>
  <c r="T184" i="21"/>
  <c r="V184" i="21"/>
  <c r="R184" i="21"/>
  <c r="I184" i="20"/>
  <c r="H184" i="20"/>
  <c r="J184" i="20"/>
  <c r="K184" i="20"/>
  <c r="M184" i="20"/>
  <c r="L184" i="20"/>
  <c r="O184" i="20"/>
  <c r="P184" i="20"/>
  <c r="R184" i="20"/>
  <c r="N184" i="20"/>
  <c r="Q184" i="20"/>
  <c r="S184" i="20"/>
  <c r="W184" i="20"/>
  <c r="T184" i="20"/>
  <c r="H175" i="20"/>
  <c r="I175" i="20"/>
  <c r="K175" i="20"/>
  <c r="J175" i="20"/>
  <c r="L175" i="20"/>
  <c r="M175" i="20"/>
  <c r="O175" i="20"/>
  <c r="N175" i="20"/>
  <c r="S175" i="20"/>
  <c r="P175" i="20"/>
  <c r="T175" i="20"/>
  <c r="U175" i="20"/>
  <c r="W175" i="20"/>
  <c r="Q175" i="20"/>
  <c r="R175" i="20"/>
  <c r="V175" i="20"/>
  <c r="E164" i="20"/>
  <c r="G164" i="20"/>
  <c r="E158" i="20"/>
  <c r="K158" i="20" s="1"/>
  <c r="H172" i="28"/>
  <c r="K172" i="28"/>
  <c r="J172" i="28"/>
  <c r="M172" i="28"/>
  <c r="I172" i="28"/>
  <c r="L172" i="28"/>
  <c r="N172" i="28"/>
  <c r="P172" i="28"/>
  <c r="Q172" i="28"/>
  <c r="O172" i="28"/>
  <c r="R172" i="28"/>
  <c r="T172" i="28"/>
  <c r="U172" i="28"/>
  <c r="S172" i="28"/>
  <c r="V172" i="28"/>
  <c r="W172" i="28"/>
  <c r="H187" i="23"/>
  <c r="K187" i="23"/>
  <c r="I187" i="23"/>
  <c r="J187" i="23"/>
  <c r="N187" i="23"/>
  <c r="M187" i="23"/>
  <c r="R187" i="23"/>
  <c r="T187" i="23"/>
  <c r="O187" i="23"/>
  <c r="S187" i="23"/>
  <c r="L187" i="23"/>
  <c r="U187" i="23"/>
  <c r="P187" i="23"/>
  <c r="V187" i="23"/>
  <c r="W187" i="23"/>
  <c r="H181" i="23"/>
  <c r="J181" i="23"/>
  <c r="L181" i="23"/>
  <c r="M181" i="23"/>
  <c r="N181" i="23"/>
  <c r="K181" i="23"/>
  <c r="I181" i="23"/>
  <c r="P181" i="23"/>
  <c r="R181" i="23"/>
  <c r="O181" i="23"/>
  <c r="Q181" i="23"/>
  <c r="V181" i="23"/>
  <c r="T181" i="23"/>
  <c r="U181" i="23"/>
  <c r="W181" i="23"/>
  <c r="H185" i="19"/>
  <c r="J185" i="19"/>
  <c r="L185" i="19"/>
  <c r="K185" i="19"/>
  <c r="I185" i="19"/>
  <c r="M185" i="19"/>
  <c r="Q185" i="19"/>
  <c r="P185" i="19"/>
  <c r="O185" i="19"/>
  <c r="R185" i="19"/>
  <c r="T185" i="19"/>
  <c r="N185" i="19"/>
  <c r="V185" i="19"/>
  <c r="S185" i="19"/>
  <c r="U185" i="19"/>
  <c r="H178" i="19"/>
  <c r="I178" i="19"/>
  <c r="J178" i="19"/>
  <c r="K178" i="19"/>
  <c r="L178" i="19"/>
  <c r="M178" i="19"/>
  <c r="N178" i="19"/>
  <c r="O178" i="19"/>
  <c r="Q178" i="19"/>
  <c r="R178" i="19"/>
  <c r="S178" i="19"/>
  <c r="P178" i="19"/>
  <c r="T178" i="19"/>
  <c r="U178" i="19"/>
  <c r="V178" i="19"/>
  <c r="H172" i="19"/>
  <c r="K172" i="19"/>
  <c r="I172" i="19"/>
  <c r="L172" i="19"/>
  <c r="N172" i="19"/>
  <c r="M172" i="19"/>
  <c r="J172" i="19"/>
  <c r="P172" i="19"/>
  <c r="Q172" i="19"/>
  <c r="R172" i="19"/>
  <c r="S172" i="19"/>
  <c r="U172" i="19"/>
  <c r="O172" i="19"/>
  <c r="W172" i="19"/>
  <c r="V172" i="19"/>
  <c r="T172" i="19"/>
  <c r="H179" i="18"/>
  <c r="J179" i="18"/>
  <c r="I179" i="18"/>
  <c r="K179" i="18"/>
  <c r="L179" i="18"/>
  <c r="N179" i="18"/>
  <c r="P179" i="18"/>
  <c r="O179" i="18"/>
  <c r="M179" i="18"/>
  <c r="S179" i="18"/>
  <c r="R179" i="18"/>
  <c r="U179" i="18"/>
  <c r="Q179" i="18"/>
  <c r="T179" i="18"/>
  <c r="V179" i="18"/>
  <c r="H173" i="18"/>
  <c r="I173" i="18"/>
  <c r="K173" i="18"/>
  <c r="J173" i="18"/>
  <c r="L173" i="18"/>
  <c r="M173" i="18"/>
  <c r="Q173" i="18"/>
  <c r="N173" i="18"/>
  <c r="P173" i="18"/>
  <c r="O173" i="18"/>
  <c r="T173" i="18"/>
  <c r="R173" i="18"/>
  <c r="U173" i="18"/>
  <c r="S173" i="18"/>
  <c r="W173" i="18"/>
  <c r="V173" i="18"/>
  <c r="H166" i="18"/>
  <c r="J166" i="18"/>
  <c r="I166" i="18"/>
  <c r="K166" i="18"/>
  <c r="M166" i="18"/>
  <c r="L166" i="18"/>
  <c r="N166" i="18"/>
  <c r="P166" i="18"/>
  <c r="Q166" i="18"/>
  <c r="R166" i="18"/>
  <c r="O166" i="18"/>
  <c r="S166" i="18"/>
  <c r="U166" i="18"/>
  <c r="T166" i="18"/>
  <c r="W166" i="18"/>
  <c r="V166" i="18"/>
  <c r="I160" i="18"/>
  <c r="H160" i="18"/>
  <c r="J160" i="18"/>
  <c r="L160" i="18"/>
  <c r="K160" i="18"/>
  <c r="N160" i="18"/>
  <c r="M160" i="18"/>
  <c r="O160" i="18"/>
  <c r="S160" i="18"/>
  <c r="P160" i="18"/>
  <c r="Q160" i="18"/>
  <c r="W160" i="18"/>
  <c r="T160" i="18"/>
  <c r="V160" i="18"/>
  <c r="U160" i="18"/>
  <c r="E154" i="18"/>
  <c r="L154" i="18" s="1"/>
  <c r="H186" i="17"/>
  <c r="J186" i="17"/>
  <c r="I186" i="17"/>
  <c r="K186" i="17"/>
  <c r="M186" i="17"/>
  <c r="Q186" i="17"/>
  <c r="L186" i="17"/>
  <c r="O186" i="17"/>
  <c r="T186" i="17"/>
  <c r="P186" i="17"/>
  <c r="N186" i="17"/>
  <c r="S186" i="17"/>
  <c r="V186" i="17"/>
  <c r="R186" i="17"/>
  <c r="W186" i="17"/>
  <c r="U186" i="17"/>
  <c r="H180" i="17"/>
  <c r="I180" i="17"/>
  <c r="J180" i="17"/>
  <c r="K180" i="17"/>
  <c r="L180" i="17"/>
  <c r="M180" i="17"/>
  <c r="N180" i="17"/>
  <c r="P180" i="17"/>
  <c r="R180" i="17"/>
  <c r="O180" i="17"/>
  <c r="T180" i="17"/>
  <c r="S180" i="17"/>
  <c r="Q180" i="17"/>
  <c r="U180" i="17"/>
  <c r="I175" i="17"/>
  <c r="H175" i="17"/>
  <c r="J175" i="17"/>
  <c r="K175" i="17"/>
  <c r="L175" i="17"/>
  <c r="M175" i="17"/>
  <c r="N175" i="17"/>
  <c r="Q175" i="17"/>
  <c r="O175" i="17"/>
  <c r="S175" i="17"/>
  <c r="P175" i="17"/>
  <c r="T175" i="17"/>
  <c r="R175" i="17"/>
  <c r="U175" i="17"/>
  <c r="W175" i="17"/>
  <c r="V175" i="17"/>
  <c r="H165" i="17"/>
  <c r="I165" i="17"/>
  <c r="J165" i="17"/>
  <c r="L165" i="17"/>
  <c r="K165" i="17"/>
  <c r="M165" i="17"/>
  <c r="N165" i="17"/>
  <c r="P165" i="17"/>
  <c r="R165" i="17"/>
  <c r="O165" i="17"/>
  <c r="Q165" i="17"/>
  <c r="V165" i="17"/>
  <c r="S165" i="17"/>
  <c r="T165" i="17"/>
  <c r="U165" i="17"/>
  <c r="W165" i="17"/>
  <c r="W180" i="18"/>
  <c r="V157" i="21"/>
  <c r="V188" i="28"/>
  <c r="S189" i="18"/>
  <c r="Q187" i="23"/>
  <c r="I133" i="17"/>
  <c r="E133" i="17"/>
  <c r="I124" i="17"/>
  <c r="E124" i="17"/>
  <c r="M115" i="17"/>
  <c r="I112" i="17"/>
  <c r="H189" i="21"/>
  <c r="K189" i="21"/>
  <c r="J189" i="21"/>
  <c r="L189" i="21"/>
  <c r="I189" i="21"/>
  <c r="M189" i="21"/>
  <c r="O189" i="21"/>
  <c r="P189" i="21"/>
  <c r="Q189" i="21"/>
  <c r="N189" i="21"/>
  <c r="R189" i="21"/>
  <c r="T189" i="21"/>
  <c r="S189" i="21"/>
  <c r="W189" i="21"/>
  <c r="H183" i="21"/>
  <c r="I183" i="21"/>
  <c r="J183" i="21"/>
  <c r="L183" i="21"/>
  <c r="K183" i="21"/>
  <c r="N183" i="21"/>
  <c r="P183" i="21"/>
  <c r="Q183" i="21"/>
  <c r="M183" i="21"/>
  <c r="S183" i="21"/>
  <c r="V183" i="21"/>
  <c r="O183" i="21"/>
  <c r="U183" i="21"/>
  <c r="T183" i="21"/>
  <c r="H178" i="21"/>
  <c r="I178" i="21"/>
  <c r="K178" i="21"/>
  <c r="J178" i="21"/>
  <c r="M178" i="21"/>
  <c r="L178" i="21"/>
  <c r="O178" i="21"/>
  <c r="P178" i="21"/>
  <c r="N178" i="21"/>
  <c r="Q178" i="21"/>
  <c r="S178" i="21"/>
  <c r="R178" i="21"/>
  <c r="W178" i="21"/>
  <c r="U178" i="21"/>
  <c r="H173" i="21"/>
  <c r="I173" i="21"/>
  <c r="K173" i="21"/>
  <c r="J173" i="21"/>
  <c r="L173" i="21"/>
  <c r="M173" i="21"/>
  <c r="O173" i="21"/>
  <c r="P173" i="21"/>
  <c r="Q173" i="21"/>
  <c r="N173" i="21"/>
  <c r="R173" i="21"/>
  <c r="T173" i="21"/>
  <c r="S173" i="21"/>
  <c r="V173" i="21"/>
  <c r="W173" i="21"/>
  <c r="U173" i="21"/>
  <c r="H163" i="21"/>
  <c r="J163" i="21"/>
  <c r="I163" i="21"/>
  <c r="K163" i="21"/>
  <c r="M163" i="21"/>
  <c r="L163" i="21"/>
  <c r="P163" i="21"/>
  <c r="Q163" i="21"/>
  <c r="N163" i="21"/>
  <c r="R163" i="21"/>
  <c r="O163" i="21"/>
  <c r="S163" i="21"/>
  <c r="U163" i="21"/>
  <c r="T163" i="21"/>
  <c r="W163" i="21"/>
  <c r="V163" i="21"/>
  <c r="I154" i="21"/>
  <c r="J154" i="21"/>
  <c r="H154" i="21"/>
  <c r="K154" i="21"/>
  <c r="M154" i="21"/>
  <c r="O154" i="21"/>
  <c r="P154" i="21"/>
  <c r="L154" i="21"/>
  <c r="Q154" i="21"/>
  <c r="N154" i="21"/>
  <c r="R154" i="21"/>
  <c r="T154" i="21"/>
  <c r="W154" i="21"/>
  <c r="S154" i="21"/>
  <c r="U154" i="21"/>
  <c r="V154" i="21"/>
  <c r="H188" i="20"/>
  <c r="I188" i="20"/>
  <c r="J188" i="20"/>
  <c r="K188" i="20"/>
  <c r="L188" i="20"/>
  <c r="O188" i="20"/>
  <c r="P188" i="20"/>
  <c r="N188" i="20"/>
  <c r="S188" i="20"/>
  <c r="Q188" i="20"/>
  <c r="T188" i="20"/>
  <c r="M188" i="20"/>
  <c r="U188" i="20"/>
  <c r="V188" i="20"/>
  <c r="R188" i="20"/>
  <c r="H179" i="20"/>
  <c r="K179" i="20"/>
  <c r="I179" i="20"/>
  <c r="J179" i="20"/>
  <c r="L179" i="20"/>
  <c r="O179" i="20"/>
  <c r="P179" i="20"/>
  <c r="Q179" i="20"/>
  <c r="N179" i="20"/>
  <c r="R179" i="20"/>
  <c r="T179" i="20"/>
  <c r="M179" i="20"/>
  <c r="S179" i="20"/>
  <c r="U179" i="20"/>
  <c r="V179" i="20"/>
  <c r="W179" i="20"/>
  <c r="H174" i="20"/>
  <c r="J174" i="20"/>
  <c r="I174" i="20"/>
  <c r="L174" i="20"/>
  <c r="M174" i="20"/>
  <c r="K174" i="20"/>
  <c r="Q174" i="20"/>
  <c r="N174" i="20"/>
  <c r="O174" i="20"/>
  <c r="R174" i="20"/>
  <c r="U174" i="20"/>
  <c r="S174" i="20"/>
  <c r="T174" i="20"/>
  <c r="P174" i="20"/>
  <c r="W174" i="20"/>
  <c r="E166" i="20"/>
  <c r="I166" i="20" s="1"/>
  <c r="E155" i="20"/>
  <c r="I176" i="28"/>
  <c r="K176" i="28"/>
  <c r="H176" i="28"/>
  <c r="J176" i="28"/>
  <c r="L176" i="28"/>
  <c r="M176" i="28"/>
  <c r="N176" i="28"/>
  <c r="P176" i="28"/>
  <c r="R176" i="28"/>
  <c r="T176" i="28"/>
  <c r="O176" i="28"/>
  <c r="S176" i="28"/>
  <c r="Q176" i="28"/>
  <c r="U176" i="28"/>
  <c r="W176" i="28"/>
  <c r="H171" i="28"/>
  <c r="I171" i="28"/>
  <c r="J171" i="28"/>
  <c r="K171" i="28"/>
  <c r="M171" i="28"/>
  <c r="L171" i="28"/>
  <c r="Q171" i="28"/>
  <c r="S171" i="28"/>
  <c r="O171" i="28"/>
  <c r="R171" i="28"/>
  <c r="N171" i="28"/>
  <c r="P171" i="28"/>
  <c r="T171" i="28"/>
  <c r="V171" i="28"/>
  <c r="W171" i="28"/>
  <c r="E160" i="6"/>
  <c r="P160" i="6" s="1"/>
  <c r="E156" i="6"/>
  <c r="G156" i="6"/>
  <c r="H180" i="23"/>
  <c r="J180" i="23"/>
  <c r="I180" i="23"/>
  <c r="N180" i="23"/>
  <c r="L180" i="23"/>
  <c r="K180" i="23"/>
  <c r="M180" i="23"/>
  <c r="P180" i="23"/>
  <c r="S180" i="23"/>
  <c r="O180" i="23"/>
  <c r="Q180" i="23"/>
  <c r="T180" i="23"/>
  <c r="U180" i="23"/>
  <c r="W180" i="23"/>
  <c r="R180" i="23"/>
  <c r="E164" i="23"/>
  <c r="L164" i="23" s="1"/>
  <c r="G164" i="23"/>
  <c r="G152" i="23"/>
  <c r="D152" i="23"/>
  <c r="H184" i="19"/>
  <c r="J184" i="19"/>
  <c r="I184" i="19"/>
  <c r="K184" i="19"/>
  <c r="L184" i="19"/>
  <c r="P184" i="19"/>
  <c r="N184" i="19"/>
  <c r="M184" i="19"/>
  <c r="T184" i="19"/>
  <c r="S184" i="19"/>
  <c r="O184" i="19"/>
  <c r="Q184" i="19"/>
  <c r="R184" i="19"/>
  <c r="U184" i="19"/>
  <c r="V184" i="19"/>
  <c r="W184" i="19"/>
  <c r="H171" i="19"/>
  <c r="I171" i="19"/>
  <c r="J171" i="19"/>
  <c r="K171" i="19"/>
  <c r="M171" i="19"/>
  <c r="L171" i="19"/>
  <c r="N171" i="19"/>
  <c r="S171" i="19"/>
  <c r="O171" i="19"/>
  <c r="T171" i="19"/>
  <c r="P171" i="19"/>
  <c r="Q171" i="19"/>
  <c r="R171" i="19"/>
  <c r="V171" i="19"/>
  <c r="U171" i="19"/>
  <c r="W171" i="19"/>
  <c r="J165" i="19"/>
  <c r="I165" i="19"/>
  <c r="L165" i="19"/>
  <c r="N165" i="19"/>
  <c r="K165" i="19"/>
  <c r="M165" i="19"/>
  <c r="P165" i="19"/>
  <c r="O165" i="19"/>
  <c r="Q165" i="19"/>
  <c r="R165" i="19"/>
  <c r="S165" i="19"/>
  <c r="U165" i="19"/>
  <c r="T165" i="19"/>
  <c r="H165" i="19"/>
  <c r="V165" i="19"/>
  <c r="W165" i="19"/>
  <c r="H185" i="18"/>
  <c r="I185" i="18"/>
  <c r="J185" i="18"/>
  <c r="L185" i="18"/>
  <c r="N185" i="18"/>
  <c r="M185" i="18"/>
  <c r="K185" i="18"/>
  <c r="Q185" i="18"/>
  <c r="S185" i="18"/>
  <c r="R185" i="18"/>
  <c r="P185" i="18"/>
  <c r="T185" i="18"/>
  <c r="O185" i="18"/>
  <c r="U185" i="18"/>
  <c r="W185" i="18"/>
  <c r="H178" i="18"/>
  <c r="K178" i="18"/>
  <c r="I178" i="18"/>
  <c r="L178" i="18"/>
  <c r="J178" i="18"/>
  <c r="N178" i="18"/>
  <c r="M178" i="18"/>
  <c r="Q178" i="18"/>
  <c r="R178" i="18"/>
  <c r="P178" i="18"/>
  <c r="T178" i="18"/>
  <c r="S178" i="18"/>
  <c r="U178" i="18"/>
  <c r="O178" i="18"/>
  <c r="V178" i="18"/>
  <c r="W178" i="18"/>
  <c r="H172" i="18"/>
  <c r="J172" i="18"/>
  <c r="I172" i="18"/>
  <c r="K172" i="18"/>
  <c r="L172" i="18"/>
  <c r="N172" i="18"/>
  <c r="O172" i="18"/>
  <c r="T172" i="18"/>
  <c r="M172" i="18"/>
  <c r="R172" i="18"/>
  <c r="Q172" i="18"/>
  <c r="V172" i="18"/>
  <c r="P172" i="18"/>
  <c r="S172" i="18"/>
  <c r="U172" i="18"/>
  <c r="W172" i="18"/>
  <c r="G153" i="18"/>
  <c r="E153" i="18"/>
  <c r="U153" i="18" s="1"/>
  <c r="H185" i="17"/>
  <c r="J185" i="17"/>
  <c r="I185" i="17"/>
  <c r="K185" i="17"/>
  <c r="L185" i="17"/>
  <c r="M185" i="17"/>
  <c r="N185" i="17"/>
  <c r="P185" i="17"/>
  <c r="R185" i="17"/>
  <c r="O185" i="17"/>
  <c r="Q185" i="17"/>
  <c r="T185" i="17"/>
  <c r="S185" i="17"/>
  <c r="U185" i="17"/>
  <c r="W185" i="17"/>
  <c r="V185" i="17"/>
  <c r="H169" i="17"/>
  <c r="J169" i="17"/>
  <c r="I169" i="17"/>
  <c r="K169" i="17"/>
  <c r="L169" i="17"/>
  <c r="M169" i="17"/>
  <c r="N169" i="17"/>
  <c r="P169" i="17"/>
  <c r="R169" i="17"/>
  <c r="O169" i="17"/>
  <c r="Q169" i="17"/>
  <c r="T169" i="17"/>
  <c r="S169" i="17"/>
  <c r="U169" i="17"/>
  <c r="W169" i="17"/>
  <c r="V169" i="17"/>
  <c r="H164" i="17"/>
  <c r="I164" i="17"/>
  <c r="J164" i="17"/>
  <c r="K164" i="17"/>
  <c r="L164" i="17"/>
  <c r="M164" i="17"/>
  <c r="N164" i="17"/>
  <c r="P164" i="17"/>
  <c r="R164" i="17"/>
  <c r="O164" i="17"/>
  <c r="T164" i="17"/>
  <c r="S164" i="17"/>
  <c r="Q164" i="17"/>
  <c r="U164" i="17"/>
  <c r="W164" i="17"/>
  <c r="E160" i="17"/>
  <c r="P160" i="17" s="1"/>
  <c r="W185" i="19"/>
  <c r="V155" i="21"/>
  <c r="V164" i="17"/>
  <c r="U184" i="20"/>
  <c r="T178" i="21"/>
  <c r="S176" i="21"/>
  <c r="E146" i="28"/>
  <c r="E142" i="28"/>
  <c r="E140" i="28"/>
  <c r="E138" i="28"/>
  <c r="E134" i="28"/>
  <c r="E132" i="28"/>
  <c r="E130" i="28"/>
  <c r="E126" i="28"/>
  <c r="E124" i="28"/>
  <c r="E122" i="28"/>
  <c r="E118" i="28"/>
  <c r="E116" i="28"/>
  <c r="E114" i="28"/>
  <c r="I141" i="17"/>
  <c r="E141" i="17"/>
  <c r="I139" i="17"/>
  <c r="E139" i="17"/>
  <c r="E137" i="17"/>
  <c r="I137" i="17"/>
  <c r="I135" i="17"/>
  <c r="E135" i="17"/>
  <c r="M130" i="17"/>
  <c r="I126" i="17"/>
  <c r="E126" i="17"/>
  <c r="I119" i="17"/>
  <c r="E119" i="17"/>
  <c r="H188" i="21"/>
  <c r="I188" i="21"/>
  <c r="J188" i="21"/>
  <c r="L188" i="21"/>
  <c r="M188" i="21"/>
  <c r="K188" i="21"/>
  <c r="N188" i="21"/>
  <c r="Q188" i="21"/>
  <c r="R188" i="21"/>
  <c r="S188" i="21"/>
  <c r="O188" i="21"/>
  <c r="V188" i="21"/>
  <c r="P188" i="21"/>
  <c r="U188" i="21"/>
  <c r="T188" i="21"/>
  <c r="W188" i="21"/>
  <c r="H172" i="21"/>
  <c r="I172" i="21"/>
  <c r="J172" i="21"/>
  <c r="L172" i="21"/>
  <c r="M172" i="21"/>
  <c r="K172" i="21"/>
  <c r="N172" i="21"/>
  <c r="Q172" i="21"/>
  <c r="R172" i="21"/>
  <c r="S172" i="21"/>
  <c r="V172" i="21"/>
  <c r="O172" i="21"/>
  <c r="T172" i="21"/>
  <c r="U172" i="21"/>
  <c r="P172" i="21"/>
  <c r="W172" i="21"/>
  <c r="H167" i="21"/>
  <c r="I167" i="21"/>
  <c r="J167" i="21"/>
  <c r="L167" i="21"/>
  <c r="K167" i="21"/>
  <c r="N167" i="21"/>
  <c r="P167" i="21"/>
  <c r="Q167" i="21"/>
  <c r="M167" i="21"/>
  <c r="S167" i="21"/>
  <c r="O167" i="21"/>
  <c r="V167" i="21"/>
  <c r="R167" i="21"/>
  <c r="T167" i="21"/>
  <c r="U167" i="21"/>
  <c r="H158" i="21"/>
  <c r="I158" i="21"/>
  <c r="L158" i="21"/>
  <c r="J158" i="21"/>
  <c r="K158" i="21"/>
  <c r="O158" i="21"/>
  <c r="P158" i="21"/>
  <c r="S158" i="21"/>
  <c r="R158" i="21"/>
  <c r="M158" i="21"/>
  <c r="T158" i="21"/>
  <c r="Q158" i="21"/>
  <c r="N158" i="21"/>
  <c r="U158" i="21"/>
  <c r="W158" i="21"/>
  <c r="V158" i="21"/>
  <c r="H183" i="20"/>
  <c r="I183" i="20"/>
  <c r="K183" i="20"/>
  <c r="J183" i="20"/>
  <c r="M183" i="20"/>
  <c r="O183" i="20"/>
  <c r="L183" i="20"/>
  <c r="Q183" i="20"/>
  <c r="S183" i="20"/>
  <c r="P183" i="20"/>
  <c r="R183" i="20"/>
  <c r="N183" i="20"/>
  <c r="U183" i="20"/>
  <c r="W183" i="20"/>
  <c r="T183" i="20"/>
  <c r="H178" i="20"/>
  <c r="I178" i="20"/>
  <c r="J178" i="20"/>
  <c r="K178" i="20"/>
  <c r="L178" i="20"/>
  <c r="M178" i="20"/>
  <c r="N178" i="20"/>
  <c r="Q178" i="20"/>
  <c r="S178" i="20"/>
  <c r="R178" i="20"/>
  <c r="V178" i="20"/>
  <c r="O178" i="20"/>
  <c r="P178" i="20"/>
  <c r="T178" i="20"/>
  <c r="U178" i="20"/>
  <c r="W178" i="20"/>
  <c r="G154" i="20"/>
  <c r="E154" i="20"/>
  <c r="S154" i="20" s="1"/>
  <c r="H180" i="28"/>
  <c r="K180" i="28"/>
  <c r="I180" i="28"/>
  <c r="J180" i="28"/>
  <c r="L180" i="28"/>
  <c r="M180" i="28"/>
  <c r="N180" i="28"/>
  <c r="P180" i="28"/>
  <c r="O180" i="28"/>
  <c r="U180" i="28"/>
  <c r="S180" i="28"/>
  <c r="R180" i="28"/>
  <c r="Q180" i="28"/>
  <c r="T180" i="28"/>
  <c r="V180" i="28"/>
  <c r="W180" i="28"/>
  <c r="H175" i="28"/>
  <c r="I175" i="28"/>
  <c r="J175" i="28"/>
  <c r="K175" i="28"/>
  <c r="Q175" i="28"/>
  <c r="M175" i="28"/>
  <c r="N175" i="28"/>
  <c r="L175" i="28"/>
  <c r="O175" i="28"/>
  <c r="S175" i="28"/>
  <c r="R175" i="28"/>
  <c r="U175" i="28"/>
  <c r="T175" i="28"/>
  <c r="V175" i="28"/>
  <c r="G159" i="6"/>
  <c r="E159" i="6"/>
  <c r="K159" i="6" s="1"/>
  <c r="J186" i="23"/>
  <c r="I186" i="23"/>
  <c r="H186" i="23"/>
  <c r="K186" i="23"/>
  <c r="L186" i="23"/>
  <c r="M186" i="23"/>
  <c r="O186" i="23"/>
  <c r="Q186" i="23"/>
  <c r="R186" i="23"/>
  <c r="N186" i="23"/>
  <c r="P186" i="23"/>
  <c r="S186" i="23"/>
  <c r="V186" i="23"/>
  <c r="T186" i="23"/>
  <c r="W186" i="23"/>
  <c r="I179" i="23"/>
  <c r="K179" i="23"/>
  <c r="H179" i="23"/>
  <c r="J179" i="23"/>
  <c r="L179" i="23"/>
  <c r="M179" i="23"/>
  <c r="N179" i="23"/>
  <c r="P179" i="23"/>
  <c r="O179" i="23"/>
  <c r="Q179" i="23"/>
  <c r="R179" i="23"/>
  <c r="T179" i="23"/>
  <c r="U179" i="23"/>
  <c r="S179" i="23"/>
  <c r="W179" i="23"/>
  <c r="V179" i="23"/>
  <c r="E174" i="23"/>
  <c r="O174" i="23" s="1"/>
  <c r="E170" i="23"/>
  <c r="O170" i="23" s="1"/>
  <c r="G170" i="23"/>
  <c r="H183" i="19"/>
  <c r="I183" i="19"/>
  <c r="K183" i="19"/>
  <c r="J183" i="19"/>
  <c r="L183" i="19"/>
  <c r="N183" i="19"/>
  <c r="P183" i="19"/>
  <c r="O183" i="19"/>
  <c r="Q183" i="19"/>
  <c r="M183" i="19"/>
  <c r="R183" i="19"/>
  <c r="T183" i="19"/>
  <c r="U183" i="19"/>
  <c r="S183" i="19"/>
  <c r="V183" i="19"/>
  <c r="W183" i="19"/>
  <c r="H177" i="19"/>
  <c r="J177" i="19"/>
  <c r="L177" i="19"/>
  <c r="I177" i="19"/>
  <c r="K177" i="19"/>
  <c r="M177" i="19"/>
  <c r="Q177" i="19"/>
  <c r="P177" i="19"/>
  <c r="N177" i="19"/>
  <c r="O177" i="19"/>
  <c r="S177" i="19"/>
  <c r="R177" i="19"/>
  <c r="T177" i="19"/>
  <c r="V177" i="19"/>
  <c r="U177" i="19"/>
  <c r="H170" i="19"/>
  <c r="I170" i="19"/>
  <c r="J170" i="19"/>
  <c r="K170" i="19"/>
  <c r="L170" i="19"/>
  <c r="M170" i="19"/>
  <c r="O170" i="19"/>
  <c r="Q170" i="19"/>
  <c r="R170" i="19"/>
  <c r="N170" i="19"/>
  <c r="S170" i="19"/>
  <c r="P170" i="19"/>
  <c r="V170" i="19"/>
  <c r="H164" i="19"/>
  <c r="I164" i="19"/>
  <c r="L164" i="19"/>
  <c r="J164" i="19"/>
  <c r="N164" i="19"/>
  <c r="K164" i="19"/>
  <c r="M164" i="19"/>
  <c r="P164" i="19"/>
  <c r="O164" i="19"/>
  <c r="R164" i="19"/>
  <c r="Q164" i="19"/>
  <c r="U164" i="19"/>
  <c r="T164" i="19"/>
  <c r="S164" i="19"/>
  <c r="V164" i="19"/>
  <c r="W164" i="19"/>
  <c r="G158" i="19"/>
  <c r="J152" i="19"/>
  <c r="I152" i="19"/>
  <c r="K152" i="19"/>
  <c r="L152" i="19"/>
  <c r="P152" i="19"/>
  <c r="Q152" i="19"/>
  <c r="N152" i="19"/>
  <c r="S152" i="19"/>
  <c r="O152" i="19"/>
  <c r="T152" i="19"/>
  <c r="U152" i="19"/>
  <c r="G152" i="19"/>
  <c r="V152" i="19"/>
  <c r="D152" i="19"/>
  <c r="H184" i="18"/>
  <c r="I184" i="18"/>
  <c r="J184" i="18"/>
  <c r="L184" i="18"/>
  <c r="N184" i="18"/>
  <c r="M184" i="18"/>
  <c r="O184" i="18"/>
  <c r="S184" i="18"/>
  <c r="K184" i="18"/>
  <c r="T184" i="18"/>
  <c r="P184" i="18"/>
  <c r="Q184" i="18"/>
  <c r="R184" i="18"/>
  <c r="W184" i="18"/>
  <c r="U184" i="18"/>
  <c r="H171" i="18"/>
  <c r="J171" i="18"/>
  <c r="I171" i="18"/>
  <c r="K171" i="18"/>
  <c r="L171" i="18"/>
  <c r="N171" i="18"/>
  <c r="P171" i="18"/>
  <c r="O171" i="18"/>
  <c r="M171" i="18"/>
  <c r="R171" i="18"/>
  <c r="Q171" i="18"/>
  <c r="S171" i="18"/>
  <c r="U171" i="18"/>
  <c r="T171" i="18"/>
  <c r="H165" i="18"/>
  <c r="I165" i="18"/>
  <c r="J165" i="18"/>
  <c r="K165" i="18"/>
  <c r="M165" i="18"/>
  <c r="Q165" i="18"/>
  <c r="R165" i="18"/>
  <c r="L165" i="18"/>
  <c r="N165" i="18"/>
  <c r="T165" i="18"/>
  <c r="O165" i="18"/>
  <c r="S165" i="18"/>
  <c r="U165" i="18"/>
  <c r="V165" i="18"/>
  <c r="P165" i="18"/>
  <c r="W165" i="18"/>
  <c r="G156" i="18"/>
  <c r="I184" i="17"/>
  <c r="H184" i="17"/>
  <c r="K184" i="17"/>
  <c r="L184" i="17"/>
  <c r="M184" i="17"/>
  <c r="N184" i="17"/>
  <c r="P184" i="17"/>
  <c r="R184" i="17"/>
  <c r="S184" i="17"/>
  <c r="U184" i="17"/>
  <c r="Q184" i="17"/>
  <c r="O184" i="17"/>
  <c r="T184" i="17"/>
  <c r="V184" i="17"/>
  <c r="W184" i="17"/>
  <c r="J184" i="17"/>
  <c r="H179" i="17"/>
  <c r="I179" i="17"/>
  <c r="K179" i="17"/>
  <c r="L179" i="17"/>
  <c r="J179" i="17"/>
  <c r="Q179" i="17"/>
  <c r="M179" i="17"/>
  <c r="P179" i="17"/>
  <c r="O179" i="17"/>
  <c r="N179" i="17"/>
  <c r="R179" i="17"/>
  <c r="T179" i="17"/>
  <c r="U179" i="17"/>
  <c r="S179" i="17"/>
  <c r="I168" i="17"/>
  <c r="K168" i="17"/>
  <c r="J168" i="17"/>
  <c r="L168" i="17"/>
  <c r="H168" i="17"/>
  <c r="M168" i="17"/>
  <c r="N168" i="17"/>
  <c r="P168" i="17"/>
  <c r="R168" i="17"/>
  <c r="S168" i="17"/>
  <c r="U168" i="17"/>
  <c r="O168" i="17"/>
  <c r="Q168" i="17"/>
  <c r="T168" i="17"/>
  <c r="V168" i="17"/>
  <c r="W178" i="19"/>
  <c r="W171" i="18"/>
  <c r="V189" i="21"/>
  <c r="V184" i="20"/>
  <c r="V171" i="18"/>
  <c r="U171" i="20"/>
  <c r="T155" i="21"/>
  <c r="S171" i="20"/>
  <c r="R183" i="21"/>
  <c r="P175" i="28"/>
  <c r="K121" i="20"/>
  <c r="G121" i="20"/>
  <c r="E128" i="17"/>
  <c r="I128" i="17"/>
  <c r="H177" i="21"/>
  <c r="I177" i="21"/>
  <c r="M177" i="21"/>
  <c r="J177" i="21"/>
  <c r="K177" i="21"/>
  <c r="O177" i="21"/>
  <c r="L177" i="21"/>
  <c r="Q177" i="21"/>
  <c r="S177" i="21"/>
  <c r="R177" i="21"/>
  <c r="N177" i="21"/>
  <c r="P177" i="21"/>
  <c r="U177" i="21"/>
  <c r="T177" i="21"/>
  <c r="W177" i="21"/>
  <c r="H153" i="21"/>
  <c r="I153" i="21"/>
  <c r="K153" i="21"/>
  <c r="J153" i="21"/>
  <c r="M153" i="21"/>
  <c r="L153" i="21"/>
  <c r="O153" i="21"/>
  <c r="N153" i="21"/>
  <c r="S153" i="21"/>
  <c r="P153" i="21"/>
  <c r="R153" i="21"/>
  <c r="Q153" i="21"/>
  <c r="U153" i="21"/>
  <c r="V153" i="21"/>
  <c r="W153" i="21"/>
  <c r="H187" i="20"/>
  <c r="K187" i="20"/>
  <c r="J187" i="20"/>
  <c r="I187" i="20"/>
  <c r="L187" i="20"/>
  <c r="M187" i="20"/>
  <c r="O187" i="20"/>
  <c r="N187" i="20"/>
  <c r="R187" i="20"/>
  <c r="P187" i="20"/>
  <c r="T187" i="20"/>
  <c r="Q187" i="20"/>
  <c r="S187" i="20"/>
  <c r="V187" i="20"/>
  <c r="W187" i="20"/>
  <c r="U187" i="20"/>
  <c r="E163" i="20"/>
  <c r="K163" i="20" s="1"/>
  <c r="G157" i="20"/>
  <c r="H184" i="28"/>
  <c r="I184" i="28"/>
  <c r="K184" i="28"/>
  <c r="J184" i="28"/>
  <c r="N184" i="28"/>
  <c r="P184" i="28"/>
  <c r="R184" i="28"/>
  <c r="M184" i="28"/>
  <c r="Q184" i="28"/>
  <c r="T184" i="28"/>
  <c r="S184" i="28"/>
  <c r="O184" i="28"/>
  <c r="U184" i="28"/>
  <c r="V184" i="28"/>
  <c r="W184" i="28"/>
  <c r="H152" i="28"/>
  <c r="I152" i="28"/>
  <c r="K152" i="28"/>
  <c r="J152" i="28"/>
  <c r="N152" i="28"/>
  <c r="P152" i="28"/>
  <c r="L152" i="28"/>
  <c r="R152" i="28"/>
  <c r="Q152" i="28"/>
  <c r="T152" i="28"/>
  <c r="S152" i="28"/>
  <c r="M152" i="28"/>
  <c r="O152" i="28"/>
  <c r="U152" i="28"/>
  <c r="V152" i="28"/>
  <c r="W152" i="28"/>
  <c r="H185" i="23"/>
  <c r="J185" i="23"/>
  <c r="I185" i="23"/>
  <c r="K185" i="23"/>
  <c r="L185" i="23"/>
  <c r="M185" i="23"/>
  <c r="P185" i="23"/>
  <c r="R185" i="23"/>
  <c r="O185" i="23"/>
  <c r="Q185" i="23"/>
  <c r="N185" i="23"/>
  <c r="S185" i="23"/>
  <c r="T185" i="23"/>
  <c r="U185" i="23"/>
  <c r="V185" i="23"/>
  <c r="E160" i="23"/>
  <c r="O160" i="23" s="1"/>
  <c r="E158" i="23"/>
  <c r="E154" i="23"/>
  <c r="G154" i="23"/>
  <c r="J189" i="19"/>
  <c r="H189" i="19"/>
  <c r="I189" i="19"/>
  <c r="K189" i="19"/>
  <c r="L189" i="19"/>
  <c r="N189" i="19"/>
  <c r="M189" i="19"/>
  <c r="P189" i="19"/>
  <c r="O189" i="19"/>
  <c r="Q189" i="19"/>
  <c r="R189" i="19"/>
  <c r="S189" i="19"/>
  <c r="U189" i="19"/>
  <c r="W189" i="19"/>
  <c r="T189" i="19"/>
  <c r="H182" i="19"/>
  <c r="J182" i="19"/>
  <c r="K182" i="19"/>
  <c r="I182" i="19"/>
  <c r="L182" i="19"/>
  <c r="M182" i="19"/>
  <c r="Q182" i="19"/>
  <c r="R182" i="19"/>
  <c r="O182" i="19"/>
  <c r="V182" i="19"/>
  <c r="N182" i="19"/>
  <c r="P182" i="19"/>
  <c r="S182" i="19"/>
  <c r="U182" i="19"/>
  <c r="T182" i="19"/>
  <c r="W182" i="19"/>
  <c r="H176" i="19"/>
  <c r="J176" i="19"/>
  <c r="I176" i="19"/>
  <c r="K176" i="19"/>
  <c r="L176" i="19"/>
  <c r="P176" i="19"/>
  <c r="Q176" i="19"/>
  <c r="T176" i="19"/>
  <c r="R176" i="19"/>
  <c r="N176" i="19"/>
  <c r="O176" i="19"/>
  <c r="S176" i="19"/>
  <c r="M176" i="19"/>
  <c r="U176" i="19"/>
  <c r="W176" i="19"/>
  <c r="H183" i="18"/>
  <c r="K183" i="18"/>
  <c r="J183" i="18"/>
  <c r="L183" i="18"/>
  <c r="I183" i="18"/>
  <c r="M183" i="18"/>
  <c r="N183" i="18"/>
  <c r="P183" i="18"/>
  <c r="O183" i="18"/>
  <c r="Q183" i="18"/>
  <c r="R183" i="18"/>
  <c r="T183" i="18"/>
  <c r="S183" i="18"/>
  <c r="V183" i="18"/>
  <c r="W183" i="18"/>
  <c r="H177" i="18"/>
  <c r="I177" i="18"/>
  <c r="J177" i="18"/>
  <c r="K177" i="18"/>
  <c r="N177" i="18"/>
  <c r="M177" i="18"/>
  <c r="L177" i="18"/>
  <c r="Q177" i="18"/>
  <c r="S177" i="18"/>
  <c r="O177" i="18"/>
  <c r="P177" i="18"/>
  <c r="R177" i="18"/>
  <c r="T177" i="18"/>
  <c r="U177" i="18"/>
  <c r="V177" i="18"/>
  <c r="W177" i="18"/>
  <c r="H170" i="18"/>
  <c r="K170" i="18"/>
  <c r="I170" i="18"/>
  <c r="L170" i="18"/>
  <c r="J170" i="18"/>
  <c r="N170" i="18"/>
  <c r="M170" i="18"/>
  <c r="Q170" i="18"/>
  <c r="R170" i="18"/>
  <c r="P170" i="18"/>
  <c r="O170" i="18"/>
  <c r="T170" i="18"/>
  <c r="U170" i="18"/>
  <c r="S170" i="18"/>
  <c r="V170" i="18"/>
  <c r="H164" i="18"/>
  <c r="J164" i="18"/>
  <c r="I164" i="18"/>
  <c r="K164" i="18"/>
  <c r="N164" i="18"/>
  <c r="M164" i="18"/>
  <c r="O164" i="18"/>
  <c r="Q164" i="18"/>
  <c r="T164" i="18"/>
  <c r="P164" i="18"/>
  <c r="L164" i="18"/>
  <c r="S164" i="18"/>
  <c r="V164" i="18"/>
  <c r="U164" i="18"/>
  <c r="R164" i="18"/>
  <c r="W164" i="18"/>
  <c r="E152" i="18"/>
  <c r="K152" i="18" s="1"/>
  <c r="D152" i="18"/>
  <c r="G152" i="18"/>
  <c r="H173" i="17"/>
  <c r="I173" i="17"/>
  <c r="J173" i="17"/>
  <c r="L173" i="17"/>
  <c r="M173" i="17"/>
  <c r="N173" i="17"/>
  <c r="P173" i="17"/>
  <c r="R173" i="17"/>
  <c r="O173" i="17"/>
  <c r="K173" i="17"/>
  <c r="Q173" i="17"/>
  <c r="T173" i="17"/>
  <c r="S173" i="17"/>
  <c r="V173" i="17"/>
  <c r="U173" i="17"/>
  <c r="W173" i="17"/>
  <c r="F159" i="17"/>
  <c r="I159" i="17"/>
  <c r="J159" i="17"/>
  <c r="K159" i="17"/>
  <c r="L159" i="17"/>
  <c r="N159" i="17"/>
  <c r="Q159" i="17"/>
  <c r="O159" i="17"/>
  <c r="S159" i="17"/>
  <c r="P159" i="17"/>
  <c r="T159" i="17"/>
  <c r="G159" i="17"/>
  <c r="V159" i="17"/>
  <c r="U159" i="17"/>
  <c r="G154" i="17"/>
  <c r="W177" i="19"/>
  <c r="W170" i="18"/>
  <c r="V183" i="20"/>
  <c r="V176" i="28"/>
  <c r="V188" i="19"/>
  <c r="U189" i="21"/>
  <c r="U180" i="18"/>
  <c r="T153" i="21"/>
  <c r="G155" i="23"/>
  <c r="G163" i="19"/>
  <c r="G159" i="18"/>
  <c r="W182" i="6"/>
  <c r="W174" i="6"/>
  <c r="W166" i="6"/>
  <c r="V189" i="28"/>
  <c r="V157" i="28"/>
  <c r="U164" i="21"/>
  <c r="U171" i="6"/>
  <c r="T156" i="21"/>
  <c r="Q179" i="6"/>
  <c r="H189" i="20"/>
  <c r="I189" i="20"/>
  <c r="J189" i="20"/>
  <c r="L189" i="20"/>
  <c r="K189" i="20"/>
  <c r="M189" i="20"/>
  <c r="N189" i="20"/>
  <c r="P189" i="20"/>
  <c r="Q189" i="20"/>
  <c r="S189" i="20"/>
  <c r="V189" i="20"/>
  <c r="O189" i="20"/>
  <c r="R189" i="20"/>
  <c r="T189" i="20"/>
  <c r="H185" i="20"/>
  <c r="J185" i="20"/>
  <c r="I185" i="20"/>
  <c r="L185" i="20"/>
  <c r="K185" i="20"/>
  <c r="M185" i="20"/>
  <c r="P185" i="20"/>
  <c r="Q185" i="20"/>
  <c r="N185" i="20"/>
  <c r="R185" i="20"/>
  <c r="S185" i="20"/>
  <c r="U185" i="20"/>
  <c r="O185" i="20"/>
  <c r="T185" i="20"/>
  <c r="H181" i="20"/>
  <c r="I181" i="20"/>
  <c r="J181" i="20"/>
  <c r="L181" i="20"/>
  <c r="K181" i="20"/>
  <c r="M181" i="20"/>
  <c r="N181" i="20"/>
  <c r="P181" i="20"/>
  <c r="Q181" i="20"/>
  <c r="S181" i="20"/>
  <c r="O181" i="20"/>
  <c r="R181" i="20"/>
  <c r="V181" i="20"/>
  <c r="H177" i="20"/>
  <c r="I177" i="20"/>
  <c r="J177" i="20"/>
  <c r="K177" i="20"/>
  <c r="L177" i="20"/>
  <c r="M177" i="20"/>
  <c r="P177" i="20"/>
  <c r="Q177" i="20"/>
  <c r="N177" i="20"/>
  <c r="O177" i="20"/>
  <c r="R177" i="20"/>
  <c r="U177" i="20"/>
  <c r="H173" i="20"/>
  <c r="I173" i="20"/>
  <c r="J173" i="20"/>
  <c r="L173" i="20"/>
  <c r="M173" i="20"/>
  <c r="K173" i="20"/>
  <c r="N173" i="20"/>
  <c r="P173" i="20"/>
  <c r="Q173" i="20"/>
  <c r="S173" i="20"/>
  <c r="T173" i="20"/>
  <c r="O173" i="20"/>
  <c r="V173" i="20"/>
  <c r="H169" i="20"/>
  <c r="J169" i="20"/>
  <c r="I169" i="20"/>
  <c r="K169" i="20"/>
  <c r="M169" i="20"/>
  <c r="L169" i="20"/>
  <c r="P169" i="20"/>
  <c r="Q169" i="20"/>
  <c r="N169" i="20"/>
  <c r="R169" i="20"/>
  <c r="T169" i="20"/>
  <c r="O169" i="20"/>
  <c r="S169" i="20"/>
  <c r="U169" i="20"/>
  <c r="H186" i="28"/>
  <c r="I186" i="28"/>
  <c r="J186" i="28"/>
  <c r="L186" i="28"/>
  <c r="K186" i="28"/>
  <c r="M186" i="28"/>
  <c r="O186" i="28"/>
  <c r="Q186" i="28"/>
  <c r="S186" i="28"/>
  <c r="P186" i="28"/>
  <c r="N186" i="28"/>
  <c r="R186" i="28"/>
  <c r="H182" i="28"/>
  <c r="J182" i="28"/>
  <c r="I182" i="28"/>
  <c r="K182" i="28"/>
  <c r="L182" i="28"/>
  <c r="M182" i="28"/>
  <c r="Q182" i="28"/>
  <c r="O182" i="28"/>
  <c r="N182" i="28"/>
  <c r="R182" i="28"/>
  <c r="V182" i="28"/>
  <c r="P182" i="28"/>
  <c r="S182" i="28"/>
  <c r="H178" i="28"/>
  <c r="I178" i="28"/>
  <c r="J178" i="28"/>
  <c r="L178" i="28"/>
  <c r="M178" i="28"/>
  <c r="K178" i="28"/>
  <c r="O178" i="28"/>
  <c r="Q178" i="28"/>
  <c r="S178" i="28"/>
  <c r="N178" i="28"/>
  <c r="R178" i="28"/>
  <c r="U178" i="28"/>
  <c r="T178" i="28"/>
  <c r="H174" i="28"/>
  <c r="I174" i="28"/>
  <c r="J174" i="28"/>
  <c r="K174" i="28"/>
  <c r="M174" i="28"/>
  <c r="L174" i="28"/>
  <c r="Q174" i="28"/>
  <c r="O174" i="28"/>
  <c r="N174" i="28"/>
  <c r="P174" i="28"/>
  <c r="R174" i="28"/>
  <c r="S174" i="28"/>
  <c r="V174" i="28"/>
  <c r="T174" i="28"/>
  <c r="H170" i="28"/>
  <c r="I170" i="28"/>
  <c r="K170" i="28"/>
  <c r="L170" i="28"/>
  <c r="J170" i="28"/>
  <c r="M170" i="28"/>
  <c r="O170" i="28"/>
  <c r="Q170" i="28"/>
  <c r="S170" i="28"/>
  <c r="P170" i="28"/>
  <c r="R170" i="28"/>
  <c r="U170" i="28"/>
  <c r="H166" i="28"/>
  <c r="I166" i="28"/>
  <c r="J166" i="28"/>
  <c r="K166" i="28"/>
  <c r="M166" i="28"/>
  <c r="L166" i="28"/>
  <c r="Q166" i="28"/>
  <c r="O166" i="28"/>
  <c r="N166" i="28"/>
  <c r="R166" i="28"/>
  <c r="V166" i="28"/>
  <c r="P166" i="28"/>
  <c r="T166" i="28"/>
  <c r="H162" i="28"/>
  <c r="I162" i="28"/>
  <c r="J162" i="28"/>
  <c r="L162" i="28"/>
  <c r="K162" i="28"/>
  <c r="M162" i="28"/>
  <c r="O162" i="28"/>
  <c r="Q162" i="28"/>
  <c r="S162" i="28"/>
  <c r="N162" i="28"/>
  <c r="T162" i="28"/>
  <c r="P162" i="28"/>
  <c r="R162" i="28"/>
  <c r="U162" i="28"/>
  <c r="H158" i="28"/>
  <c r="I158" i="28"/>
  <c r="J158" i="28"/>
  <c r="L158" i="28"/>
  <c r="M158" i="28"/>
  <c r="K158" i="28"/>
  <c r="Q158" i="28"/>
  <c r="O158" i="28"/>
  <c r="N158" i="28"/>
  <c r="P158" i="28"/>
  <c r="R158" i="28"/>
  <c r="S158" i="28"/>
  <c r="V158" i="28"/>
  <c r="T158" i="28"/>
  <c r="U158" i="28"/>
  <c r="H154" i="28"/>
  <c r="I154" i="28"/>
  <c r="J154" i="28"/>
  <c r="L154" i="28"/>
  <c r="K154" i="28"/>
  <c r="M154" i="28"/>
  <c r="O154" i="28"/>
  <c r="Q154" i="28"/>
  <c r="S154" i="28"/>
  <c r="P154" i="28"/>
  <c r="R154" i="28"/>
  <c r="N154" i="28"/>
  <c r="H188" i="6"/>
  <c r="J188" i="6"/>
  <c r="I188" i="6"/>
  <c r="K188" i="6"/>
  <c r="L188" i="6"/>
  <c r="M188" i="6"/>
  <c r="Q188" i="6"/>
  <c r="O188" i="6"/>
  <c r="N188" i="6"/>
  <c r="R188" i="6"/>
  <c r="V188" i="6"/>
  <c r="S188" i="6"/>
  <c r="P188" i="6"/>
  <c r="H184" i="6"/>
  <c r="I184" i="6"/>
  <c r="J184" i="6"/>
  <c r="L184" i="6"/>
  <c r="M184" i="6"/>
  <c r="K184" i="6"/>
  <c r="O184" i="6"/>
  <c r="Q184" i="6"/>
  <c r="S184" i="6"/>
  <c r="N184" i="6"/>
  <c r="R184" i="6"/>
  <c r="U184" i="6"/>
  <c r="H180" i="6"/>
  <c r="J180" i="6"/>
  <c r="I180" i="6"/>
  <c r="K180" i="6"/>
  <c r="M180" i="6"/>
  <c r="Q180" i="6"/>
  <c r="O180" i="6"/>
  <c r="N180" i="6"/>
  <c r="L180" i="6"/>
  <c r="P180" i="6"/>
  <c r="R180" i="6"/>
  <c r="S180" i="6"/>
  <c r="V180" i="6"/>
  <c r="T180" i="6"/>
  <c r="H176" i="6"/>
  <c r="I176" i="6"/>
  <c r="J176" i="6"/>
  <c r="K176" i="6"/>
  <c r="L176" i="6"/>
  <c r="M176" i="6"/>
  <c r="O176" i="6"/>
  <c r="Q176" i="6"/>
  <c r="S176" i="6"/>
  <c r="P176" i="6"/>
  <c r="R176" i="6"/>
  <c r="N176" i="6"/>
  <c r="T176" i="6"/>
  <c r="U176" i="6"/>
  <c r="H172" i="6"/>
  <c r="J172" i="6"/>
  <c r="I172" i="6"/>
  <c r="M172" i="6"/>
  <c r="K172" i="6"/>
  <c r="L172" i="6"/>
  <c r="Q172" i="6"/>
  <c r="O172" i="6"/>
  <c r="N172" i="6"/>
  <c r="R172" i="6"/>
  <c r="V172" i="6"/>
  <c r="P172" i="6"/>
  <c r="T172" i="6"/>
  <c r="H168" i="6"/>
  <c r="I168" i="6"/>
  <c r="J168" i="6"/>
  <c r="L168" i="6"/>
  <c r="K168" i="6"/>
  <c r="M168" i="6"/>
  <c r="O168" i="6"/>
  <c r="Q168" i="6"/>
  <c r="S168" i="6"/>
  <c r="N168" i="6"/>
  <c r="T168" i="6"/>
  <c r="P168" i="6"/>
  <c r="R168" i="6"/>
  <c r="U168" i="6"/>
  <c r="H175" i="23"/>
  <c r="P175" i="23"/>
  <c r="I163" i="19"/>
  <c r="J163" i="19"/>
  <c r="K163" i="19"/>
  <c r="L163" i="19"/>
  <c r="Q163" i="19"/>
  <c r="S163" i="19"/>
  <c r="T163" i="19"/>
  <c r="N163" i="19"/>
  <c r="P163" i="19"/>
  <c r="O163" i="19"/>
  <c r="U163" i="19"/>
  <c r="G155" i="17"/>
  <c r="W173" i="28"/>
  <c r="W165" i="28"/>
  <c r="W179" i="6"/>
  <c r="V186" i="28"/>
  <c r="V154" i="28"/>
  <c r="U181" i="20"/>
  <c r="U166" i="28"/>
  <c r="U175" i="23"/>
  <c r="T154" i="28"/>
  <c r="G161" i="6"/>
  <c r="G153" i="6"/>
  <c r="G167" i="23"/>
  <c r="G159" i="23"/>
  <c r="E153" i="23"/>
  <c r="O153" i="23" s="1"/>
  <c r="G159" i="19"/>
  <c r="G155" i="18"/>
  <c r="I167" i="17"/>
  <c r="J167" i="17"/>
  <c r="K167" i="17"/>
  <c r="H167" i="17"/>
  <c r="M167" i="17"/>
  <c r="N167" i="17"/>
  <c r="L167" i="17"/>
  <c r="Q167" i="17"/>
  <c r="S167" i="17"/>
  <c r="O167" i="17"/>
  <c r="R167" i="17"/>
  <c r="T167" i="17"/>
  <c r="P167" i="17"/>
  <c r="U167" i="17"/>
  <c r="H163" i="17"/>
  <c r="I163" i="17"/>
  <c r="K163" i="17"/>
  <c r="J163" i="17"/>
  <c r="L163" i="17"/>
  <c r="M163" i="17"/>
  <c r="Q163" i="17"/>
  <c r="P163" i="17"/>
  <c r="O163" i="17"/>
  <c r="N163" i="17"/>
  <c r="T163" i="17"/>
  <c r="U163" i="17"/>
  <c r="R163" i="17"/>
  <c r="S163" i="17"/>
  <c r="W186" i="6"/>
  <c r="W178" i="6"/>
  <c r="V169" i="20"/>
  <c r="V168" i="6"/>
  <c r="U186" i="28"/>
  <c r="U158" i="17"/>
  <c r="T186" i="28"/>
  <c r="T188" i="6"/>
  <c r="H189" i="28"/>
  <c r="I189" i="28"/>
  <c r="J189" i="28"/>
  <c r="L189" i="28"/>
  <c r="M189" i="28"/>
  <c r="K189" i="28"/>
  <c r="N189" i="28"/>
  <c r="P189" i="28"/>
  <c r="O189" i="28"/>
  <c r="T189" i="28"/>
  <c r="S189" i="28"/>
  <c r="Q189" i="28"/>
  <c r="R189" i="28"/>
  <c r="U189" i="28"/>
  <c r="H185" i="28"/>
  <c r="J185" i="28"/>
  <c r="L185" i="28"/>
  <c r="I185" i="28"/>
  <c r="K185" i="28"/>
  <c r="M185" i="28"/>
  <c r="N185" i="28"/>
  <c r="P185" i="28"/>
  <c r="O185" i="28"/>
  <c r="R185" i="28"/>
  <c r="Q185" i="28"/>
  <c r="T185" i="28"/>
  <c r="V185" i="28"/>
  <c r="H181" i="28"/>
  <c r="I181" i="28"/>
  <c r="J181" i="28"/>
  <c r="K181" i="28"/>
  <c r="L181" i="28"/>
  <c r="M181" i="28"/>
  <c r="N181" i="28"/>
  <c r="P181" i="28"/>
  <c r="O181" i="28"/>
  <c r="Q181" i="28"/>
  <c r="T181" i="28"/>
  <c r="S181" i="28"/>
  <c r="R181" i="28"/>
  <c r="U181" i="28"/>
  <c r="H177" i="28"/>
  <c r="J177" i="28"/>
  <c r="I177" i="28"/>
  <c r="L177" i="28"/>
  <c r="K177" i="28"/>
  <c r="M177" i="28"/>
  <c r="N177" i="28"/>
  <c r="P177" i="28"/>
  <c r="O177" i="28"/>
  <c r="R177" i="28"/>
  <c r="Q177" i="28"/>
  <c r="T177" i="28"/>
  <c r="V177" i="28"/>
  <c r="H173" i="28"/>
  <c r="I173" i="28"/>
  <c r="J173" i="28"/>
  <c r="K173" i="28"/>
  <c r="M173" i="28"/>
  <c r="L173" i="28"/>
  <c r="N173" i="28"/>
  <c r="P173" i="28"/>
  <c r="O173" i="28"/>
  <c r="T173" i="28"/>
  <c r="S173" i="28"/>
  <c r="R173" i="28"/>
  <c r="Q173" i="28"/>
  <c r="U173" i="28"/>
  <c r="H169" i="28"/>
  <c r="J169" i="28"/>
  <c r="L169" i="28"/>
  <c r="I169" i="28"/>
  <c r="K169" i="28"/>
  <c r="M169" i="28"/>
  <c r="N169" i="28"/>
  <c r="P169" i="28"/>
  <c r="O169" i="28"/>
  <c r="R169" i="28"/>
  <c r="Q169" i="28"/>
  <c r="V169" i="28"/>
  <c r="S169" i="28"/>
  <c r="U169" i="28"/>
  <c r="H165" i="28"/>
  <c r="J165" i="28"/>
  <c r="I165" i="28"/>
  <c r="K165" i="28"/>
  <c r="M165" i="28"/>
  <c r="N165" i="28"/>
  <c r="P165" i="28"/>
  <c r="O165" i="28"/>
  <c r="L165" i="28"/>
  <c r="Q165" i="28"/>
  <c r="T165" i="28"/>
  <c r="S165" i="28"/>
  <c r="H161" i="28"/>
  <c r="L161" i="28"/>
  <c r="K161" i="28"/>
  <c r="J161" i="28"/>
  <c r="I161" i="28"/>
  <c r="M161" i="28"/>
  <c r="N161" i="28"/>
  <c r="P161" i="28"/>
  <c r="O161" i="28"/>
  <c r="R161" i="28"/>
  <c r="Q161" i="28"/>
  <c r="V161" i="28"/>
  <c r="H157" i="28"/>
  <c r="J157" i="28"/>
  <c r="I157" i="28"/>
  <c r="L157" i="28"/>
  <c r="M157" i="28"/>
  <c r="N157" i="28"/>
  <c r="P157" i="28"/>
  <c r="O157" i="28"/>
  <c r="K157" i="28"/>
  <c r="T157" i="28"/>
  <c r="S157" i="28"/>
  <c r="Q157" i="28"/>
  <c r="R157" i="28"/>
  <c r="U157" i="28"/>
  <c r="H153" i="28"/>
  <c r="J153" i="28"/>
  <c r="L153" i="28"/>
  <c r="I153" i="28"/>
  <c r="K153" i="28"/>
  <c r="M153" i="28"/>
  <c r="N153" i="28"/>
  <c r="P153" i="28"/>
  <c r="O153" i="28"/>
  <c r="R153" i="28"/>
  <c r="Q153" i="28"/>
  <c r="T153" i="28"/>
  <c r="V153" i="28"/>
  <c r="S153" i="28"/>
  <c r="H187" i="6"/>
  <c r="J187" i="6"/>
  <c r="I187" i="6"/>
  <c r="K187" i="6"/>
  <c r="L187" i="6"/>
  <c r="M187" i="6"/>
  <c r="N187" i="6"/>
  <c r="P187" i="6"/>
  <c r="O187" i="6"/>
  <c r="Q187" i="6"/>
  <c r="T187" i="6"/>
  <c r="S187" i="6"/>
  <c r="U187" i="6"/>
  <c r="R187" i="6"/>
  <c r="H183" i="6"/>
  <c r="J183" i="6"/>
  <c r="I183" i="6"/>
  <c r="L183" i="6"/>
  <c r="K183" i="6"/>
  <c r="M183" i="6"/>
  <c r="N183" i="6"/>
  <c r="P183" i="6"/>
  <c r="O183" i="6"/>
  <c r="R183" i="6"/>
  <c r="Q183" i="6"/>
  <c r="T183" i="6"/>
  <c r="V183" i="6"/>
  <c r="S183" i="6"/>
  <c r="H179" i="6"/>
  <c r="J179" i="6"/>
  <c r="I179" i="6"/>
  <c r="K179" i="6"/>
  <c r="M179" i="6"/>
  <c r="L179" i="6"/>
  <c r="N179" i="6"/>
  <c r="P179" i="6"/>
  <c r="O179" i="6"/>
  <c r="T179" i="6"/>
  <c r="S179" i="6"/>
  <c r="R179" i="6"/>
  <c r="U179" i="6"/>
  <c r="H175" i="6"/>
  <c r="L175" i="6"/>
  <c r="J175" i="6"/>
  <c r="K175" i="6"/>
  <c r="I175" i="6"/>
  <c r="M175" i="6"/>
  <c r="N175" i="6"/>
  <c r="P175" i="6"/>
  <c r="O175" i="6"/>
  <c r="R175" i="6"/>
  <c r="Q175" i="6"/>
  <c r="V175" i="6"/>
  <c r="U175" i="6"/>
  <c r="H171" i="6"/>
  <c r="J171" i="6"/>
  <c r="I171" i="6"/>
  <c r="K171" i="6"/>
  <c r="M171" i="6"/>
  <c r="N171" i="6"/>
  <c r="P171" i="6"/>
  <c r="O171" i="6"/>
  <c r="L171" i="6"/>
  <c r="Q171" i="6"/>
  <c r="T171" i="6"/>
  <c r="S171" i="6"/>
  <c r="R171" i="6"/>
  <c r="H167" i="6"/>
  <c r="J167" i="6"/>
  <c r="L167" i="6"/>
  <c r="K167" i="6"/>
  <c r="I167" i="6"/>
  <c r="M167" i="6"/>
  <c r="N167" i="6"/>
  <c r="P167" i="6"/>
  <c r="O167" i="6"/>
  <c r="R167" i="6"/>
  <c r="Q167" i="6"/>
  <c r="V167" i="6"/>
  <c r="S167" i="6"/>
  <c r="T167" i="6"/>
  <c r="W185" i="20"/>
  <c r="W177" i="20"/>
  <c r="W169" i="20"/>
  <c r="V162" i="28"/>
  <c r="V175" i="23"/>
  <c r="U185" i="28"/>
  <c r="U180" i="6"/>
  <c r="T181" i="20"/>
  <c r="T182" i="28"/>
  <c r="S172" i="6"/>
  <c r="R173" i="20"/>
  <c r="H168" i="21"/>
  <c r="J168" i="21"/>
  <c r="I168" i="21"/>
  <c r="L168" i="21"/>
  <c r="K168" i="21"/>
  <c r="M168" i="21"/>
  <c r="Q168" i="21"/>
  <c r="N168" i="21"/>
  <c r="O168" i="21"/>
  <c r="U168" i="21"/>
  <c r="S168" i="21"/>
  <c r="T168" i="21"/>
  <c r="P168" i="21"/>
  <c r="H164" i="21"/>
  <c r="I164" i="21"/>
  <c r="J164" i="21"/>
  <c r="K164" i="21"/>
  <c r="M164" i="21"/>
  <c r="N164" i="21"/>
  <c r="L164" i="21"/>
  <c r="Q164" i="21"/>
  <c r="R164" i="21"/>
  <c r="P164" i="21"/>
  <c r="O164" i="21"/>
  <c r="S164" i="21"/>
  <c r="V164" i="21"/>
  <c r="H160" i="21"/>
  <c r="J160" i="21"/>
  <c r="K160" i="21"/>
  <c r="L160" i="21"/>
  <c r="I160" i="21"/>
  <c r="M160" i="21"/>
  <c r="Q160" i="21"/>
  <c r="N160" i="21"/>
  <c r="P160" i="21"/>
  <c r="O160" i="21"/>
  <c r="U160" i="21"/>
  <c r="R160" i="21"/>
  <c r="T160" i="21"/>
  <c r="H156" i="21"/>
  <c r="I156" i="21"/>
  <c r="J156" i="21"/>
  <c r="M156" i="21"/>
  <c r="L156" i="21"/>
  <c r="N156" i="21"/>
  <c r="Q156" i="21"/>
  <c r="K156" i="21"/>
  <c r="R156" i="21"/>
  <c r="S156" i="21"/>
  <c r="O156" i="21"/>
  <c r="V156" i="21"/>
  <c r="P156" i="21"/>
  <c r="U156" i="21"/>
  <c r="E163" i="6"/>
  <c r="P163" i="6" s="1"/>
  <c r="E159" i="23"/>
  <c r="U159" i="23" s="1"/>
  <c r="H182" i="17"/>
  <c r="J182" i="17"/>
  <c r="I182" i="17"/>
  <c r="L182" i="17"/>
  <c r="K182" i="17"/>
  <c r="M182" i="17"/>
  <c r="N182" i="17"/>
  <c r="O182" i="17"/>
  <c r="Q182" i="17"/>
  <c r="S182" i="17"/>
  <c r="P182" i="17"/>
  <c r="W182" i="17"/>
  <c r="R182" i="17"/>
  <c r="T182" i="17"/>
  <c r="V182" i="17"/>
  <c r="H178" i="17"/>
  <c r="J178" i="17"/>
  <c r="K178" i="17"/>
  <c r="I178" i="17"/>
  <c r="L178" i="17"/>
  <c r="Q178" i="17"/>
  <c r="N178" i="17"/>
  <c r="O178" i="17"/>
  <c r="T178" i="17"/>
  <c r="R178" i="17"/>
  <c r="M178" i="17"/>
  <c r="V178" i="17"/>
  <c r="U178" i="17"/>
  <c r="H174" i="17"/>
  <c r="J174" i="17"/>
  <c r="L174" i="17"/>
  <c r="I174" i="17"/>
  <c r="M174" i="17"/>
  <c r="N174" i="17"/>
  <c r="O174" i="17"/>
  <c r="K174" i="17"/>
  <c r="Q174" i="17"/>
  <c r="S174" i="17"/>
  <c r="R174" i="17"/>
  <c r="W174" i="17"/>
  <c r="T174" i="17"/>
  <c r="U174" i="17"/>
  <c r="P174" i="17"/>
  <c r="H170" i="17"/>
  <c r="J170" i="17"/>
  <c r="I170" i="17"/>
  <c r="K170" i="17"/>
  <c r="Q170" i="17"/>
  <c r="M170" i="17"/>
  <c r="O170" i="17"/>
  <c r="T170" i="17"/>
  <c r="P170" i="17"/>
  <c r="L170" i="17"/>
  <c r="S170" i="17"/>
  <c r="V170" i="17"/>
  <c r="N170" i="17"/>
  <c r="H166" i="17"/>
  <c r="J166" i="17"/>
  <c r="I166" i="17"/>
  <c r="L166" i="17"/>
  <c r="K166" i="17"/>
  <c r="M166" i="17"/>
  <c r="N166" i="17"/>
  <c r="O166" i="17"/>
  <c r="Q166" i="17"/>
  <c r="S166" i="17"/>
  <c r="P166" i="17"/>
  <c r="W166" i="17"/>
  <c r="R166" i="17"/>
  <c r="V166" i="17"/>
  <c r="H162" i="17"/>
  <c r="I162" i="17"/>
  <c r="J162" i="17"/>
  <c r="K162" i="17"/>
  <c r="L162" i="17"/>
  <c r="N162" i="17"/>
  <c r="Q162" i="17"/>
  <c r="O162" i="17"/>
  <c r="T162" i="17"/>
  <c r="R162" i="17"/>
  <c r="V162" i="17"/>
  <c r="P162" i="17"/>
  <c r="M162" i="17"/>
  <c r="S162" i="17"/>
  <c r="U162" i="17"/>
  <c r="W186" i="28"/>
  <c r="W178" i="28"/>
  <c r="W170" i="28"/>
  <c r="W162" i="28"/>
  <c r="W154" i="28"/>
  <c r="W184" i="6"/>
  <c r="W176" i="6"/>
  <c r="W168" i="6"/>
  <c r="W163" i="17"/>
  <c r="V177" i="20"/>
  <c r="V181" i="28"/>
  <c r="V187" i="6"/>
  <c r="U182" i="28"/>
  <c r="U161" i="28"/>
  <c r="T164" i="21"/>
  <c r="T177" i="20"/>
  <c r="T184" i="6"/>
  <c r="T166" i="17"/>
  <c r="S177" i="28"/>
  <c r="S178" i="17"/>
  <c r="H186" i="6"/>
  <c r="K186" i="6"/>
  <c r="I186" i="6"/>
  <c r="L186" i="6"/>
  <c r="M186" i="6"/>
  <c r="J186" i="6"/>
  <c r="N186" i="6"/>
  <c r="P186" i="6"/>
  <c r="O186" i="6"/>
  <c r="U186" i="6"/>
  <c r="S186" i="6"/>
  <c r="Q186" i="6"/>
  <c r="I182" i="6"/>
  <c r="K182" i="6"/>
  <c r="H182" i="6"/>
  <c r="J182" i="6"/>
  <c r="L182" i="6"/>
  <c r="M182" i="6"/>
  <c r="N182" i="6"/>
  <c r="P182" i="6"/>
  <c r="R182" i="6"/>
  <c r="T182" i="6"/>
  <c r="O182" i="6"/>
  <c r="S182" i="6"/>
  <c r="H178" i="6"/>
  <c r="J178" i="6"/>
  <c r="K178" i="6"/>
  <c r="I178" i="6"/>
  <c r="M178" i="6"/>
  <c r="L178" i="6"/>
  <c r="N178" i="6"/>
  <c r="P178" i="6"/>
  <c r="Q178" i="6"/>
  <c r="O178" i="6"/>
  <c r="R178" i="6"/>
  <c r="T178" i="6"/>
  <c r="U178" i="6"/>
  <c r="S178" i="6"/>
  <c r="H174" i="6"/>
  <c r="I174" i="6"/>
  <c r="K174" i="6"/>
  <c r="J174" i="6"/>
  <c r="L174" i="6"/>
  <c r="N174" i="6"/>
  <c r="P174" i="6"/>
  <c r="R174" i="6"/>
  <c r="Q174" i="6"/>
  <c r="M174" i="6"/>
  <c r="T174" i="6"/>
  <c r="S174" i="6"/>
  <c r="O174" i="6"/>
  <c r="U174" i="6"/>
  <c r="H170" i="6"/>
  <c r="K170" i="6"/>
  <c r="J170" i="6"/>
  <c r="M170" i="6"/>
  <c r="L170" i="6"/>
  <c r="I170" i="6"/>
  <c r="N170" i="6"/>
  <c r="P170" i="6"/>
  <c r="O170" i="6"/>
  <c r="U170" i="6"/>
  <c r="Q170" i="6"/>
  <c r="S170" i="6"/>
  <c r="R170" i="6"/>
  <c r="V170" i="6"/>
  <c r="H166" i="6"/>
  <c r="I166" i="6"/>
  <c r="K166" i="6"/>
  <c r="J166" i="6"/>
  <c r="L166" i="6"/>
  <c r="N166" i="6"/>
  <c r="P166" i="6"/>
  <c r="M166" i="6"/>
  <c r="R166" i="6"/>
  <c r="T166" i="6"/>
  <c r="O166" i="6"/>
  <c r="S166" i="6"/>
  <c r="Q166" i="6"/>
  <c r="U166" i="6"/>
  <c r="I158" i="17"/>
  <c r="J158" i="17"/>
  <c r="L158" i="17"/>
  <c r="N158" i="17"/>
  <c r="K158" i="17"/>
  <c r="O158" i="17"/>
  <c r="Q158" i="17"/>
  <c r="S158" i="17"/>
  <c r="P158" i="17"/>
  <c r="T158" i="17"/>
  <c r="W185" i="28"/>
  <c r="W177" i="28"/>
  <c r="W169" i="28"/>
  <c r="W161" i="28"/>
  <c r="W153" i="28"/>
  <c r="W183" i="6"/>
  <c r="W175" i="6"/>
  <c r="W167" i="6"/>
  <c r="W162" i="17"/>
  <c r="V160" i="21"/>
  <c r="V170" i="28"/>
  <c r="V186" i="6"/>
  <c r="V176" i="6"/>
  <c r="U189" i="20"/>
  <c r="U177" i="28"/>
  <c r="U172" i="6"/>
  <c r="T170" i="28"/>
  <c r="T175" i="6"/>
  <c r="S177" i="20"/>
  <c r="S166" i="28"/>
  <c r="R165" i="28"/>
  <c r="Q182" i="6"/>
  <c r="P178" i="17"/>
  <c r="F159" i="18"/>
  <c r="F15" i="24"/>
  <c r="C15" i="24"/>
  <c r="D95" i="24"/>
  <c r="E95" i="24"/>
  <c r="C95" i="24"/>
  <c r="F95" i="24"/>
  <c r="C87" i="24"/>
  <c r="D87" i="24"/>
  <c r="F87" i="24"/>
  <c r="E87" i="24"/>
  <c r="C79" i="24"/>
  <c r="D79" i="24"/>
  <c r="F79" i="24"/>
  <c r="E79" i="24"/>
  <c r="C71" i="24"/>
  <c r="D71" i="24"/>
  <c r="F71" i="24"/>
  <c r="E71" i="24"/>
  <c r="C63" i="24"/>
  <c r="D63" i="24"/>
  <c r="F63" i="24"/>
  <c r="E63" i="24"/>
  <c r="E23" i="24"/>
  <c r="C86" i="24"/>
  <c r="F59" i="24"/>
  <c r="E15" i="24"/>
  <c r="C14" i="24"/>
  <c r="F14" i="24"/>
  <c r="E14" i="24"/>
  <c r="C89" i="24"/>
  <c r="E89" i="24"/>
  <c r="D89" i="24"/>
  <c r="F89" i="24"/>
  <c r="F73" i="24"/>
  <c r="D73" i="24"/>
  <c r="C73" i="24"/>
  <c r="E73" i="24"/>
  <c r="C30" i="24"/>
  <c r="F30" i="24"/>
  <c r="E30" i="24"/>
  <c r="E18" i="24"/>
  <c r="F18" i="24"/>
  <c r="C18" i="24"/>
  <c r="F81" i="24"/>
  <c r="D81" i="24"/>
  <c r="E81" i="24"/>
  <c r="C81" i="24"/>
  <c r="C65" i="24"/>
  <c r="D65" i="24"/>
  <c r="E65" i="24"/>
  <c r="F65" i="24"/>
  <c r="E26" i="24"/>
  <c r="F26" i="24"/>
  <c r="C26" i="24"/>
  <c r="C22" i="24"/>
  <c r="F22" i="24"/>
  <c r="E22" i="24"/>
  <c r="F10" i="24"/>
  <c r="C10" i="24"/>
  <c r="C93" i="24"/>
  <c r="D93" i="24"/>
  <c r="E93" i="24"/>
  <c r="F93" i="24"/>
  <c r="C85" i="24"/>
  <c r="F85" i="24"/>
  <c r="D85" i="24"/>
  <c r="E85" i="24"/>
  <c r="F77" i="24"/>
  <c r="C77" i="24"/>
  <c r="D77" i="24"/>
  <c r="E77" i="24"/>
  <c r="C69" i="24"/>
  <c r="D69" i="24"/>
  <c r="E69" i="24"/>
  <c r="F69" i="24"/>
  <c r="C61" i="24"/>
  <c r="F61" i="24"/>
  <c r="D61" i="24"/>
  <c r="E61" i="24"/>
  <c r="C28" i="24"/>
  <c r="E28" i="24"/>
  <c r="F28" i="24"/>
  <c r="E24" i="24"/>
  <c r="C24" i="24"/>
  <c r="F24" i="24"/>
  <c r="C20" i="24"/>
  <c r="E20" i="24"/>
  <c r="F20" i="24"/>
  <c r="E16" i="24"/>
  <c r="F16" i="24"/>
  <c r="C16" i="24"/>
  <c r="F12" i="24"/>
  <c r="C12" i="24"/>
  <c r="C8" i="24"/>
  <c r="F8" i="24"/>
  <c r="D60" i="24"/>
  <c r="F60" i="24"/>
  <c r="C60" i="24"/>
  <c r="D91" i="24"/>
  <c r="E91" i="24"/>
  <c r="C91" i="24"/>
  <c r="F91" i="24"/>
  <c r="C83" i="24"/>
  <c r="F83" i="24"/>
  <c r="D83" i="24"/>
  <c r="E83" i="24"/>
  <c r="F75" i="24"/>
  <c r="D75" i="24"/>
  <c r="E75" i="24"/>
  <c r="C75" i="24"/>
  <c r="C67" i="24"/>
  <c r="D67" i="24"/>
  <c r="E67" i="24"/>
  <c r="F67" i="24"/>
  <c r="C19" i="24"/>
  <c r="C80" i="24"/>
  <c r="C59" i="24"/>
  <c r="E29" i="24"/>
  <c r="E21" i="24"/>
  <c r="C70" i="24"/>
  <c r="C96" i="24"/>
  <c r="C92" i="24"/>
  <c r="C88" i="24"/>
  <c r="C25" i="24"/>
  <c r="C9" i="24"/>
  <c r="C27" i="24"/>
  <c r="C62" i="24"/>
  <c r="C23" i="24"/>
  <c r="C66" i="24"/>
  <c r="E27" i="24"/>
  <c r="E19" i="24"/>
  <c r="C11" i="24"/>
  <c r="C90" i="24"/>
  <c r="C78" i="24"/>
  <c r="C64" i="24"/>
  <c r="C72" i="24"/>
  <c r="F96" i="24"/>
  <c r="F94" i="24"/>
  <c r="F92" i="24"/>
  <c r="F90" i="24"/>
  <c r="F88" i="24"/>
  <c r="F86" i="24"/>
  <c r="F84" i="24"/>
  <c r="F82" i="24"/>
  <c r="F80" i="24"/>
  <c r="F78" i="24"/>
  <c r="F76" i="24"/>
  <c r="F74" i="24"/>
  <c r="F72" i="24"/>
  <c r="F70" i="24"/>
  <c r="F68" i="24"/>
  <c r="F66" i="24"/>
  <c r="F64" i="24"/>
  <c r="F62" i="24"/>
  <c r="C17" i="24"/>
  <c r="C94" i="24"/>
  <c r="C21" i="24"/>
  <c r="C74" i="24"/>
  <c r="E96" i="24"/>
  <c r="E94" i="24"/>
  <c r="E92" i="24"/>
  <c r="E90" i="24"/>
  <c r="E88" i="24"/>
  <c r="E86" i="24"/>
  <c r="E84" i="24"/>
  <c r="E82" i="24"/>
  <c r="E80" i="24"/>
  <c r="E78" i="24"/>
  <c r="E76" i="24"/>
  <c r="E74" i="24"/>
  <c r="E72" i="24"/>
  <c r="E70" i="24"/>
  <c r="E68" i="24"/>
  <c r="E66" i="24"/>
  <c r="E64" i="24"/>
  <c r="E62" i="24"/>
  <c r="E25" i="24"/>
  <c r="E17" i="24"/>
  <c r="C29" i="24"/>
  <c r="C68" i="24"/>
  <c r="C76" i="24"/>
  <c r="C82" i="24"/>
  <c r="C13" i="24"/>
  <c r="C84" i="24"/>
  <c r="E121" i="19"/>
  <c r="C21" i="20"/>
  <c r="D21" i="20"/>
  <c r="E21" i="20"/>
  <c r="F21" i="20"/>
  <c r="C21" i="28"/>
  <c r="E21" i="28"/>
  <c r="D21" i="28"/>
  <c r="C21" i="19"/>
  <c r="E21" i="19"/>
  <c r="D21" i="19"/>
  <c r="C20" i="20"/>
  <c r="F20" i="20"/>
  <c r="D20" i="20"/>
  <c r="E20" i="20"/>
  <c r="C29" i="19"/>
  <c r="E29" i="19"/>
  <c r="D29" i="19"/>
  <c r="C21" i="23"/>
  <c r="M41" i="30" s="1"/>
  <c r="E21" i="23"/>
  <c r="D21" i="23"/>
  <c r="O41" i="30" s="1"/>
  <c r="C20" i="18"/>
  <c r="D20" i="18"/>
  <c r="E20" i="18"/>
  <c r="C26" i="20"/>
  <c r="H26" i="20"/>
  <c r="E26" i="20"/>
  <c r="F26" i="20"/>
  <c r="D26" i="20"/>
  <c r="G26" i="20"/>
  <c r="C25" i="21"/>
  <c r="E25" i="21"/>
  <c r="D25" i="21"/>
  <c r="C40" i="30"/>
  <c r="E40" i="30"/>
  <c r="M40" i="30"/>
  <c r="O40" i="30"/>
  <c r="C27" i="19"/>
  <c r="E27" i="19"/>
  <c r="D27" i="19"/>
  <c r="C22" i="17"/>
  <c r="E22" i="17"/>
  <c r="D22" i="17"/>
  <c r="C28" i="20"/>
  <c r="H28" i="20"/>
  <c r="G28" i="20"/>
  <c r="E28" i="20"/>
  <c r="F28" i="20"/>
  <c r="D28" i="20"/>
  <c r="C21" i="21"/>
  <c r="D21" i="21"/>
  <c r="E21" i="21"/>
  <c r="C30" i="17"/>
  <c r="E30" i="17"/>
  <c r="D30" i="17"/>
  <c r="C21" i="17"/>
  <c r="E21" i="17"/>
  <c r="D21" i="17"/>
  <c r="C29" i="28"/>
  <c r="E29" i="28"/>
  <c r="D29" i="28"/>
  <c r="C29" i="21"/>
  <c r="E29" i="21"/>
  <c r="D29" i="21"/>
  <c r="C27" i="28"/>
  <c r="D27" i="28"/>
  <c r="E27" i="28"/>
  <c r="C29" i="17"/>
  <c r="E29" i="17"/>
  <c r="D29" i="17"/>
  <c r="C25" i="17"/>
  <c r="E25" i="17"/>
  <c r="D25" i="17"/>
  <c r="C20" i="19"/>
  <c r="E20" i="19"/>
  <c r="D20" i="19"/>
  <c r="C24" i="20"/>
  <c r="G24" i="20"/>
  <c r="F24" i="20"/>
  <c r="E24" i="20"/>
  <c r="H24" i="20"/>
  <c r="D24" i="20"/>
  <c r="C26" i="28"/>
  <c r="E26" i="28"/>
  <c r="D26" i="28"/>
  <c r="M43" i="30"/>
  <c r="O43" i="30"/>
  <c r="C28" i="17"/>
  <c r="E28" i="17"/>
  <c r="D28" i="17"/>
  <c r="C27" i="21"/>
  <c r="D27" i="21"/>
  <c r="E27" i="21"/>
  <c r="C26" i="21"/>
  <c r="E26" i="21"/>
  <c r="D26" i="21"/>
  <c r="C28" i="19"/>
  <c r="E28" i="19"/>
  <c r="D28" i="19"/>
  <c r="C25" i="28"/>
  <c r="E25" i="28"/>
  <c r="D25" i="28"/>
  <c r="C42" i="30"/>
  <c r="E42" i="30"/>
  <c r="C22" i="19"/>
  <c r="E22" i="19"/>
  <c r="D22" i="19"/>
  <c r="E31" i="20"/>
  <c r="E22" i="21"/>
  <c r="E22" i="28"/>
  <c r="D31" i="20"/>
  <c r="D27" i="20"/>
  <c r="D23" i="20"/>
  <c r="G27" i="20"/>
  <c r="E29" i="20"/>
  <c r="D31" i="21"/>
  <c r="E28" i="21"/>
  <c r="D23" i="21"/>
  <c r="E20" i="21"/>
  <c r="D31" i="28"/>
  <c r="E28" i="28"/>
  <c r="D23" i="28"/>
  <c r="E20" i="28"/>
  <c r="E44" i="30"/>
  <c r="E21" i="6"/>
  <c r="E31" i="19"/>
  <c r="D26" i="19"/>
  <c r="E23" i="19"/>
  <c r="D27" i="17"/>
  <c r="E24" i="17"/>
  <c r="H31" i="20"/>
  <c r="H23" i="20"/>
  <c r="F31" i="20"/>
  <c r="F27" i="20"/>
  <c r="F23" i="20"/>
  <c r="H30" i="20"/>
  <c r="F29" i="18"/>
  <c r="D24" i="19"/>
  <c r="H29" i="20"/>
  <c r="D30" i="20"/>
  <c r="D22" i="20"/>
  <c r="E27" i="20"/>
  <c r="F30" i="20"/>
  <c r="F22" i="20"/>
  <c r="D24" i="21"/>
  <c r="D24" i="28"/>
  <c r="E24" i="19"/>
  <c r="D29" i="20"/>
  <c r="D25" i="20"/>
  <c r="G31" i="20"/>
  <c r="G23" i="20"/>
  <c r="E25" i="20"/>
  <c r="E24" i="21"/>
  <c r="E24" i="28"/>
  <c r="D30" i="19"/>
  <c r="D31" i="17"/>
  <c r="D23" i="17"/>
  <c r="H27" i="20"/>
  <c r="F22" i="18"/>
  <c r="E30" i="19"/>
  <c r="D25" i="19"/>
  <c r="E31" i="17"/>
  <c r="D26" i="17"/>
  <c r="E23" i="17"/>
  <c r="F30" i="18"/>
  <c r="F163" i="19"/>
  <c r="F160" i="17"/>
  <c r="F158" i="17"/>
  <c r="E116" i="17"/>
  <c r="E54" i="32" l="1"/>
  <c r="F28" i="21"/>
  <c r="F54" i="32"/>
  <c r="D54" i="32"/>
  <c r="C54" i="32"/>
  <c r="O111" i="20"/>
  <c r="AH24" i="30"/>
  <c r="O123" i="20"/>
  <c r="AH36" i="30"/>
  <c r="AH26" i="30"/>
  <c r="G71" i="6"/>
  <c r="O44" i="30"/>
  <c r="F24" i="17"/>
  <c r="F22" i="28"/>
  <c r="G21" i="20"/>
  <c r="G22" i="20"/>
  <c r="F21" i="6"/>
  <c r="F20" i="28"/>
  <c r="G55" i="6"/>
  <c r="L146" i="19"/>
  <c r="F22" i="21"/>
  <c r="F23" i="19"/>
  <c r="F28" i="28"/>
  <c r="F20" i="21"/>
  <c r="L138" i="19"/>
  <c r="L127" i="21"/>
  <c r="L146" i="28"/>
  <c r="L132" i="28"/>
  <c r="L122" i="19"/>
  <c r="L129" i="17"/>
  <c r="L143" i="23"/>
  <c r="L141" i="23"/>
  <c r="L118" i="28"/>
  <c r="L124" i="28"/>
  <c r="F30" i="28"/>
  <c r="G93" i="23"/>
  <c r="L140" i="28"/>
  <c r="L132" i="17"/>
  <c r="L116" i="28"/>
  <c r="L142" i="18"/>
  <c r="L146" i="23"/>
  <c r="L144" i="17"/>
  <c r="L126" i="19"/>
  <c r="L138" i="6"/>
  <c r="L128" i="19"/>
  <c r="L125" i="6"/>
  <c r="L129" i="18"/>
  <c r="L117" i="21"/>
  <c r="L121" i="19"/>
  <c r="L137" i="17"/>
  <c r="L122" i="28"/>
  <c r="L138" i="20"/>
  <c r="L128" i="18"/>
  <c r="L147" i="18"/>
  <c r="L128" i="6"/>
  <c r="L124" i="19"/>
  <c r="L140" i="19"/>
  <c r="L122" i="18"/>
  <c r="L118" i="17"/>
  <c r="L126" i="28"/>
  <c r="L128" i="17"/>
  <c r="L144" i="19"/>
  <c r="L112" i="21"/>
  <c r="L141" i="28"/>
  <c r="L147" i="23"/>
  <c r="L131" i="21"/>
  <c r="L125" i="28"/>
  <c r="L134" i="19"/>
  <c r="L144" i="20"/>
  <c r="L134" i="17"/>
  <c r="L127" i="18"/>
  <c r="L130" i="28"/>
  <c r="L121" i="21"/>
  <c r="L139" i="23"/>
  <c r="L132" i="21"/>
  <c r="L130" i="19"/>
  <c r="L135" i="17"/>
  <c r="L135" i="20"/>
  <c r="L147" i="20"/>
  <c r="L143" i="21"/>
  <c r="L140" i="6"/>
  <c r="L119" i="28"/>
  <c r="L144" i="23"/>
  <c r="L132" i="19"/>
  <c r="L143" i="28"/>
  <c r="L121" i="17"/>
  <c r="L145" i="17"/>
  <c r="L121" i="28"/>
  <c r="L116" i="21"/>
  <c r="L143" i="18"/>
  <c r="L118" i="18"/>
  <c r="L145" i="28"/>
  <c r="L133" i="28"/>
  <c r="L124" i="17"/>
  <c r="L135" i="23"/>
  <c r="L131" i="17"/>
  <c r="L140" i="18"/>
  <c r="L136" i="21"/>
  <c r="L130" i="18"/>
  <c r="L133" i="19"/>
  <c r="L131" i="20"/>
  <c r="L144" i="18"/>
  <c r="L133" i="23"/>
  <c r="L127" i="17"/>
  <c r="L128" i="28"/>
  <c r="L133" i="6"/>
  <c r="L113" i="21"/>
  <c r="L142" i="23"/>
  <c r="L122" i="6"/>
  <c r="L119" i="17"/>
  <c r="L142" i="28"/>
  <c r="L120" i="17"/>
  <c r="L145" i="23"/>
  <c r="L147" i="21"/>
  <c r="L138" i="17"/>
  <c r="L141" i="20"/>
  <c r="L140" i="20"/>
  <c r="L138" i="18"/>
  <c r="L123" i="17"/>
  <c r="L141" i="17"/>
  <c r="L133" i="17"/>
  <c r="L146" i="18"/>
  <c r="L125" i="17"/>
  <c r="L136" i="17"/>
  <c r="L132" i="20"/>
  <c r="L135" i="28"/>
  <c r="L137" i="21"/>
  <c r="L132" i="18"/>
  <c r="L134" i="28"/>
  <c r="L111" i="21"/>
  <c r="L136" i="20"/>
  <c r="L111" i="28"/>
  <c r="L117" i="28"/>
  <c r="L138" i="28"/>
  <c r="L120" i="18"/>
  <c r="L137" i="28"/>
  <c r="L137" i="20"/>
  <c r="L133" i="21"/>
  <c r="L119" i="18"/>
  <c r="L135" i="18"/>
  <c r="L118" i="21"/>
  <c r="L131" i="19"/>
  <c r="L147" i="6"/>
  <c r="L110" i="28"/>
  <c r="L138" i="23"/>
  <c r="L133" i="18"/>
  <c r="L134" i="6"/>
  <c r="L128" i="21"/>
  <c r="L146" i="17"/>
  <c r="L145" i="18"/>
  <c r="L123" i="6"/>
  <c r="L142" i="21"/>
  <c r="L140" i="17"/>
  <c r="L130" i="20"/>
  <c r="L143" i="20"/>
  <c r="L136" i="28"/>
  <c r="L139" i="21"/>
  <c r="L114" i="21"/>
  <c r="L146" i="21"/>
  <c r="L123" i="28"/>
  <c r="L130" i="17"/>
  <c r="L124" i="18"/>
  <c r="L144" i="28"/>
  <c r="L135" i="6"/>
  <c r="L139" i="17"/>
  <c r="L116" i="17"/>
  <c r="L142" i="19"/>
  <c r="L125" i="18"/>
  <c r="L142" i="20"/>
  <c r="L123" i="18"/>
  <c r="L137" i="18"/>
  <c r="L132" i="6"/>
  <c r="L137" i="6"/>
  <c r="L122" i="21"/>
  <c r="L139" i="6"/>
  <c r="L122" i="17"/>
  <c r="L129" i="21"/>
  <c r="L145" i="20"/>
  <c r="L120" i="28"/>
  <c r="L132" i="23"/>
  <c r="L133" i="20"/>
  <c r="L142" i="17"/>
  <c r="L145" i="6"/>
  <c r="L141" i="19"/>
  <c r="L147" i="17"/>
  <c r="L130" i="6"/>
  <c r="L113" i="28"/>
  <c r="L126" i="17"/>
  <c r="L137" i="23"/>
  <c r="L126" i="20"/>
  <c r="L115" i="21"/>
  <c r="L127" i="19"/>
  <c r="L143" i="19"/>
  <c r="L127" i="28"/>
  <c r="L139" i="19"/>
  <c r="L144" i="6"/>
  <c r="L144" i="21"/>
  <c r="L117" i="18"/>
  <c r="L135" i="19"/>
  <c r="L136" i="23"/>
  <c r="L121" i="6"/>
  <c r="L134" i="21"/>
  <c r="L135" i="21"/>
  <c r="L134" i="18"/>
  <c r="L129" i="20"/>
  <c r="L127" i="6"/>
  <c r="L143" i="6"/>
  <c r="L147" i="28"/>
  <c r="L131" i="18"/>
  <c r="L123" i="19"/>
  <c r="L136" i="6"/>
  <c r="L126" i="21"/>
  <c r="L139" i="28"/>
  <c r="L134" i="20"/>
  <c r="L127" i="20"/>
  <c r="L139" i="20"/>
  <c r="L125" i="19"/>
  <c r="L121" i="18"/>
  <c r="L124" i="6"/>
  <c r="L119" i="21"/>
  <c r="L129" i="19"/>
  <c r="L145" i="19"/>
  <c r="L123" i="21"/>
  <c r="L129" i="6"/>
  <c r="L141" i="6"/>
  <c r="L145" i="21"/>
  <c r="L136" i="19"/>
  <c r="L143" i="17"/>
  <c r="L142" i="6"/>
  <c r="L130" i="21"/>
  <c r="L138" i="21"/>
  <c r="L131" i="6"/>
  <c r="L115" i="28"/>
  <c r="L146" i="20"/>
  <c r="L117" i="17"/>
  <c r="L112" i="28"/>
  <c r="L141" i="21"/>
  <c r="L129" i="28"/>
  <c r="L120" i="21"/>
  <c r="L136" i="18"/>
  <c r="L140" i="21"/>
  <c r="L126" i="6"/>
  <c r="L137" i="19"/>
  <c r="L114" i="28"/>
  <c r="L141" i="18"/>
  <c r="L140" i="23"/>
  <c r="L139" i="18"/>
  <c r="L126" i="18"/>
  <c r="L124" i="21"/>
  <c r="L128" i="20"/>
  <c r="L147" i="19"/>
  <c r="L134" i="23"/>
  <c r="L146" i="6"/>
  <c r="L125" i="21"/>
  <c r="L131" i="28"/>
  <c r="F23" i="21"/>
  <c r="F27" i="17"/>
  <c r="V154" i="17"/>
  <c r="K168" i="23"/>
  <c r="U161" i="23"/>
  <c r="J161" i="23"/>
  <c r="G54" i="23"/>
  <c r="T154" i="6"/>
  <c r="S154" i="6"/>
  <c r="P154" i="6"/>
  <c r="U154" i="6"/>
  <c r="K154" i="6"/>
  <c r="S161" i="23"/>
  <c r="V161" i="23"/>
  <c r="N161" i="23"/>
  <c r="P161" i="23"/>
  <c r="K161" i="23"/>
  <c r="T161" i="20"/>
  <c r="S157" i="20"/>
  <c r="P154" i="17"/>
  <c r="N154" i="17"/>
  <c r="N154" i="6"/>
  <c r="J154" i="17"/>
  <c r="O154" i="6"/>
  <c r="K157" i="20"/>
  <c r="L154" i="6"/>
  <c r="Q168" i="23"/>
  <c r="V154" i="6"/>
  <c r="J154" i="6"/>
  <c r="L168" i="23"/>
  <c r="Q154" i="6"/>
  <c r="O161" i="20"/>
  <c r="Q161" i="20"/>
  <c r="N161" i="20"/>
  <c r="S161" i="20"/>
  <c r="L161" i="20"/>
  <c r="U161" i="20"/>
  <c r="K161" i="20"/>
  <c r="P161" i="20"/>
  <c r="J161" i="20"/>
  <c r="V161" i="20"/>
  <c r="G61" i="23"/>
  <c r="G62" i="23"/>
  <c r="G57" i="6"/>
  <c r="G60" i="23"/>
  <c r="G66" i="23"/>
  <c r="G99" i="23"/>
  <c r="G56" i="23"/>
  <c r="G58" i="23"/>
  <c r="G55" i="18"/>
  <c r="I168" i="23"/>
  <c r="K154" i="17"/>
  <c r="T154" i="17"/>
  <c r="O168" i="23"/>
  <c r="U154" i="17"/>
  <c r="O116" i="18"/>
  <c r="O111" i="17"/>
  <c r="G62" i="19"/>
  <c r="G73" i="17"/>
  <c r="G93" i="18"/>
  <c r="G62" i="28"/>
  <c r="G99" i="18"/>
  <c r="G74" i="23"/>
  <c r="G72" i="28"/>
  <c r="G92" i="20"/>
  <c r="G103" i="18"/>
  <c r="G55" i="21"/>
  <c r="G100" i="28"/>
  <c r="G88" i="18"/>
  <c r="G94" i="28"/>
  <c r="G89" i="18"/>
  <c r="G100" i="6"/>
  <c r="G96" i="23"/>
  <c r="G96" i="28"/>
  <c r="G73" i="6"/>
  <c r="G89" i="23"/>
  <c r="G74" i="21"/>
  <c r="G66" i="28"/>
  <c r="G69" i="28"/>
  <c r="G67" i="28"/>
  <c r="F31" i="21"/>
  <c r="G73" i="23"/>
  <c r="G64" i="6"/>
  <c r="G68" i="18"/>
  <c r="G72" i="18"/>
  <c r="G64" i="18"/>
  <c r="G53" i="6"/>
  <c r="G63" i="28"/>
  <c r="G97" i="28"/>
  <c r="G98" i="28"/>
  <c r="G70" i="21"/>
  <c r="G65" i="21"/>
  <c r="G88" i="23"/>
  <c r="G103" i="6"/>
  <c r="G87" i="20"/>
  <c r="G57" i="21"/>
  <c r="G98" i="19"/>
  <c r="G90" i="6"/>
  <c r="G68" i="28"/>
  <c r="G73" i="28"/>
  <c r="G88" i="6"/>
  <c r="G83" i="28"/>
  <c r="G95" i="17"/>
  <c r="G60" i="6"/>
  <c r="G86" i="6"/>
  <c r="G102" i="6"/>
  <c r="G59" i="6"/>
  <c r="G54" i="6"/>
  <c r="G55" i="23"/>
  <c r="G103" i="19"/>
  <c r="G53" i="23"/>
  <c r="G53" i="28"/>
  <c r="G74" i="6"/>
  <c r="G71" i="18"/>
  <c r="V159" i="19"/>
  <c r="G57" i="23"/>
  <c r="G70" i="6"/>
  <c r="G71" i="23"/>
  <c r="G62" i="20"/>
  <c r="G99" i="28"/>
  <c r="S159" i="19"/>
  <c r="S171" i="23"/>
  <c r="K159" i="19"/>
  <c r="I159" i="19"/>
  <c r="G57" i="28"/>
  <c r="G59" i="23"/>
  <c r="G91" i="19"/>
  <c r="G101" i="28"/>
  <c r="G56" i="6"/>
  <c r="G69" i="23"/>
  <c r="G64" i="21"/>
  <c r="G102" i="20"/>
  <c r="G65" i="28"/>
  <c r="G55" i="28"/>
  <c r="G67" i="23"/>
  <c r="G65" i="23"/>
  <c r="G61" i="18"/>
  <c r="G70" i="18"/>
  <c r="G85" i="6"/>
  <c r="G53" i="19"/>
  <c r="G63" i="19"/>
  <c r="G58" i="6"/>
  <c r="G53" i="17"/>
  <c r="G67" i="18"/>
  <c r="G70" i="28"/>
  <c r="G54" i="21"/>
  <c r="G58" i="21"/>
  <c r="G56" i="28"/>
  <c r="G88" i="17"/>
  <c r="G58" i="28"/>
  <c r="G102" i="18"/>
  <c r="G85" i="23"/>
  <c r="G85" i="17"/>
  <c r="G86" i="23"/>
  <c r="G92" i="6"/>
  <c r="G85" i="20"/>
  <c r="G94" i="18"/>
  <c r="G87" i="23"/>
  <c r="G96" i="6"/>
  <c r="G86" i="18"/>
  <c r="G103" i="23"/>
  <c r="G95" i="20"/>
  <c r="G87" i="18"/>
  <c r="G88" i="20"/>
  <c r="G99" i="6"/>
  <c r="G95" i="23"/>
  <c r="G95" i="28"/>
  <c r="G68" i="21"/>
  <c r="G89" i="19"/>
  <c r="G92" i="28"/>
  <c r="G69" i="17"/>
  <c r="G56" i="18"/>
  <c r="G74" i="19"/>
  <c r="G59" i="19"/>
  <c r="G61" i="17"/>
  <c r="G74" i="18"/>
  <c r="G71" i="19"/>
  <c r="G66" i="19"/>
  <c r="G59" i="28"/>
  <c r="G53" i="21"/>
  <c r="G61" i="20"/>
  <c r="G91" i="18"/>
  <c r="G61" i="28"/>
  <c r="G70" i="23"/>
  <c r="G96" i="19"/>
  <c r="G65" i="6"/>
  <c r="G102" i="17"/>
  <c r="G100" i="19"/>
  <c r="G101" i="23"/>
  <c r="G101" i="20"/>
  <c r="G92" i="19"/>
  <c r="G87" i="6"/>
  <c r="G100" i="23"/>
  <c r="G63" i="23"/>
  <c r="G60" i="18"/>
  <c r="G64" i="19"/>
  <c r="G71" i="17"/>
  <c r="G65" i="19"/>
  <c r="G67" i="19"/>
  <c r="G71" i="28"/>
  <c r="G60" i="20"/>
  <c r="G66" i="21"/>
  <c r="G61" i="6"/>
  <c r="G69" i="20"/>
  <c r="G86" i="19"/>
  <c r="G69" i="6"/>
  <c r="G90" i="17"/>
  <c r="G91" i="23"/>
  <c r="G59" i="20"/>
  <c r="G65" i="20"/>
  <c r="G100" i="20"/>
  <c r="G86" i="20"/>
  <c r="G72" i="21"/>
  <c r="G97" i="18"/>
  <c r="G102" i="28"/>
  <c r="G91" i="17"/>
  <c r="G98" i="20"/>
  <c r="G85" i="28"/>
  <c r="G98" i="23"/>
  <c r="G95" i="6"/>
  <c r="G73" i="21"/>
  <c r="G57" i="18"/>
  <c r="G69" i="21"/>
  <c r="G68" i="20"/>
  <c r="G58" i="19"/>
  <c r="G57" i="17"/>
  <c r="G64" i="23"/>
  <c r="G62" i="18"/>
  <c r="G70" i="19"/>
  <c r="G62" i="17"/>
  <c r="G68" i="6"/>
  <c r="G72" i="19"/>
  <c r="G68" i="23"/>
  <c r="G66" i="20"/>
  <c r="G60" i="28"/>
  <c r="G60" i="21"/>
  <c r="G102" i="19"/>
  <c r="G74" i="20"/>
  <c r="G85" i="18"/>
  <c r="G64" i="20"/>
  <c r="G62" i="21"/>
  <c r="G63" i="21"/>
  <c r="G84" i="28"/>
  <c r="G99" i="17"/>
  <c r="G97" i="19"/>
  <c r="G88" i="28"/>
  <c r="G91" i="20"/>
  <c r="G59" i="17"/>
  <c r="G103" i="17"/>
  <c r="G101" i="6"/>
  <c r="G101" i="19"/>
  <c r="G71" i="21"/>
  <c r="G63" i="18"/>
  <c r="G87" i="17"/>
  <c r="G56" i="17"/>
  <c r="G65" i="18"/>
  <c r="G56" i="19"/>
  <c r="G57" i="19"/>
  <c r="G68" i="19"/>
  <c r="G65" i="17"/>
  <c r="G63" i="17"/>
  <c r="G98" i="17"/>
  <c r="G56" i="20"/>
  <c r="G63" i="6"/>
  <c r="G61" i="21"/>
  <c r="G58" i="20"/>
  <c r="G86" i="17"/>
  <c r="G64" i="28"/>
  <c r="G94" i="17"/>
  <c r="G93" i="20"/>
  <c r="G102" i="23"/>
  <c r="G91" i="28"/>
  <c r="G94" i="20"/>
  <c r="G95" i="18"/>
  <c r="G96" i="18"/>
  <c r="G98" i="6"/>
  <c r="G86" i="28"/>
  <c r="G89" i="20"/>
  <c r="G100" i="17"/>
  <c r="G89" i="6"/>
  <c r="G99" i="19"/>
  <c r="G95" i="19"/>
  <c r="G97" i="17"/>
  <c r="G58" i="17"/>
  <c r="G60" i="17"/>
  <c r="G69" i="18"/>
  <c r="G74" i="17"/>
  <c r="G72" i="6"/>
  <c r="G55" i="17"/>
  <c r="G69" i="19"/>
  <c r="G55" i="19"/>
  <c r="G66" i="18"/>
  <c r="G60" i="19"/>
  <c r="G61" i="19"/>
  <c r="G67" i="6"/>
  <c r="G73" i="20"/>
  <c r="G74" i="28"/>
  <c r="G96" i="17"/>
  <c r="G94" i="6"/>
  <c r="G54" i="28"/>
  <c r="G101" i="18"/>
  <c r="G72" i="20"/>
  <c r="G93" i="17"/>
  <c r="G90" i="19"/>
  <c r="G97" i="23"/>
  <c r="G89" i="28"/>
  <c r="G92" i="23"/>
  <c r="G90" i="28"/>
  <c r="G56" i="21"/>
  <c r="G97" i="6"/>
  <c r="G103" i="20"/>
  <c r="G96" i="20"/>
  <c r="G94" i="23"/>
  <c r="G103" i="28"/>
  <c r="G92" i="17"/>
  <c r="G99" i="20"/>
  <c r="G100" i="18"/>
  <c r="G92" i="18"/>
  <c r="G54" i="17"/>
  <c r="G85" i="19"/>
  <c r="G64" i="17"/>
  <c r="G73" i="18"/>
  <c r="G67" i="17"/>
  <c r="G55" i="20"/>
  <c r="G63" i="20"/>
  <c r="G93" i="28"/>
  <c r="G97" i="20"/>
  <c r="G93" i="6"/>
  <c r="G89" i="17"/>
  <c r="G87" i="19"/>
  <c r="G66" i="17"/>
  <c r="G68" i="17"/>
  <c r="G54" i="19"/>
  <c r="G62" i="6"/>
  <c r="G90" i="20"/>
  <c r="G101" i="17"/>
  <c r="G90" i="23"/>
  <c r="G54" i="18"/>
  <c r="G70" i="17"/>
  <c r="G93" i="19"/>
  <c r="G72" i="17"/>
  <c r="G67" i="21"/>
  <c r="G73" i="19"/>
  <c r="G67" i="20"/>
  <c r="G58" i="18"/>
  <c r="G88" i="19"/>
  <c r="G70" i="20"/>
  <c r="G57" i="20"/>
  <c r="G72" i="23"/>
  <c r="G71" i="20"/>
  <c r="G94" i="19"/>
  <c r="G59" i="21"/>
  <c r="G66" i="6"/>
  <c r="G91" i="6"/>
  <c r="G87" i="28"/>
  <c r="G90" i="18"/>
  <c r="G98" i="18"/>
  <c r="G59" i="18"/>
  <c r="G53" i="18"/>
  <c r="F23" i="28"/>
  <c r="S167" i="23"/>
  <c r="T167" i="23"/>
  <c r="G101" i="21"/>
  <c r="G86" i="21"/>
  <c r="N38" i="32"/>
  <c r="N37" i="32" s="1"/>
  <c r="F26" i="19"/>
  <c r="U163" i="23"/>
  <c r="F31" i="28"/>
  <c r="J163" i="23"/>
  <c r="N163" i="23"/>
  <c r="J137" i="17"/>
  <c r="H137" i="17"/>
  <c r="H131" i="21"/>
  <c r="J131" i="21"/>
  <c r="H116" i="17"/>
  <c r="J116" i="17"/>
  <c r="H135" i="17"/>
  <c r="J135" i="17"/>
  <c r="J114" i="28"/>
  <c r="H114" i="28"/>
  <c r="J134" i="28"/>
  <c r="H134" i="28"/>
  <c r="J135" i="23"/>
  <c r="H135" i="23"/>
  <c r="J143" i="23"/>
  <c r="H143" i="23"/>
  <c r="J119" i="18"/>
  <c r="H119" i="18"/>
  <c r="J135" i="18"/>
  <c r="H135" i="18"/>
  <c r="J134" i="20"/>
  <c r="H134" i="20"/>
  <c r="J117" i="17"/>
  <c r="H117" i="17"/>
  <c r="J122" i="19"/>
  <c r="H122" i="19"/>
  <c r="J138" i="19"/>
  <c r="H138" i="19"/>
  <c r="J135" i="28"/>
  <c r="H135" i="28"/>
  <c r="J121" i="21"/>
  <c r="H121" i="21"/>
  <c r="H132" i="23"/>
  <c r="J132" i="23"/>
  <c r="J116" i="21"/>
  <c r="H116" i="21"/>
  <c r="H139" i="18"/>
  <c r="J139" i="18"/>
  <c r="H136" i="17"/>
  <c r="J136" i="17"/>
  <c r="J121" i="18"/>
  <c r="H121" i="18"/>
  <c r="J139" i="19"/>
  <c r="H139" i="19"/>
  <c r="J136" i="6"/>
  <c r="H136" i="6"/>
  <c r="J140" i="20"/>
  <c r="H140" i="20"/>
  <c r="J144" i="21"/>
  <c r="H144" i="21"/>
  <c r="H127" i="17"/>
  <c r="J127" i="17"/>
  <c r="H128" i="28"/>
  <c r="J128" i="28"/>
  <c r="J142" i="17"/>
  <c r="H142" i="17"/>
  <c r="H122" i="18"/>
  <c r="J122" i="18"/>
  <c r="H145" i="6"/>
  <c r="J145" i="6"/>
  <c r="J147" i="19"/>
  <c r="H147" i="19"/>
  <c r="J126" i="6"/>
  <c r="H126" i="6"/>
  <c r="H133" i="21"/>
  <c r="J133" i="21"/>
  <c r="J147" i="28"/>
  <c r="H147" i="28"/>
  <c r="H139" i="23"/>
  <c r="J139" i="23"/>
  <c r="J143" i="28"/>
  <c r="H143" i="28"/>
  <c r="J116" i="28"/>
  <c r="H116" i="28"/>
  <c r="J138" i="28"/>
  <c r="H138" i="28"/>
  <c r="J122" i="17"/>
  <c r="H122" i="17"/>
  <c r="H120" i="17"/>
  <c r="J120" i="17"/>
  <c r="J137" i="23"/>
  <c r="H137" i="23"/>
  <c r="J145" i="23"/>
  <c r="H145" i="23"/>
  <c r="J142" i="20"/>
  <c r="H142" i="20"/>
  <c r="J141" i="18"/>
  <c r="H141" i="18"/>
  <c r="J137" i="21"/>
  <c r="H137" i="21"/>
  <c r="H125" i="17"/>
  <c r="J125" i="17"/>
  <c r="J144" i="19"/>
  <c r="H144" i="19"/>
  <c r="J131" i="20"/>
  <c r="H131" i="20"/>
  <c r="J127" i="21"/>
  <c r="H127" i="21"/>
  <c r="J137" i="18"/>
  <c r="H137" i="18"/>
  <c r="H144" i="6"/>
  <c r="J144" i="6"/>
  <c r="J137" i="20"/>
  <c r="H137" i="20"/>
  <c r="J129" i="19"/>
  <c r="H129" i="19"/>
  <c r="J145" i="19"/>
  <c r="H145" i="19"/>
  <c r="J132" i="20"/>
  <c r="H132" i="20"/>
  <c r="H123" i="21"/>
  <c r="J123" i="21"/>
  <c r="J133" i="6"/>
  <c r="H133" i="6"/>
  <c r="J141" i="19"/>
  <c r="H141" i="19"/>
  <c r="J147" i="17"/>
  <c r="H147" i="17"/>
  <c r="H129" i="18"/>
  <c r="J129" i="18"/>
  <c r="H126" i="19"/>
  <c r="J126" i="19"/>
  <c r="J134" i="23"/>
  <c r="H134" i="23"/>
  <c r="J146" i="6"/>
  <c r="H146" i="6"/>
  <c r="J125" i="21"/>
  <c r="H125" i="21"/>
  <c r="J121" i="28"/>
  <c r="H121" i="28"/>
  <c r="J141" i="28"/>
  <c r="H141" i="28"/>
  <c r="J137" i="28"/>
  <c r="H137" i="28"/>
  <c r="J121" i="19"/>
  <c r="H121" i="19"/>
  <c r="J122" i="28"/>
  <c r="H122" i="28"/>
  <c r="J118" i="28"/>
  <c r="H118" i="28"/>
  <c r="J140" i="28"/>
  <c r="H140" i="28"/>
  <c r="J132" i="19"/>
  <c r="H132" i="19"/>
  <c r="J120" i="21"/>
  <c r="H120" i="21"/>
  <c r="J140" i="23"/>
  <c r="H140" i="23"/>
  <c r="H123" i="18"/>
  <c r="J123" i="18"/>
  <c r="J128" i="19"/>
  <c r="H128" i="19"/>
  <c r="J127" i="28"/>
  <c r="H127" i="28"/>
  <c r="H134" i="19"/>
  <c r="J134" i="19"/>
  <c r="J138" i="23"/>
  <c r="H138" i="23"/>
  <c r="J124" i="6"/>
  <c r="H124" i="6"/>
  <c r="J124" i="21"/>
  <c r="H124" i="21"/>
  <c r="H132" i="18"/>
  <c r="J132" i="18"/>
  <c r="J144" i="20"/>
  <c r="H144" i="20"/>
  <c r="J117" i="18"/>
  <c r="H117" i="18"/>
  <c r="H138" i="18"/>
  <c r="J138" i="18"/>
  <c r="H135" i="19"/>
  <c r="J135" i="19"/>
  <c r="J136" i="23"/>
  <c r="H136" i="23"/>
  <c r="H121" i="6"/>
  <c r="J121" i="6"/>
  <c r="J113" i="21"/>
  <c r="H113" i="21"/>
  <c r="H144" i="28"/>
  <c r="J144" i="28"/>
  <c r="J118" i="18"/>
  <c r="H118" i="18"/>
  <c r="H145" i="18"/>
  <c r="J145" i="18"/>
  <c r="H142" i="19"/>
  <c r="J142" i="19"/>
  <c r="J138" i="6"/>
  <c r="H138" i="6"/>
  <c r="H114" i="21"/>
  <c r="J114" i="21"/>
  <c r="H146" i="21"/>
  <c r="J146" i="21"/>
  <c r="J145" i="20"/>
  <c r="H145" i="20"/>
  <c r="H117" i="21"/>
  <c r="J117" i="21"/>
  <c r="H144" i="17"/>
  <c r="J144" i="17"/>
  <c r="J136" i="18"/>
  <c r="H136" i="18"/>
  <c r="H127" i="20"/>
  <c r="J127" i="20"/>
  <c r="J139" i="20"/>
  <c r="H139" i="20"/>
  <c r="J144" i="18"/>
  <c r="H144" i="18"/>
  <c r="J121" i="17"/>
  <c r="H121" i="17"/>
  <c r="J145" i="17"/>
  <c r="H145" i="17"/>
  <c r="J126" i="18"/>
  <c r="H126" i="18"/>
  <c r="J132" i="6"/>
  <c r="H132" i="6"/>
  <c r="H136" i="28"/>
  <c r="J136" i="28"/>
  <c r="J136" i="20"/>
  <c r="H136" i="20"/>
  <c r="J129" i="6"/>
  <c r="H129" i="6"/>
  <c r="J141" i="6"/>
  <c r="H141" i="6"/>
  <c r="J134" i="21"/>
  <c r="H134" i="21"/>
  <c r="J135" i="21"/>
  <c r="H135" i="21"/>
  <c r="J123" i="17"/>
  <c r="H123" i="17"/>
  <c r="J130" i="6"/>
  <c r="H130" i="6"/>
  <c r="J123" i="6"/>
  <c r="H123" i="6"/>
  <c r="J142" i="21"/>
  <c r="H142" i="21"/>
  <c r="J115" i="28"/>
  <c r="H115" i="28"/>
  <c r="H117" i="28"/>
  <c r="J117" i="28"/>
  <c r="J113" i="28"/>
  <c r="H113" i="28"/>
  <c r="J145" i="28"/>
  <c r="H145" i="28"/>
  <c r="J139" i="17"/>
  <c r="H139" i="17"/>
  <c r="J124" i="28"/>
  <c r="H124" i="28"/>
  <c r="J146" i="28"/>
  <c r="H146" i="28"/>
  <c r="H124" i="17"/>
  <c r="J124" i="17"/>
  <c r="J129" i="17"/>
  <c r="H129" i="17"/>
  <c r="J147" i="23"/>
  <c r="H147" i="23"/>
  <c r="J131" i="17"/>
  <c r="H131" i="17"/>
  <c r="H124" i="18"/>
  <c r="J124" i="18"/>
  <c r="H140" i="18"/>
  <c r="J140" i="18"/>
  <c r="J130" i="20"/>
  <c r="H130" i="20"/>
  <c r="J120" i="18"/>
  <c r="H120" i="18"/>
  <c r="J132" i="21"/>
  <c r="H132" i="21"/>
  <c r="J142" i="18"/>
  <c r="H142" i="18"/>
  <c r="J140" i="6"/>
  <c r="H140" i="6"/>
  <c r="J119" i="28"/>
  <c r="H119" i="28"/>
  <c r="J133" i="20"/>
  <c r="H133" i="20"/>
  <c r="H128" i="20"/>
  <c r="J128" i="20"/>
  <c r="J128" i="21"/>
  <c r="H128" i="21"/>
  <c r="J134" i="17"/>
  <c r="H134" i="17"/>
  <c r="J133" i="18"/>
  <c r="H133" i="18"/>
  <c r="J130" i="19"/>
  <c r="H130" i="19"/>
  <c r="J146" i="19"/>
  <c r="H146" i="19"/>
  <c r="J145" i="21"/>
  <c r="H145" i="21"/>
  <c r="J136" i="19"/>
  <c r="H136" i="19"/>
  <c r="H143" i="17"/>
  <c r="J143" i="17"/>
  <c r="J134" i="18"/>
  <c r="H134" i="18"/>
  <c r="J142" i="23"/>
  <c r="H142" i="23"/>
  <c r="J122" i="6"/>
  <c r="H122" i="6"/>
  <c r="J135" i="6"/>
  <c r="H135" i="6"/>
  <c r="J126" i="21"/>
  <c r="H126" i="21"/>
  <c r="J147" i="6"/>
  <c r="H147" i="6"/>
  <c r="J131" i="28"/>
  <c r="H131" i="28"/>
  <c r="J126" i="17"/>
  <c r="H126" i="17"/>
  <c r="J126" i="28"/>
  <c r="H126" i="28"/>
  <c r="J141" i="23"/>
  <c r="H141" i="23"/>
  <c r="H137" i="19"/>
  <c r="J137" i="19"/>
  <c r="J138" i="20"/>
  <c r="H138" i="20"/>
  <c r="H130" i="18"/>
  <c r="J130" i="18"/>
  <c r="H132" i="17"/>
  <c r="J132" i="17"/>
  <c r="H135" i="20"/>
  <c r="J135" i="20"/>
  <c r="J147" i="20"/>
  <c r="H147" i="20"/>
  <c r="J143" i="21"/>
  <c r="H143" i="21"/>
  <c r="J146" i="23"/>
  <c r="H146" i="23"/>
  <c r="J111" i="21"/>
  <c r="H111" i="21"/>
  <c r="H139" i="21"/>
  <c r="J139" i="21"/>
  <c r="J144" i="23"/>
  <c r="H144" i="23"/>
  <c r="J129" i="20"/>
  <c r="H129" i="20"/>
  <c r="J127" i="6"/>
  <c r="H127" i="6"/>
  <c r="J143" i="6"/>
  <c r="H143" i="6"/>
  <c r="J125" i="28"/>
  <c r="H125" i="28"/>
  <c r="J133" i="28"/>
  <c r="H133" i="28"/>
  <c r="J142" i="28"/>
  <c r="H142" i="28"/>
  <c r="J130" i="17"/>
  <c r="H130" i="17"/>
  <c r="H128" i="17"/>
  <c r="J128" i="17"/>
  <c r="J141" i="17"/>
  <c r="H141" i="17"/>
  <c r="J130" i="28"/>
  <c r="H130" i="28"/>
  <c r="J133" i="17"/>
  <c r="H133" i="17"/>
  <c r="H146" i="20"/>
  <c r="J146" i="20"/>
  <c r="J136" i="21"/>
  <c r="H136" i="21"/>
  <c r="J138" i="17"/>
  <c r="H138" i="17"/>
  <c r="J127" i="19"/>
  <c r="H127" i="19"/>
  <c r="H143" i="19"/>
  <c r="J143" i="19"/>
  <c r="J128" i="18"/>
  <c r="H128" i="18"/>
  <c r="H147" i="18"/>
  <c r="J147" i="18"/>
  <c r="J125" i="19"/>
  <c r="H125" i="19"/>
  <c r="J141" i="20"/>
  <c r="H141" i="20"/>
  <c r="J127" i="18"/>
  <c r="H127" i="18"/>
  <c r="J143" i="18"/>
  <c r="H143" i="18"/>
  <c r="J124" i="19"/>
  <c r="H124" i="19"/>
  <c r="J140" i="19"/>
  <c r="H140" i="19"/>
  <c r="J146" i="17"/>
  <c r="H146" i="17"/>
  <c r="J137" i="6"/>
  <c r="H137" i="6"/>
  <c r="J118" i="21"/>
  <c r="H118" i="21"/>
  <c r="J140" i="21"/>
  <c r="H140" i="21"/>
  <c r="J142" i="6"/>
  <c r="H142" i="6"/>
  <c r="J112" i="21"/>
  <c r="H112" i="21"/>
  <c r="J130" i="21"/>
  <c r="H130" i="21"/>
  <c r="H138" i="21"/>
  <c r="J138" i="21"/>
  <c r="J131" i="6"/>
  <c r="H131" i="6"/>
  <c r="J111" i="28"/>
  <c r="H111" i="28"/>
  <c r="J123" i="28"/>
  <c r="H123" i="28"/>
  <c r="H119" i="17"/>
  <c r="J119" i="17"/>
  <c r="J132" i="28"/>
  <c r="H132" i="28"/>
  <c r="J126" i="20"/>
  <c r="H126" i="20"/>
  <c r="H115" i="21"/>
  <c r="J115" i="21"/>
  <c r="J147" i="21"/>
  <c r="H147" i="21"/>
  <c r="H120" i="28"/>
  <c r="J120" i="28"/>
  <c r="J125" i="18"/>
  <c r="H125" i="18"/>
  <c r="H146" i="18"/>
  <c r="J146" i="18"/>
  <c r="H131" i="18"/>
  <c r="J131" i="18"/>
  <c r="J133" i="19"/>
  <c r="H133" i="19"/>
  <c r="J143" i="20"/>
  <c r="H143" i="20"/>
  <c r="J112" i="28"/>
  <c r="H112" i="28"/>
  <c r="J118" i="17"/>
  <c r="H118" i="17"/>
  <c r="J123" i="19"/>
  <c r="H123" i="19"/>
  <c r="H128" i="6"/>
  <c r="J128" i="6"/>
  <c r="J119" i="21"/>
  <c r="H119" i="21"/>
  <c r="J133" i="23"/>
  <c r="H133" i="23"/>
  <c r="J125" i="6"/>
  <c r="H125" i="6"/>
  <c r="J129" i="21"/>
  <c r="H129" i="21"/>
  <c r="H140" i="17"/>
  <c r="J140" i="17"/>
  <c r="J131" i="19"/>
  <c r="H131" i="19"/>
  <c r="J134" i="6"/>
  <c r="H134" i="6"/>
  <c r="J141" i="21"/>
  <c r="H141" i="21"/>
  <c r="H122" i="21"/>
  <c r="J122" i="21"/>
  <c r="J139" i="6"/>
  <c r="H139" i="6"/>
  <c r="J139" i="28"/>
  <c r="H139" i="28"/>
  <c r="J129" i="28"/>
  <c r="H129" i="28"/>
  <c r="K162" i="6"/>
  <c r="O156" i="18"/>
  <c r="O161" i="6"/>
  <c r="K155" i="19"/>
  <c r="L154" i="17"/>
  <c r="O157" i="20"/>
  <c r="V168" i="23"/>
  <c r="S168" i="23"/>
  <c r="T168" i="23"/>
  <c r="Q154" i="17"/>
  <c r="I157" i="20"/>
  <c r="U168" i="23"/>
  <c r="O154" i="17"/>
  <c r="P168" i="23"/>
  <c r="S154" i="17"/>
  <c r="Q157" i="20"/>
  <c r="J168" i="23"/>
  <c r="J152" i="23"/>
  <c r="U159" i="19"/>
  <c r="J159" i="19"/>
  <c r="O159" i="19"/>
  <c r="T159" i="19"/>
  <c r="Q159" i="19"/>
  <c r="L159" i="19"/>
  <c r="P159" i="19"/>
  <c r="N167" i="23"/>
  <c r="Q152" i="20"/>
  <c r="S156" i="18"/>
  <c r="L156" i="18"/>
  <c r="U167" i="23"/>
  <c r="K167" i="23"/>
  <c r="I156" i="18"/>
  <c r="Q167" i="23"/>
  <c r="J167" i="23"/>
  <c r="U156" i="18"/>
  <c r="J156" i="18"/>
  <c r="P167" i="23"/>
  <c r="P156" i="18"/>
  <c r="O167" i="23"/>
  <c r="N153" i="6"/>
  <c r="V156" i="18"/>
  <c r="I167" i="23"/>
  <c r="L167" i="23"/>
  <c r="U155" i="19"/>
  <c r="J155" i="19"/>
  <c r="I155" i="19"/>
  <c r="O155" i="19"/>
  <c r="P155" i="19"/>
  <c r="S155" i="19"/>
  <c r="T155" i="19"/>
  <c r="Q155" i="19"/>
  <c r="L155" i="19"/>
  <c r="V155" i="19"/>
  <c r="G99" i="21"/>
  <c r="G102" i="21"/>
  <c r="F26" i="17"/>
  <c r="S161" i="6"/>
  <c r="U161" i="6"/>
  <c r="S175" i="23"/>
  <c r="G98" i="21"/>
  <c r="G91" i="21"/>
  <c r="G92" i="21"/>
  <c r="G94" i="21"/>
  <c r="U155" i="18"/>
  <c r="L161" i="6"/>
  <c r="R175" i="23"/>
  <c r="N155" i="18"/>
  <c r="Q161" i="6"/>
  <c r="L175" i="23"/>
  <c r="I155" i="18"/>
  <c r="K161" i="6"/>
  <c r="M175" i="23"/>
  <c r="V161" i="6"/>
  <c r="T161" i="6"/>
  <c r="J161" i="6"/>
  <c r="K175" i="23"/>
  <c r="I161" i="6"/>
  <c r="J175" i="23"/>
  <c r="P161" i="6"/>
  <c r="W175" i="23"/>
  <c r="O175" i="23"/>
  <c r="Q175" i="23"/>
  <c r="I175" i="23"/>
  <c r="R162" i="6"/>
  <c r="T175" i="23"/>
  <c r="G100" i="21"/>
  <c r="G93" i="21"/>
  <c r="G90" i="21"/>
  <c r="N143" i="23"/>
  <c r="N132" i="23"/>
  <c r="N144" i="21"/>
  <c r="N142" i="17"/>
  <c r="N147" i="19"/>
  <c r="N141" i="21"/>
  <c r="N116" i="28"/>
  <c r="N138" i="28"/>
  <c r="N120" i="17"/>
  <c r="N137" i="23"/>
  <c r="N145" i="23"/>
  <c r="N142" i="20"/>
  <c r="N141" i="18"/>
  <c r="N137" i="21"/>
  <c r="N125" i="17"/>
  <c r="N144" i="19"/>
  <c r="N131" i="20"/>
  <c r="N127" i="21"/>
  <c r="N137" i="18"/>
  <c r="N144" i="6"/>
  <c r="N137" i="20"/>
  <c r="N129" i="19"/>
  <c r="N145" i="19"/>
  <c r="N132" i="20"/>
  <c r="N123" i="21"/>
  <c r="N133" i="6"/>
  <c r="N141" i="19"/>
  <c r="N147" i="17"/>
  <c r="N129" i="18"/>
  <c r="N126" i="19"/>
  <c r="N134" i="23"/>
  <c r="N146" i="6"/>
  <c r="N133" i="21"/>
  <c r="N123" i="28"/>
  <c r="N137" i="28"/>
  <c r="G95" i="21"/>
  <c r="N121" i="19"/>
  <c r="N134" i="28"/>
  <c r="N139" i="19"/>
  <c r="N145" i="6"/>
  <c r="N132" i="19"/>
  <c r="N120" i="21"/>
  <c r="N140" i="23"/>
  <c r="N123" i="18"/>
  <c r="N128" i="19"/>
  <c r="N127" i="28"/>
  <c r="N134" i="19"/>
  <c r="N138" i="23"/>
  <c r="N124" i="6"/>
  <c r="N124" i="21"/>
  <c r="N132" i="18"/>
  <c r="N144" i="20"/>
  <c r="N117" i="18"/>
  <c r="N138" i="18"/>
  <c r="N135" i="19"/>
  <c r="N136" i="23"/>
  <c r="N121" i="6"/>
  <c r="N113" i="21"/>
  <c r="N144" i="28"/>
  <c r="N118" i="18"/>
  <c r="N145" i="18"/>
  <c r="N142" i="19"/>
  <c r="N138" i="6"/>
  <c r="N114" i="21"/>
  <c r="N146" i="21"/>
  <c r="N125" i="21"/>
  <c r="N121" i="28"/>
  <c r="N139" i="28"/>
  <c r="N141" i="28"/>
  <c r="N119" i="18"/>
  <c r="N134" i="20"/>
  <c r="N122" i="19"/>
  <c r="N127" i="17"/>
  <c r="N122" i="18"/>
  <c r="N139" i="6"/>
  <c r="N119" i="17"/>
  <c r="N137" i="17"/>
  <c r="N122" i="28"/>
  <c r="N142" i="28"/>
  <c r="N139" i="23"/>
  <c r="N130" i="17"/>
  <c r="N143" i="28"/>
  <c r="N131" i="21"/>
  <c r="N144" i="17"/>
  <c r="N136" i="18"/>
  <c r="N127" i="20"/>
  <c r="N139" i="20"/>
  <c r="N144" i="18"/>
  <c r="N121" i="17"/>
  <c r="N145" i="17"/>
  <c r="N126" i="18"/>
  <c r="N132" i="6"/>
  <c r="N136" i="28"/>
  <c r="N136" i="20"/>
  <c r="N129" i="6"/>
  <c r="N141" i="6"/>
  <c r="N134" i="21"/>
  <c r="N135" i="21"/>
  <c r="N123" i="17"/>
  <c r="N130" i="6"/>
  <c r="N145" i="20"/>
  <c r="N117" i="21"/>
  <c r="N147" i="28"/>
  <c r="N113" i="28"/>
  <c r="N145" i="28"/>
  <c r="G103" i="21"/>
  <c r="N135" i="17"/>
  <c r="N135" i="28"/>
  <c r="N116" i="21"/>
  <c r="N136" i="17"/>
  <c r="N136" i="6"/>
  <c r="N128" i="28"/>
  <c r="N118" i="28"/>
  <c r="N139" i="17"/>
  <c r="N124" i="28"/>
  <c r="N146" i="28"/>
  <c r="N122" i="17"/>
  <c r="N129" i="17"/>
  <c r="N147" i="23"/>
  <c r="N131" i="17"/>
  <c r="N124" i="18"/>
  <c r="N140" i="18"/>
  <c r="N130" i="20"/>
  <c r="N120" i="18"/>
  <c r="N132" i="21"/>
  <c r="N142" i="18"/>
  <c r="N140" i="6"/>
  <c r="N119" i="28"/>
  <c r="N133" i="20"/>
  <c r="N128" i="20"/>
  <c r="N128" i="21"/>
  <c r="N134" i="17"/>
  <c r="N133" i="18"/>
  <c r="N130" i="19"/>
  <c r="N146" i="19"/>
  <c r="N145" i="21"/>
  <c r="N136" i="19"/>
  <c r="N143" i="17"/>
  <c r="N134" i="18"/>
  <c r="N142" i="23"/>
  <c r="N122" i="6"/>
  <c r="N123" i="6"/>
  <c r="N142" i="21"/>
  <c r="N115" i="28"/>
  <c r="N117" i="28"/>
  <c r="G88" i="21"/>
  <c r="G89" i="21"/>
  <c r="N121" i="21"/>
  <c r="N139" i="18"/>
  <c r="N126" i="6"/>
  <c r="N122" i="21"/>
  <c r="N126" i="17"/>
  <c r="N126" i="28"/>
  <c r="N124" i="17"/>
  <c r="N141" i="23"/>
  <c r="N137" i="19"/>
  <c r="N138" i="20"/>
  <c r="N130" i="18"/>
  <c r="N132" i="17"/>
  <c r="N135" i="20"/>
  <c r="N147" i="20"/>
  <c r="N143" i="21"/>
  <c r="N146" i="23"/>
  <c r="N111" i="21"/>
  <c r="N139" i="21"/>
  <c r="N144" i="23"/>
  <c r="N135" i="6"/>
  <c r="N126" i="21"/>
  <c r="N147" i="6"/>
  <c r="N114" i="28"/>
  <c r="N135" i="23"/>
  <c r="N117" i="17"/>
  <c r="N128" i="17"/>
  <c r="N140" i="28"/>
  <c r="N116" i="17"/>
  <c r="N141" i="17"/>
  <c r="N130" i="28"/>
  <c r="N146" i="20"/>
  <c r="N136" i="21"/>
  <c r="N138" i="17"/>
  <c r="N127" i="19"/>
  <c r="N143" i="19"/>
  <c r="N128" i="18"/>
  <c r="N147" i="18"/>
  <c r="N125" i="19"/>
  <c r="N141" i="20"/>
  <c r="N127" i="18"/>
  <c r="N143" i="18"/>
  <c r="N124" i="19"/>
  <c r="N140" i="19"/>
  <c r="N146" i="17"/>
  <c r="N137" i="6"/>
  <c r="N118" i="21"/>
  <c r="N140" i="21"/>
  <c r="N142" i="6"/>
  <c r="N112" i="21"/>
  <c r="N130" i="21"/>
  <c r="N129" i="20"/>
  <c r="N127" i="6"/>
  <c r="N143" i="6"/>
  <c r="N125" i="28"/>
  <c r="H110" i="28"/>
  <c r="J110" i="28"/>
  <c r="N133" i="28"/>
  <c r="G87" i="21"/>
  <c r="G96" i="21"/>
  <c r="G97" i="21"/>
  <c r="G85" i="21"/>
  <c r="N135" i="18"/>
  <c r="N138" i="19"/>
  <c r="N121" i="18"/>
  <c r="N140" i="20"/>
  <c r="N132" i="28"/>
  <c r="N133" i="17"/>
  <c r="N126" i="20"/>
  <c r="N115" i="21"/>
  <c r="N147" i="21"/>
  <c r="N120" i="28"/>
  <c r="N125" i="18"/>
  <c r="N146" i="18"/>
  <c r="N131" i="18"/>
  <c r="N133" i="19"/>
  <c r="N143" i="20"/>
  <c r="N112" i="28"/>
  <c r="N118" i="17"/>
  <c r="N123" i="19"/>
  <c r="N128" i="6"/>
  <c r="N119" i="21"/>
  <c r="N133" i="23"/>
  <c r="N125" i="6"/>
  <c r="N129" i="21"/>
  <c r="N140" i="17"/>
  <c r="N131" i="19"/>
  <c r="N134" i="6"/>
  <c r="N138" i="21"/>
  <c r="N131" i="6"/>
  <c r="N111" i="28"/>
  <c r="N131" i="28"/>
  <c r="N129" i="28"/>
  <c r="F25" i="21"/>
  <c r="F31" i="19"/>
  <c r="F21" i="17"/>
  <c r="F22" i="17"/>
  <c r="F25" i="19"/>
  <c r="G20" i="20"/>
  <c r="H20" i="20" s="1"/>
  <c r="F28" i="19"/>
  <c r="F29" i="17"/>
  <c r="F30" i="21"/>
  <c r="F20" i="19"/>
  <c r="F27" i="21"/>
  <c r="F27" i="28"/>
  <c r="G52" i="28"/>
  <c r="G17" i="24"/>
  <c r="S159" i="18"/>
  <c r="J159" i="18"/>
  <c r="L169" i="23"/>
  <c r="P157" i="17"/>
  <c r="U169" i="23"/>
  <c r="I157" i="17"/>
  <c r="P169" i="23"/>
  <c r="O157" i="17"/>
  <c r="Q159" i="18"/>
  <c r="L159" i="18"/>
  <c r="V159" i="18"/>
  <c r="K159" i="18"/>
  <c r="S161" i="19"/>
  <c r="I169" i="23"/>
  <c r="L157" i="17"/>
  <c r="T159" i="18"/>
  <c r="L161" i="19"/>
  <c r="J169" i="23"/>
  <c r="J157" i="17"/>
  <c r="O159" i="18"/>
  <c r="V157" i="17"/>
  <c r="P159" i="18"/>
  <c r="S169" i="23"/>
  <c r="S157" i="17"/>
  <c r="N159" i="18"/>
  <c r="U157" i="17"/>
  <c r="I159" i="18"/>
  <c r="V152" i="6"/>
  <c r="Q161" i="23"/>
  <c r="O161" i="23"/>
  <c r="N155" i="6"/>
  <c r="L161" i="23"/>
  <c r="T161" i="23"/>
  <c r="J152" i="6"/>
  <c r="S163" i="6"/>
  <c r="Q160" i="20"/>
  <c r="V152" i="23"/>
  <c r="P157" i="18"/>
  <c r="R163" i="19"/>
  <c r="Q153" i="6"/>
  <c r="O152" i="20"/>
  <c r="L152" i="20"/>
  <c r="K153" i="6"/>
  <c r="Q157" i="6"/>
  <c r="T152" i="20"/>
  <c r="K152" i="20"/>
  <c r="V154" i="18"/>
  <c r="U152" i="20"/>
  <c r="U153" i="6"/>
  <c r="J153" i="6"/>
  <c r="T153" i="6"/>
  <c r="V152" i="20"/>
  <c r="J152" i="20"/>
  <c r="P154" i="18"/>
  <c r="O153" i="6"/>
  <c r="I153" i="6"/>
  <c r="S152" i="20"/>
  <c r="I152" i="20"/>
  <c r="N154" i="18"/>
  <c r="P153" i="6"/>
  <c r="P152" i="20"/>
  <c r="L153" i="6"/>
  <c r="S153" i="6"/>
  <c r="J153" i="20"/>
  <c r="O152" i="6"/>
  <c r="N160" i="20"/>
  <c r="S152" i="23"/>
  <c r="J161" i="19"/>
  <c r="O160" i="20"/>
  <c r="P152" i="23"/>
  <c r="P171" i="23"/>
  <c r="U160" i="20"/>
  <c r="L157" i="18"/>
  <c r="O169" i="23"/>
  <c r="P160" i="20"/>
  <c r="L152" i="23"/>
  <c r="L171" i="23"/>
  <c r="K160" i="20"/>
  <c r="O152" i="23"/>
  <c r="U157" i="18"/>
  <c r="J171" i="23"/>
  <c r="I160" i="20"/>
  <c r="I157" i="18"/>
  <c r="O171" i="23"/>
  <c r="I171" i="23"/>
  <c r="S160" i="20"/>
  <c r="J160" i="20"/>
  <c r="M152" i="23"/>
  <c r="J157" i="18"/>
  <c r="V171" i="23"/>
  <c r="R152" i="23"/>
  <c r="O157" i="18"/>
  <c r="S157" i="18"/>
  <c r="L160" i="20"/>
  <c r="U152" i="23"/>
  <c r="Q155" i="18"/>
  <c r="K155" i="18"/>
  <c r="V153" i="23"/>
  <c r="L163" i="23"/>
  <c r="N160" i="6"/>
  <c r="S155" i="18"/>
  <c r="J155" i="18"/>
  <c r="T163" i="23"/>
  <c r="I163" i="23"/>
  <c r="J158" i="6"/>
  <c r="T155" i="18"/>
  <c r="V163" i="23"/>
  <c r="Q163" i="23"/>
  <c r="L160" i="17"/>
  <c r="O155" i="18"/>
  <c r="O163" i="23"/>
  <c r="P155" i="18"/>
  <c r="P163" i="23"/>
  <c r="O115" i="17"/>
  <c r="L155" i="18"/>
  <c r="M163" i="6"/>
  <c r="S163" i="23"/>
  <c r="V160" i="6"/>
  <c r="O154" i="18"/>
  <c r="K153" i="23"/>
  <c r="N157" i="6"/>
  <c r="Q162" i="6"/>
  <c r="H162" i="6"/>
  <c r="Q159" i="20"/>
  <c r="N110" i="28"/>
  <c r="I158" i="18"/>
  <c r="W162" i="6"/>
  <c r="P162" i="6"/>
  <c r="S157" i="6"/>
  <c r="J157" i="6"/>
  <c r="S162" i="6"/>
  <c r="N162" i="6"/>
  <c r="O154" i="19"/>
  <c r="O155" i="17"/>
  <c r="U157" i="6"/>
  <c r="K157" i="6"/>
  <c r="V162" i="6"/>
  <c r="L162" i="6"/>
  <c r="T157" i="6"/>
  <c r="I157" i="6"/>
  <c r="T162" i="6"/>
  <c r="J162" i="6"/>
  <c r="L157" i="6"/>
  <c r="J155" i="17"/>
  <c r="P159" i="23"/>
  <c r="O157" i="6"/>
  <c r="O162" i="6"/>
  <c r="M162" i="6"/>
  <c r="V158" i="6"/>
  <c r="O158" i="6"/>
  <c r="C41" i="28"/>
  <c r="P157" i="6"/>
  <c r="U162" i="6"/>
  <c r="T158" i="6"/>
  <c r="U164" i="23"/>
  <c r="Q166" i="20"/>
  <c r="Q158" i="20"/>
  <c r="S159" i="6"/>
  <c r="P153" i="20"/>
  <c r="Q159" i="6"/>
  <c r="T163" i="6"/>
  <c r="S154" i="18"/>
  <c r="J163" i="6"/>
  <c r="N149" i="28"/>
  <c r="I154" i="18"/>
  <c r="U158" i="20"/>
  <c r="L158" i="6"/>
  <c r="Q153" i="20"/>
  <c r="J156" i="20"/>
  <c r="Q158" i="18"/>
  <c r="I152" i="6"/>
  <c r="J166" i="23"/>
  <c r="W174" i="23"/>
  <c r="J158" i="19"/>
  <c r="I156" i="20"/>
  <c r="P158" i="18"/>
  <c r="S160" i="23"/>
  <c r="P155" i="17"/>
  <c r="I159" i="23"/>
  <c r="U163" i="6"/>
  <c r="U153" i="23"/>
  <c r="T152" i="18"/>
  <c r="V174" i="23"/>
  <c r="I159" i="6"/>
  <c r="U154" i="18"/>
  <c r="I158" i="20"/>
  <c r="U158" i="19"/>
  <c r="I158" i="6"/>
  <c r="S160" i="19"/>
  <c r="U156" i="20"/>
  <c r="V158" i="18"/>
  <c r="T166" i="23"/>
  <c r="T160" i="20"/>
  <c r="S152" i="18"/>
  <c r="S174" i="23"/>
  <c r="T153" i="18"/>
  <c r="T156" i="20"/>
  <c r="U166" i="23"/>
  <c r="U155" i="17"/>
  <c r="Q152" i="18"/>
  <c r="M174" i="23"/>
  <c r="O154" i="20"/>
  <c r="J153" i="18"/>
  <c r="S165" i="23"/>
  <c r="V158" i="19"/>
  <c r="U158" i="6"/>
  <c r="V153" i="20"/>
  <c r="P156" i="20"/>
  <c r="O162" i="20"/>
  <c r="S166" i="23"/>
  <c r="O152" i="18"/>
  <c r="J174" i="23"/>
  <c r="J154" i="20"/>
  <c r="T165" i="23"/>
  <c r="P158" i="19"/>
  <c r="S156" i="20"/>
  <c r="S162" i="20"/>
  <c r="N166" i="23"/>
  <c r="I163" i="6"/>
  <c r="W159" i="18"/>
  <c r="V149" i="28"/>
  <c r="W159" i="17"/>
  <c r="J163" i="20"/>
  <c r="K154" i="18"/>
  <c r="S158" i="20"/>
  <c r="J165" i="23"/>
  <c r="L158" i="19"/>
  <c r="N158" i="6"/>
  <c r="N153" i="20"/>
  <c r="L156" i="20"/>
  <c r="O158" i="18"/>
  <c r="Q162" i="20"/>
  <c r="P152" i="17"/>
  <c r="L166" i="23"/>
  <c r="L156" i="6"/>
  <c r="Q156" i="6"/>
  <c r="T156" i="6"/>
  <c r="O156" i="6"/>
  <c r="V156" i="6"/>
  <c r="S156" i="6"/>
  <c r="P156" i="6"/>
  <c r="I156" i="6"/>
  <c r="H159" i="18"/>
  <c r="N153" i="19"/>
  <c r="I155" i="6"/>
  <c r="Q172" i="23"/>
  <c r="L172" i="23"/>
  <c r="P172" i="23"/>
  <c r="T172" i="23"/>
  <c r="O172" i="23"/>
  <c r="S172" i="23"/>
  <c r="U172" i="23"/>
  <c r="J172" i="23"/>
  <c r="V172" i="23"/>
  <c r="K172" i="23"/>
  <c r="U161" i="19"/>
  <c r="P161" i="19"/>
  <c r="O161" i="19"/>
  <c r="I161" i="19"/>
  <c r="V161" i="19"/>
  <c r="N156" i="6"/>
  <c r="G63" i="30"/>
  <c r="U155" i="20"/>
  <c r="K153" i="17"/>
  <c r="Q153" i="17"/>
  <c r="V153" i="17"/>
  <c r="N153" i="17"/>
  <c r="T153" i="17"/>
  <c r="P153" i="17"/>
  <c r="S153" i="17"/>
  <c r="I153" i="17"/>
  <c r="I172" i="23"/>
  <c r="K155" i="6"/>
  <c r="U155" i="6"/>
  <c r="L155" i="6"/>
  <c r="P155" i="6"/>
  <c r="O155" i="6"/>
  <c r="V155" i="6"/>
  <c r="Q155" i="6"/>
  <c r="J155" i="6"/>
  <c r="S155" i="6"/>
  <c r="S153" i="19"/>
  <c r="K153" i="19"/>
  <c r="V153" i="19"/>
  <c r="J153" i="19"/>
  <c r="U153" i="19"/>
  <c r="L153" i="19"/>
  <c r="P153" i="19"/>
  <c r="I153" i="19"/>
  <c r="T153" i="19"/>
  <c r="O153" i="17"/>
  <c r="J153" i="17"/>
  <c r="K165" i="20"/>
  <c r="Q165" i="20"/>
  <c r="O165" i="20"/>
  <c r="I165" i="20"/>
  <c r="K162" i="23"/>
  <c r="L162" i="23"/>
  <c r="O162" i="23"/>
  <c r="S162" i="23"/>
  <c r="N162" i="23"/>
  <c r="P162" i="23"/>
  <c r="Q162" i="23"/>
  <c r="U162" i="23"/>
  <c r="T162" i="23"/>
  <c r="V162" i="23"/>
  <c r="I162" i="23"/>
  <c r="Q153" i="19"/>
  <c r="J156" i="6"/>
  <c r="O157" i="19"/>
  <c r="P157" i="19"/>
  <c r="U157" i="19"/>
  <c r="V157" i="19"/>
  <c r="P152" i="18"/>
  <c r="T149" i="28"/>
  <c r="N174" i="23"/>
  <c r="L154" i="20"/>
  <c r="I160" i="17"/>
  <c r="L160" i="6"/>
  <c r="Q154" i="18"/>
  <c r="V165" i="23"/>
  <c r="K165" i="23"/>
  <c r="S158" i="19"/>
  <c r="P160" i="23"/>
  <c r="S158" i="6"/>
  <c r="T153" i="20"/>
  <c r="U159" i="20"/>
  <c r="F43" i="28"/>
  <c r="G35" i="28" s="1"/>
  <c r="N158" i="18"/>
  <c r="U152" i="6"/>
  <c r="T162" i="20"/>
  <c r="P166" i="23"/>
  <c r="L174" i="23"/>
  <c r="N165" i="23"/>
  <c r="L160" i="23"/>
  <c r="K149" i="28"/>
  <c r="I149" i="28"/>
  <c r="O149" i="28"/>
  <c r="M149" i="28"/>
  <c r="P165" i="23"/>
  <c r="J160" i="23"/>
  <c r="M159" i="18"/>
  <c r="L153" i="23"/>
  <c r="M159" i="17"/>
  <c r="L152" i="18"/>
  <c r="U149" i="28"/>
  <c r="P149" i="28"/>
  <c r="R174" i="23"/>
  <c r="K174" i="23"/>
  <c r="V154" i="20"/>
  <c r="T160" i="17"/>
  <c r="S164" i="23"/>
  <c r="T160" i="6"/>
  <c r="J154" i="18"/>
  <c r="V156" i="19"/>
  <c r="Q165" i="23"/>
  <c r="S149" i="28"/>
  <c r="I158" i="19"/>
  <c r="K158" i="6"/>
  <c r="Q149" i="28"/>
  <c r="H149" i="28"/>
  <c r="K153" i="20"/>
  <c r="T154" i="18"/>
  <c r="L160" i="19"/>
  <c r="J158" i="18"/>
  <c r="K162" i="20"/>
  <c r="K166" i="23"/>
  <c r="T173" i="23"/>
  <c r="R164" i="6"/>
  <c r="L155" i="17"/>
  <c r="Q153" i="23"/>
  <c r="J152" i="18"/>
  <c r="T174" i="23"/>
  <c r="I174" i="23"/>
  <c r="U160" i="17"/>
  <c r="Q164" i="23"/>
  <c r="S160" i="6"/>
  <c r="S166" i="20"/>
  <c r="I165" i="23"/>
  <c r="W149" i="28"/>
  <c r="L149" i="28"/>
  <c r="C40" i="28"/>
  <c r="J162" i="20"/>
  <c r="J149" i="21"/>
  <c r="E21" i="9" s="1"/>
  <c r="K173" i="23"/>
  <c r="I164" i="6"/>
  <c r="I153" i="23"/>
  <c r="R149" i="28"/>
  <c r="J149" i="28"/>
  <c r="W163" i="6"/>
  <c r="U152" i="18"/>
  <c r="I152" i="18"/>
  <c r="P174" i="23"/>
  <c r="H174" i="23"/>
  <c r="Q160" i="17"/>
  <c r="K164" i="23"/>
  <c r="Q160" i="6"/>
  <c r="U166" i="20"/>
  <c r="P156" i="19"/>
  <c r="U165" i="23"/>
  <c r="L165" i="23"/>
  <c r="K159" i="20"/>
  <c r="T158" i="18"/>
  <c r="I162" i="20"/>
  <c r="N152" i="17"/>
  <c r="V166" i="23"/>
  <c r="G79" i="24"/>
  <c r="R159" i="17"/>
  <c r="O159" i="23"/>
  <c r="J159" i="23"/>
  <c r="N163" i="6"/>
  <c r="Q163" i="20"/>
  <c r="U170" i="23"/>
  <c r="N159" i="6"/>
  <c r="N160" i="17"/>
  <c r="O153" i="18"/>
  <c r="K153" i="18"/>
  <c r="N164" i="23"/>
  <c r="U164" i="20"/>
  <c r="O164" i="20"/>
  <c r="S156" i="19"/>
  <c r="O162" i="19"/>
  <c r="T154" i="19"/>
  <c r="S154" i="19"/>
  <c r="S152" i="6"/>
  <c r="S152" i="17"/>
  <c r="J152" i="17"/>
  <c r="S156" i="17"/>
  <c r="U152" i="21"/>
  <c r="U149" i="21" s="1"/>
  <c r="V173" i="23"/>
  <c r="I173" i="23"/>
  <c r="S164" i="6"/>
  <c r="K164" i="6"/>
  <c r="V167" i="20"/>
  <c r="Q167" i="20"/>
  <c r="L162" i="19"/>
  <c r="O156" i="17"/>
  <c r="O152" i="21"/>
  <c r="O149" i="21" s="1"/>
  <c r="R159" i="18"/>
  <c r="S159" i="23"/>
  <c r="R163" i="6"/>
  <c r="L163" i="6"/>
  <c r="N153" i="23"/>
  <c r="S163" i="20"/>
  <c r="O163" i="20"/>
  <c r="I170" i="23"/>
  <c r="V159" i="6"/>
  <c r="L159" i="6"/>
  <c r="P154" i="20"/>
  <c r="V160" i="17"/>
  <c r="J160" i="17"/>
  <c r="P153" i="18"/>
  <c r="T164" i="23"/>
  <c r="I164" i="23"/>
  <c r="O160" i="6"/>
  <c r="O155" i="20"/>
  <c r="K166" i="20"/>
  <c r="P162" i="19"/>
  <c r="V163" i="6"/>
  <c r="N154" i="19"/>
  <c r="O160" i="19"/>
  <c r="I159" i="20"/>
  <c r="S165" i="20"/>
  <c r="U158" i="18"/>
  <c r="S158" i="18"/>
  <c r="M152" i="6"/>
  <c r="U162" i="20"/>
  <c r="L162" i="20"/>
  <c r="T152" i="17"/>
  <c r="P156" i="17"/>
  <c r="O166" i="23"/>
  <c r="N172" i="23"/>
  <c r="V152" i="21"/>
  <c r="V149" i="21" s="1"/>
  <c r="N152" i="21"/>
  <c r="N149" i="21" s="1"/>
  <c r="Q173" i="23"/>
  <c r="L173" i="23"/>
  <c r="P164" i="6"/>
  <c r="J164" i="6"/>
  <c r="W167" i="20"/>
  <c r="J167" i="20"/>
  <c r="O167" i="20"/>
  <c r="Q163" i="6"/>
  <c r="K163" i="6"/>
  <c r="V155" i="17"/>
  <c r="P153" i="23"/>
  <c r="J153" i="23"/>
  <c r="H159" i="17"/>
  <c r="V163" i="20"/>
  <c r="P163" i="20"/>
  <c r="V170" i="23"/>
  <c r="T159" i="6"/>
  <c r="J159" i="6"/>
  <c r="S160" i="17"/>
  <c r="K160" i="17"/>
  <c r="S153" i="18"/>
  <c r="O164" i="23"/>
  <c r="J164" i="23"/>
  <c r="U160" i="6"/>
  <c r="J160" i="6"/>
  <c r="P155" i="20"/>
  <c r="Q164" i="20"/>
  <c r="I156" i="19"/>
  <c r="U162" i="19"/>
  <c r="J162" i="19"/>
  <c r="U154" i="19"/>
  <c r="K154" i="19"/>
  <c r="V160" i="23"/>
  <c r="L153" i="20"/>
  <c r="V160" i="19"/>
  <c r="P160" i="19"/>
  <c r="S159" i="20"/>
  <c r="L152" i="6"/>
  <c r="V152" i="17"/>
  <c r="Q152" i="17"/>
  <c r="L156" i="17"/>
  <c r="Q152" i="21"/>
  <c r="Q149" i="21" s="1"/>
  <c r="O173" i="23"/>
  <c r="J173" i="23"/>
  <c r="W164" i="6"/>
  <c r="N164" i="6"/>
  <c r="H164" i="6"/>
  <c r="U167" i="20"/>
  <c r="L167" i="20"/>
  <c r="L157" i="19"/>
  <c r="L170" i="23"/>
  <c r="I163" i="20"/>
  <c r="S170" i="23"/>
  <c r="J170" i="23"/>
  <c r="Q153" i="18"/>
  <c r="I164" i="20"/>
  <c r="I162" i="19"/>
  <c r="L154" i="19"/>
  <c r="V156" i="17"/>
  <c r="I152" i="21"/>
  <c r="I149" i="21" s="1"/>
  <c r="D21" i="9" s="1"/>
  <c r="R173" i="23"/>
  <c r="H173" i="23"/>
  <c r="O164" i="6"/>
  <c r="P167" i="20"/>
  <c r="M167" i="20"/>
  <c r="U163" i="20"/>
  <c r="O159" i="6"/>
  <c r="V153" i="18"/>
  <c r="N153" i="18"/>
  <c r="I155" i="20"/>
  <c r="S164" i="20"/>
  <c r="L156" i="19"/>
  <c r="V159" i="23"/>
  <c r="V154" i="19"/>
  <c r="J154" i="19"/>
  <c r="K152" i="17"/>
  <c r="U156" i="17"/>
  <c r="T152" i="21"/>
  <c r="T149" i="21" s="1"/>
  <c r="K152" i="21"/>
  <c r="K149" i="21" s="1"/>
  <c r="F21" i="9" s="1"/>
  <c r="W173" i="23"/>
  <c r="P173" i="23"/>
  <c r="T164" i="6"/>
  <c r="Q164" i="6"/>
  <c r="R167" i="20"/>
  <c r="K167" i="20"/>
  <c r="I157" i="19"/>
  <c r="C39" i="21"/>
  <c r="C41" i="21"/>
  <c r="C39" i="28"/>
  <c r="I155" i="17"/>
  <c r="H163" i="19"/>
  <c r="S155" i="17"/>
  <c r="L159" i="23"/>
  <c r="O163" i="6"/>
  <c r="H163" i="6"/>
  <c r="S153" i="23"/>
  <c r="V152" i="18"/>
  <c r="N152" i="18"/>
  <c r="T163" i="20"/>
  <c r="L163" i="20"/>
  <c r="P170" i="23"/>
  <c r="U174" i="23"/>
  <c r="Q174" i="23"/>
  <c r="U159" i="6"/>
  <c r="P159" i="6"/>
  <c r="U154" i="20"/>
  <c r="I154" i="20"/>
  <c r="O160" i="17"/>
  <c r="I153" i="18"/>
  <c r="V164" i="23"/>
  <c r="P164" i="23"/>
  <c r="U156" i="6"/>
  <c r="K156" i="6"/>
  <c r="K160" i="6"/>
  <c r="I160" i="6"/>
  <c r="S155" i="20"/>
  <c r="L155" i="20"/>
  <c r="O166" i="20"/>
  <c r="U156" i="19"/>
  <c r="J156" i="19"/>
  <c r="S162" i="19"/>
  <c r="U153" i="17"/>
  <c r="L153" i="17"/>
  <c r="Q154" i="19"/>
  <c r="I154" i="19"/>
  <c r="O158" i="19"/>
  <c r="U160" i="23"/>
  <c r="I160" i="23"/>
  <c r="Q158" i="6"/>
  <c r="U153" i="20"/>
  <c r="I153" i="20"/>
  <c r="U160" i="19"/>
  <c r="I160" i="19"/>
  <c r="V156" i="20"/>
  <c r="U165" i="20"/>
  <c r="L158" i="18"/>
  <c r="P152" i="6"/>
  <c r="N162" i="20"/>
  <c r="U152" i="17"/>
  <c r="I152" i="17"/>
  <c r="J156" i="17"/>
  <c r="Q166" i="23"/>
  <c r="S152" i="21"/>
  <c r="S149" i="21" s="1"/>
  <c r="L152" i="21"/>
  <c r="L149" i="21" s="1"/>
  <c r="G21" i="9" s="1"/>
  <c r="U173" i="23"/>
  <c r="N173" i="23"/>
  <c r="T153" i="23"/>
  <c r="U164" i="6"/>
  <c r="M164" i="6"/>
  <c r="N167" i="20"/>
  <c r="I167" i="20"/>
  <c r="V162" i="20"/>
  <c r="S157" i="19"/>
  <c r="J157" i="19"/>
  <c r="K164" i="20"/>
  <c r="E43" i="28"/>
  <c r="C40" i="21"/>
  <c r="N163" i="20"/>
  <c r="L153" i="18"/>
  <c r="V155" i="20"/>
  <c r="J155" i="20"/>
  <c r="S153" i="20"/>
  <c r="O152" i="17"/>
  <c r="P152" i="21"/>
  <c r="P149" i="21" s="1"/>
  <c r="S173" i="23"/>
  <c r="V164" i="6"/>
  <c r="T167" i="20"/>
  <c r="S167" i="20"/>
  <c r="G95" i="24"/>
  <c r="G71" i="24"/>
  <c r="G23" i="24"/>
  <c r="G63" i="24"/>
  <c r="G29" i="24"/>
  <c r="G19" i="24"/>
  <c r="G92" i="24"/>
  <c r="G61" i="24"/>
  <c r="G22" i="24"/>
  <c r="G15" i="24"/>
  <c r="G87" i="24"/>
  <c r="G88" i="24"/>
  <c r="G86" i="24"/>
  <c r="G16" i="24"/>
  <c r="G25" i="24"/>
  <c r="G76" i="24"/>
  <c r="G81" i="24"/>
  <c r="G70" i="24"/>
  <c r="G94" i="24"/>
  <c r="G27" i="24"/>
  <c r="G90" i="24"/>
  <c r="G21" i="24"/>
  <c r="G24" i="24"/>
  <c r="G18" i="24"/>
  <c r="G66" i="24"/>
  <c r="G82" i="24"/>
  <c r="G20" i="24"/>
  <c r="G28" i="24"/>
  <c r="G69" i="24"/>
  <c r="G64" i="24"/>
  <c r="G80" i="24"/>
  <c r="G96" i="24"/>
  <c r="G67" i="24"/>
  <c r="G85" i="24"/>
  <c r="G30" i="24"/>
  <c r="G68" i="24"/>
  <c r="G84" i="24"/>
  <c r="G89" i="24"/>
  <c r="G26" i="24"/>
  <c r="G72" i="24"/>
  <c r="G75" i="24"/>
  <c r="G77" i="24"/>
  <c r="G73" i="24"/>
  <c r="G14" i="24"/>
  <c r="G74" i="24"/>
  <c r="G91" i="24"/>
  <c r="G93" i="24"/>
  <c r="G65" i="24"/>
  <c r="G62" i="24"/>
  <c r="G78" i="24"/>
  <c r="G83" i="24"/>
  <c r="F21" i="28"/>
  <c r="F28" i="17"/>
  <c r="F31" i="17"/>
  <c r="F26" i="21"/>
  <c r="F26" i="28"/>
  <c r="F30" i="17"/>
  <c r="F27" i="19"/>
  <c r="F21" i="23"/>
  <c r="F30" i="19"/>
  <c r="F24" i="19"/>
  <c r="F25" i="28"/>
  <c r="F25" i="17"/>
  <c r="F29" i="28"/>
  <c r="F23" i="17"/>
  <c r="F24" i="28"/>
  <c r="F22" i="19"/>
  <c r="F21" i="21"/>
  <c r="F29" i="19"/>
  <c r="F21" i="19"/>
  <c r="F29" i="21"/>
  <c r="F24" i="21"/>
  <c r="F20" i="18"/>
  <c r="E33" i="18" s="1"/>
  <c r="M163" i="19"/>
  <c r="W163" i="19"/>
  <c r="H160" i="17"/>
  <c r="W160" i="17"/>
  <c r="M160" i="17"/>
  <c r="R160" i="17"/>
  <c r="H158" i="17"/>
  <c r="M158" i="17"/>
  <c r="R158" i="17"/>
  <c r="W158" i="17"/>
  <c r="O149" i="17" l="1"/>
  <c r="O113" i="20"/>
  <c r="Q156" i="20"/>
  <c r="O113" i="19"/>
  <c r="K156" i="20"/>
  <c r="N156" i="20"/>
  <c r="F116" i="18"/>
  <c r="F114" i="20"/>
  <c r="F115" i="17"/>
  <c r="O114" i="17"/>
  <c r="O115" i="18"/>
  <c r="K157" i="18"/>
  <c r="O112" i="19"/>
  <c r="O112" i="18"/>
  <c r="F113" i="20"/>
  <c r="F115" i="18"/>
  <c r="F114" i="17"/>
  <c r="T157" i="18"/>
  <c r="N157" i="18"/>
  <c r="Q157" i="18"/>
  <c r="K158" i="18"/>
  <c r="G76" i="28"/>
  <c r="G45" i="28"/>
  <c r="E33" i="28"/>
  <c r="E33" i="19"/>
  <c r="J149" i="17"/>
  <c r="E16" i="9" s="1"/>
  <c r="I149" i="6"/>
  <c r="O149" i="18"/>
  <c r="O149" i="19"/>
  <c r="L149" i="17"/>
  <c r="G16" i="9" s="1"/>
  <c r="P149" i="17"/>
  <c r="L149" i="19"/>
  <c r="G18" i="9" s="1"/>
  <c r="P149" i="19"/>
  <c r="I149" i="18"/>
  <c r="D17" i="9" s="1"/>
  <c r="S149" i="18"/>
  <c r="S149" i="19"/>
  <c r="I149" i="19"/>
  <c r="D18" i="9" s="1"/>
  <c r="V149" i="18"/>
  <c r="U149" i="17"/>
  <c r="P149" i="18"/>
  <c r="J149" i="18"/>
  <c r="E17" i="9" s="1"/>
  <c r="J149" i="6"/>
  <c r="I149" i="20"/>
  <c r="D20" i="9" s="1"/>
  <c r="U149" i="18"/>
  <c r="U149" i="20"/>
  <c r="U149" i="6"/>
  <c r="S149" i="20"/>
  <c r="I149" i="17"/>
  <c r="D16" i="9" s="1"/>
  <c r="O149" i="6"/>
  <c r="V149" i="17"/>
  <c r="S149" i="6"/>
  <c r="P149" i="6"/>
  <c r="V149" i="19"/>
  <c r="L149" i="6"/>
  <c r="V149" i="6"/>
  <c r="L149" i="18"/>
  <c r="G17" i="9" s="1"/>
  <c r="U149" i="19"/>
  <c r="S149" i="17"/>
  <c r="J149" i="19"/>
  <c r="E18" i="9" s="1"/>
  <c r="E33" i="23"/>
  <c r="E33" i="21"/>
  <c r="E33" i="6"/>
  <c r="E33" i="17"/>
  <c r="M35" i="32" l="1"/>
  <c r="E18" i="22"/>
  <c r="J5" i="3" s="1"/>
  <c r="K155" i="20"/>
  <c r="N155" i="20"/>
  <c r="T155" i="20"/>
  <c r="Q155" i="20"/>
  <c r="N157" i="17"/>
  <c r="K157" i="17"/>
  <c r="T157" i="17"/>
  <c r="Q157" i="17"/>
  <c r="Q156" i="17"/>
  <c r="T156" i="17"/>
  <c r="N156" i="17"/>
  <c r="K156" i="17"/>
  <c r="M155" i="17"/>
  <c r="R155" i="17"/>
  <c r="M154" i="20"/>
  <c r="R154" i="20"/>
  <c r="D40" i="22" l="1"/>
  <c r="G9" i="4" s="1"/>
  <c r="E17" i="22"/>
  <c r="M19" i="32"/>
  <c r="M20" i="32" s="1"/>
  <c r="Z13" i="4"/>
  <c r="G36" i="4"/>
  <c r="Z36" i="4" s="1"/>
  <c r="G39" i="4"/>
  <c r="Z39" i="4" s="1"/>
  <c r="G38" i="4"/>
  <c r="Z38" i="4" s="1"/>
  <c r="E120" i="19" s="1"/>
  <c r="G14" i="4"/>
  <c r="Z14" i="4" s="1"/>
  <c r="G12" i="4"/>
  <c r="Z12" i="4" s="1"/>
  <c r="L5" i="3"/>
  <c r="E52" i="17" s="1"/>
  <c r="G52" i="17" s="1"/>
  <c r="G45" i="17" s="1"/>
  <c r="M156" i="18"/>
  <c r="R156" i="19"/>
  <c r="M156" i="19"/>
  <c r="M160" i="19"/>
  <c r="R160" i="19"/>
  <c r="M41" i="32"/>
  <c r="O130" i="23"/>
  <c r="E52" i="19" l="1"/>
  <c r="G52" i="19" s="1"/>
  <c r="G45" i="19" s="1"/>
  <c r="D40" i="9" s="1"/>
  <c r="E52" i="18"/>
  <c r="G52" i="18" s="1"/>
  <c r="G45" i="18" s="1"/>
  <c r="D39" i="9" s="1"/>
  <c r="E52" i="21"/>
  <c r="G52" i="21" s="1"/>
  <c r="G45" i="21" s="1"/>
  <c r="D43" i="9" s="1"/>
  <c r="F152" i="21"/>
  <c r="E113" i="20"/>
  <c r="F157" i="18"/>
  <c r="E110" i="21"/>
  <c r="F156" i="17"/>
  <c r="E114" i="17"/>
  <c r="F155" i="20"/>
  <c r="E115" i="18"/>
  <c r="O112" i="17"/>
  <c r="F154" i="17"/>
  <c r="E112" i="17"/>
  <c r="F161" i="19"/>
  <c r="M161" i="19" s="1"/>
  <c r="F112" i="17"/>
  <c r="F156" i="20"/>
  <c r="F158" i="18"/>
  <c r="E116" i="18"/>
  <c r="E114" i="20"/>
  <c r="F157" i="17"/>
  <c r="E115" i="17"/>
  <c r="E119" i="19"/>
  <c r="L119" i="19" s="1"/>
  <c r="I14" i="4"/>
  <c r="F162" i="19"/>
  <c r="R162" i="19" s="1"/>
  <c r="F153" i="20"/>
  <c r="E111" i="17"/>
  <c r="F153" i="17"/>
  <c r="E111" i="20"/>
  <c r="E113" i="18"/>
  <c r="F155" i="19"/>
  <c r="E113" i="19"/>
  <c r="F155" i="18"/>
  <c r="O114" i="20"/>
  <c r="O112" i="20"/>
  <c r="O114" i="18"/>
  <c r="F155" i="17"/>
  <c r="O110" i="23"/>
  <c r="F154" i="20"/>
  <c r="O110" i="6"/>
  <c r="F152" i="23"/>
  <c r="E110" i="23"/>
  <c r="O114" i="19"/>
  <c r="E110" i="6"/>
  <c r="F152" i="6"/>
  <c r="O113" i="17"/>
  <c r="E113" i="17"/>
  <c r="E112" i="20"/>
  <c r="E114" i="19"/>
  <c r="F156" i="19"/>
  <c r="F156" i="18"/>
  <c r="G16" i="4"/>
  <c r="Z9" i="4"/>
  <c r="G10" i="4"/>
  <c r="O117" i="19"/>
  <c r="N162" i="19"/>
  <c r="K162" i="19"/>
  <c r="Q162" i="19"/>
  <c r="T162" i="19"/>
  <c r="L120" i="19"/>
  <c r="J120" i="19"/>
  <c r="H120" i="19"/>
  <c r="N120" i="19"/>
  <c r="T161" i="19"/>
  <c r="K161" i="19"/>
  <c r="N161" i="19"/>
  <c r="Q161" i="19"/>
  <c r="O116" i="19"/>
  <c r="D38" i="9"/>
  <c r="H172" i="23"/>
  <c r="M172" i="23"/>
  <c r="R172" i="23"/>
  <c r="W172" i="23"/>
  <c r="W162" i="19" l="1"/>
  <c r="R161" i="19"/>
  <c r="H162" i="19"/>
  <c r="W161" i="19"/>
  <c r="H161" i="19"/>
  <c r="M162" i="19"/>
  <c r="Z10" i="4"/>
  <c r="G11" i="4"/>
  <c r="Z11" i="4" s="1"/>
  <c r="L113" i="18"/>
  <c r="N113" i="18"/>
  <c r="H113" i="18"/>
  <c r="J113" i="18"/>
  <c r="L111" i="20"/>
  <c r="AG24" i="30"/>
  <c r="N111" i="20"/>
  <c r="J111" i="20"/>
  <c r="H111" i="20"/>
  <c r="D41" i="22"/>
  <c r="M11" i="32"/>
  <c r="M22" i="32"/>
  <c r="M25" i="32"/>
  <c r="H119" i="19"/>
  <c r="R156" i="18"/>
  <c r="T156" i="18"/>
  <c r="T149" i="18" s="1"/>
  <c r="N156" i="18"/>
  <c r="N149" i="18" s="1"/>
  <c r="Q156" i="18"/>
  <c r="Q149" i="18" s="1"/>
  <c r="H156" i="18"/>
  <c r="K156" i="18"/>
  <c r="K149" i="18" s="1"/>
  <c r="F17" i="9" s="1"/>
  <c r="W156" i="18"/>
  <c r="N111" i="17"/>
  <c r="J111" i="17"/>
  <c r="H111" i="17"/>
  <c r="L111" i="17"/>
  <c r="N115" i="17"/>
  <c r="L115" i="17"/>
  <c r="H115" i="17"/>
  <c r="J115" i="17"/>
  <c r="N114" i="17"/>
  <c r="J114" i="17"/>
  <c r="L114" i="17"/>
  <c r="H114" i="17"/>
  <c r="W152" i="6"/>
  <c r="Q152" i="6"/>
  <c r="Q149" i="6" s="1"/>
  <c r="K152" i="6"/>
  <c r="K149" i="6" s="1"/>
  <c r="H152" i="6"/>
  <c r="N152" i="6"/>
  <c r="N149" i="6" s="1"/>
  <c r="T152" i="6"/>
  <c r="T149" i="6" s="1"/>
  <c r="N115" i="18"/>
  <c r="L115" i="18"/>
  <c r="J115" i="18"/>
  <c r="H115" i="18"/>
  <c r="N110" i="6"/>
  <c r="F57" i="30"/>
  <c r="H155" i="20"/>
  <c r="R155" i="20"/>
  <c r="W155" i="20"/>
  <c r="M155" i="20"/>
  <c r="N119" i="19"/>
  <c r="W156" i="19"/>
  <c r="Q156" i="19"/>
  <c r="T156" i="19"/>
  <c r="H156" i="19"/>
  <c r="K156" i="19"/>
  <c r="N156" i="19"/>
  <c r="N110" i="23"/>
  <c r="P57" i="30"/>
  <c r="H153" i="20"/>
  <c r="R153" i="20"/>
  <c r="W153" i="20"/>
  <c r="M153" i="20"/>
  <c r="H157" i="17"/>
  <c r="W157" i="17"/>
  <c r="R157" i="17"/>
  <c r="M157" i="17"/>
  <c r="R156" i="17"/>
  <c r="W156" i="17"/>
  <c r="M156" i="17"/>
  <c r="H156" i="17"/>
  <c r="N155" i="17"/>
  <c r="N149" i="17" s="1"/>
  <c r="W155" i="17"/>
  <c r="H155" i="17"/>
  <c r="T155" i="17"/>
  <c r="T149" i="17" s="1"/>
  <c r="K155" i="17"/>
  <c r="K149" i="17" s="1"/>
  <c r="F16" i="9" s="1"/>
  <c r="Q155" i="17"/>
  <c r="Q149" i="17" s="1"/>
  <c r="F110" i="6"/>
  <c r="L110" i="6" s="1"/>
  <c r="F114" i="19"/>
  <c r="L114" i="19" s="1"/>
  <c r="F113" i="17"/>
  <c r="C41" i="17" s="1"/>
  <c r="F114" i="18"/>
  <c r="F110" i="23"/>
  <c r="H110" i="23" s="1"/>
  <c r="F112" i="20"/>
  <c r="J112" i="20" s="1"/>
  <c r="J119" i="19"/>
  <c r="N114" i="19"/>
  <c r="H152" i="23"/>
  <c r="N152" i="23"/>
  <c r="W152" i="23"/>
  <c r="K152" i="23"/>
  <c r="Q152" i="23"/>
  <c r="T152" i="23"/>
  <c r="H155" i="18"/>
  <c r="W155" i="18"/>
  <c r="R155" i="18"/>
  <c r="M155" i="18"/>
  <c r="AG27" i="30"/>
  <c r="J114" i="20"/>
  <c r="L114" i="20"/>
  <c r="N114" i="20"/>
  <c r="H114" i="20"/>
  <c r="H110" i="21"/>
  <c r="E39" i="21" s="1"/>
  <c r="N110" i="21"/>
  <c r="G105" i="21" s="1"/>
  <c r="D62" i="9" s="1"/>
  <c r="L110" i="21"/>
  <c r="E41" i="21" s="1"/>
  <c r="F41" i="21" s="1"/>
  <c r="J110" i="21"/>
  <c r="E40" i="21" s="1"/>
  <c r="F40" i="21" s="1"/>
  <c r="Z16" i="4"/>
  <c r="G17" i="4"/>
  <c r="Z17" i="4" s="1"/>
  <c r="F159" i="19" s="1"/>
  <c r="R159" i="19" s="1"/>
  <c r="G18" i="4"/>
  <c r="Z18" i="4" s="1"/>
  <c r="M153" i="17"/>
  <c r="H153" i="17"/>
  <c r="W153" i="17"/>
  <c r="R153" i="17"/>
  <c r="AG25" i="30"/>
  <c r="N112" i="20"/>
  <c r="L113" i="19"/>
  <c r="N113" i="19"/>
  <c r="H113" i="19"/>
  <c r="J113" i="19"/>
  <c r="N116" i="18"/>
  <c r="H116" i="18"/>
  <c r="L116" i="18"/>
  <c r="J116" i="18"/>
  <c r="L112" i="17"/>
  <c r="H112" i="17"/>
  <c r="J112" i="17"/>
  <c r="N112" i="17"/>
  <c r="R157" i="18"/>
  <c r="W157" i="18"/>
  <c r="H157" i="18"/>
  <c r="M157" i="18"/>
  <c r="N113" i="17"/>
  <c r="N154" i="20"/>
  <c r="Q154" i="20"/>
  <c r="Q149" i="20" s="1"/>
  <c r="T154" i="20"/>
  <c r="H154" i="20"/>
  <c r="W154" i="20"/>
  <c r="K154" i="20"/>
  <c r="K149" i="20" s="1"/>
  <c r="F20" i="9" s="1"/>
  <c r="W155" i="19"/>
  <c r="H155" i="19"/>
  <c r="R155" i="19"/>
  <c r="M155" i="19"/>
  <c r="H158" i="18"/>
  <c r="M158" i="18"/>
  <c r="W158" i="18"/>
  <c r="R158" i="18"/>
  <c r="M154" i="17"/>
  <c r="R154" i="17"/>
  <c r="W154" i="17"/>
  <c r="H154" i="17"/>
  <c r="N113" i="20"/>
  <c r="AG26" i="30"/>
  <c r="L113" i="20"/>
  <c r="H113" i="20"/>
  <c r="J113" i="20"/>
  <c r="H156" i="20"/>
  <c r="M156" i="20"/>
  <c r="W156" i="20"/>
  <c r="R156" i="20"/>
  <c r="R152" i="21"/>
  <c r="R149" i="21" s="1"/>
  <c r="H152" i="21"/>
  <c r="H149" i="21" s="1"/>
  <c r="C21" i="9" s="1"/>
  <c r="D70" i="9" s="1"/>
  <c r="W152" i="21"/>
  <c r="W149" i="21" s="1"/>
  <c r="M152" i="21"/>
  <c r="M149" i="21" s="1"/>
  <c r="H21" i="9" s="1"/>
  <c r="F116" i="19"/>
  <c r="F117" i="19"/>
  <c r="T158" i="19"/>
  <c r="N158" i="19"/>
  <c r="Q158" i="19"/>
  <c r="K158" i="19"/>
  <c r="E38" i="9"/>
  <c r="F38" i="9" s="1"/>
  <c r="G38" i="9" s="1"/>
  <c r="H38" i="9" s="1"/>
  <c r="D7" i="10"/>
  <c r="E40" i="9"/>
  <c r="F40" i="9" s="1"/>
  <c r="G40" i="9" s="1"/>
  <c r="H40" i="9" s="1"/>
  <c r="D9" i="10"/>
  <c r="E43" i="9"/>
  <c r="F43" i="9" s="1"/>
  <c r="G43" i="9" s="1"/>
  <c r="H43" i="9" s="1"/>
  <c r="D12" i="10"/>
  <c r="E39" i="9"/>
  <c r="F39" i="9" s="1"/>
  <c r="G39" i="9" s="1"/>
  <c r="H39" i="9" s="1"/>
  <c r="D8" i="10"/>
  <c r="E125" i="20"/>
  <c r="F167" i="20"/>
  <c r="H112" i="20" l="1"/>
  <c r="L112" i="20"/>
  <c r="J113" i="17"/>
  <c r="H114" i="19"/>
  <c r="H110" i="6"/>
  <c r="J110" i="6"/>
  <c r="L110" i="23"/>
  <c r="F160" i="19"/>
  <c r="E118" i="19"/>
  <c r="D46" i="22"/>
  <c r="C13" i="21" s="1"/>
  <c r="H159" i="19"/>
  <c r="G12" i="10"/>
  <c r="E70" i="9"/>
  <c r="F70" i="9" s="1"/>
  <c r="G70" i="9" s="1"/>
  <c r="H70" i="9" s="1"/>
  <c r="E116" i="19"/>
  <c r="J116" i="19" s="1"/>
  <c r="F158" i="19"/>
  <c r="J114" i="19"/>
  <c r="J110" i="23"/>
  <c r="N24" i="32"/>
  <c r="M13" i="32"/>
  <c r="C13" i="28"/>
  <c r="G15" i="28" s="1"/>
  <c r="D43" i="22"/>
  <c r="M159" i="19"/>
  <c r="H113" i="17"/>
  <c r="G27" i="4"/>
  <c r="C13" i="17"/>
  <c r="G15" i="17" s="1"/>
  <c r="D30" i="9" s="1"/>
  <c r="W159" i="19"/>
  <c r="C39" i="17"/>
  <c r="E62" i="9"/>
  <c r="F62" i="9" s="1"/>
  <c r="G62" i="9" s="1"/>
  <c r="H62" i="9" s="1"/>
  <c r="F12" i="10"/>
  <c r="C40" i="17"/>
  <c r="E114" i="18"/>
  <c r="E112" i="19"/>
  <c r="F154" i="19"/>
  <c r="E112" i="18"/>
  <c r="F154" i="18"/>
  <c r="L113" i="17"/>
  <c r="F39" i="21"/>
  <c r="F43" i="21" s="1"/>
  <c r="G35" i="21" s="1"/>
  <c r="H12" i="10" s="1"/>
  <c r="E43" i="21"/>
  <c r="C39" i="18"/>
  <c r="C41" i="18"/>
  <c r="C40" i="18"/>
  <c r="O113" i="18"/>
  <c r="O110" i="17"/>
  <c r="C35" i="24" s="1"/>
  <c r="E110" i="17"/>
  <c r="E111" i="19"/>
  <c r="O111" i="18"/>
  <c r="E110" i="20"/>
  <c r="F153" i="19"/>
  <c r="O111" i="19"/>
  <c r="F153" i="18"/>
  <c r="F152" i="20"/>
  <c r="E111" i="18"/>
  <c r="F152" i="17"/>
  <c r="O110" i="20"/>
  <c r="O121" i="20"/>
  <c r="E126" i="23"/>
  <c r="F168" i="23"/>
  <c r="O113" i="6"/>
  <c r="F167" i="23"/>
  <c r="E125" i="23"/>
  <c r="L125" i="20"/>
  <c r="AG38" i="30"/>
  <c r="O124" i="20"/>
  <c r="J125" i="20"/>
  <c r="H125" i="20"/>
  <c r="N125" i="20"/>
  <c r="H116" i="19" l="1"/>
  <c r="C13" i="19"/>
  <c r="G15" i="19" s="1"/>
  <c r="D32" i="9" s="1"/>
  <c r="C13" i="18"/>
  <c r="L112" i="18"/>
  <c r="J112" i="18"/>
  <c r="N112" i="18"/>
  <c r="H112" i="18"/>
  <c r="N116" i="19"/>
  <c r="H153" i="18"/>
  <c r="R153" i="18"/>
  <c r="M153" i="18"/>
  <c r="W153" i="18"/>
  <c r="R153" i="19"/>
  <c r="W153" i="19"/>
  <c r="H153" i="19"/>
  <c r="M153" i="19"/>
  <c r="R154" i="19"/>
  <c r="H154" i="19"/>
  <c r="W154" i="19"/>
  <c r="M154" i="19"/>
  <c r="C7" i="10"/>
  <c r="E30" i="9"/>
  <c r="F30" i="9" s="1"/>
  <c r="G30" i="9" s="1"/>
  <c r="H30" i="9" s="1"/>
  <c r="M14" i="32"/>
  <c r="G22" i="4" s="1"/>
  <c r="N23" i="32"/>
  <c r="M23" i="32" s="1"/>
  <c r="L116" i="19"/>
  <c r="AG23" i="30"/>
  <c r="H110" i="20"/>
  <c r="J110" i="20"/>
  <c r="N110" i="20"/>
  <c r="L110" i="20"/>
  <c r="L112" i="19"/>
  <c r="H112" i="19"/>
  <c r="J112" i="19"/>
  <c r="N112" i="19"/>
  <c r="Z27" i="4"/>
  <c r="G28" i="4"/>
  <c r="G36" i="30"/>
  <c r="M24" i="32"/>
  <c r="M152" i="20"/>
  <c r="R152" i="20"/>
  <c r="W152" i="20"/>
  <c r="H152" i="20"/>
  <c r="H154" i="18"/>
  <c r="M154" i="18"/>
  <c r="W154" i="18"/>
  <c r="R154" i="18"/>
  <c r="C36" i="24"/>
  <c r="N114" i="18"/>
  <c r="H114" i="18"/>
  <c r="J114" i="18"/>
  <c r="L114" i="18"/>
  <c r="G15" i="21"/>
  <c r="D35" i="9" s="1"/>
  <c r="C40" i="24"/>
  <c r="D40" i="24" s="1"/>
  <c r="G15" i="4"/>
  <c r="Z15" i="4" s="1"/>
  <c r="W152" i="17"/>
  <c r="W149" i="17" s="1"/>
  <c r="R152" i="17"/>
  <c r="R149" i="17" s="1"/>
  <c r="M152" i="17"/>
  <c r="M149" i="17" s="1"/>
  <c r="H16" i="9" s="1"/>
  <c r="H152" i="17"/>
  <c r="H149" i="17" s="1"/>
  <c r="C16" i="9" s="1"/>
  <c r="D65" i="9" s="1"/>
  <c r="H111" i="19"/>
  <c r="N111" i="19"/>
  <c r="J111" i="19"/>
  <c r="L111" i="19"/>
  <c r="L118" i="19"/>
  <c r="H118" i="19"/>
  <c r="J118" i="19"/>
  <c r="N118" i="19"/>
  <c r="J111" i="18"/>
  <c r="H111" i="18"/>
  <c r="N111" i="18"/>
  <c r="L111" i="18"/>
  <c r="L110" i="17"/>
  <c r="E41" i="17" s="1"/>
  <c r="F41" i="17" s="1"/>
  <c r="N110" i="17"/>
  <c r="G105" i="17" s="1"/>
  <c r="D57" i="9" s="1"/>
  <c r="J110" i="17"/>
  <c r="E40" i="17" s="1"/>
  <c r="F40" i="17" s="1"/>
  <c r="H110" i="17"/>
  <c r="E39" i="17" s="1"/>
  <c r="M158" i="19"/>
  <c r="W158" i="19"/>
  <c r="H158" i="19"/>
  <c r="R158" i="19"/>
  <c r="H160" i="19"/>
  <c r="W160" i="19"/>
  <c r="T160" i="19"/>
  <c r="N160" i="19"/>
  <c r="Q160" i="19"/>
  <c r="K160" i="19"/>
  <c r="F120" i="20"/>
  <c r="F121" i="20"/>
  <c r="O117" i="6"/>
  <c r="O123" i="23"/>
  <c r="F159" i="6"/>
  <c r="E117" i="6"/>
  <c r="R168" i="23"/>
  <c r="H168" i="23"/>
  <c r="W168" i="23"/>
  <c r="M168" i="23"/>
  <c r="N126" i="23"/>
  <c r="H126" i="23"/>
  <c r="J126" i="23"/>
  <c r="L126" i="23"/>
  <c r="P73" i="30"/>
  <c r="O129" i="23"/>
  <c r="O119" i="6"/>
  <c r="K157" i="19"/>
  <c r="N157" i="19"/>
  <c r="Q157" i="19"/>
  <c r="T157" i="19"/>
  <c r="O116" i="6"/>
  <c r="O122" i="23"/>
  <c r="F158" i="6"/>
  <c r="E116" i="6"/>
  <c r="L125" i="23"/>
  <c r="J125" i="23"/>
  <c r="H125" i="23"/>
  <c r="N125" i="23"/>
  <c r="P72" i="30"/>
  <c r="F119" i="6"/>
  <c r="F129" i="23"/>
  <c r="M167" i="23"/>
  <c r="R167" i="23"/>
  <c r="W167" i="23"/>
  <c r="H167" i="23"/>
  <c r="R169" i="23"/>
  <c r="M169" i="23"/>
  <c r="J7" i="3"/>
  <c r="F166" i="20"/>
  <c r="E124" i="20"/>
  <c r="L7" i="3" l="1"/>
  <c r="E83" i="19" s="1"/>
  <c r="T149" i="19"/>
  <c r="N149" i="19"/>
  <c r="F39" i="17"/>
  <c r="F43" i="17" s="1"/>
  <c r="G35" i="17" s="1"/>
  <c r="H7" i="10" s="1"/>
  <c r="E43" i="17"/>
  <c r="I15" i="4"/>
  <c r="F115" i="19" s="1"/>
  <c r="E117" i="19"/>
  <c r="E115" i="19"/>
  <c r="F157" i="19"/>
  <c r="O115" i="19"/>
  <c r="C37" i="24" s="1"/>
  <c r="Q149" i="19"/>
  <c r="E57" i="9"/>
  <c r="F57" i="9" s="1"/>
  <c r="G57" i="9" s="1"/>
  <c r="H57" i="9" s="1"/>
  <c r="F7" i="10"/>
  <c r="C13" i="6"/>
  <c r="G15" i="6" s="1"/>
  <c r="M15" i="32"/>
  <c r="G19" i="4" s="1"/>
  <c r="G15" i="18"/>
  <c r="D31" i="9" s="1"/>
  <c r="G7" i="10"/>
  <c r="E65" i="9"/>
  <c r="F65" i="9" s="1"/>
  <c r="G65" i="9" s="1"/>
  <c r="H65" i="9" s="1"/>
  <c r="E35" i="9"/>
  <c r="F35" i="9" s="1"/>
  <c r="G35" i="9" s="1"/>
  <c r="H35" i="9" s="1"/>
  <c r="C12" i="10"/>
  <c r="E32" i="9"/>
  <c r="F32" i="9" s="1"/>
  <c r="G32" i="9" s="1"/>
  <c r="H32" i="9" s="1"/>
  <c r="C9" i="10"/>
  <c r="E111" i="6"/>
  <c r="F153" i="6"/>
  <c r="K149" i="19"/>
  <c r="F18" i="9" s="1"/>
  <c r="Z28" i="4"/>
  <c r="G29" i="4"/>
  <c r="Z29" i="4" s="1"/>
  <c r="E119" i="23" s="1"/>
  <c r="P66" i="30" s="1"/>
  <c r="G31" i="4"/>
  <c r="Z31" i="4" s="1"/>
  <c r="J159" i="20"/>
  <c r="L159" i="20"/>
  <c r="P159" i="20"/>
  <c r="T159" i="20"/>
  <c r="V159" i="20"/>
  <c r="N159" i="20"/>
  <c r="J117" i="6"/>
  <c r="L117" i="6"/>
  <c r="H117" i="6"/>
  <c r="F64" i="30"/>
  <c r="N117" i="6"/>
  <c r="O119" i="23"/>
  <c r="H159" i="6"/>
  <c r="W159" i="6"/>
  <c r="R159" i="6"/>
  <c r="M159" i="6"/>
  <c r="U158" i="23"/>
  <c r="S158" i="23"/>
  <c r="R158" i="23"/>
  <c r="V158" i="23"/>
  <c r="I158" i="23"/>
  <c r="O158" i="23"/>
  <c r="L158" i="23"/>
  <c r="P158" i="23"/>
  <c r="M158" i="23"/>
  <c r="J158" i="23"/>
  <c r="O118" i="23"/>
  <c r="N116" i="6"/>
  <c r="H116" i="6"/>
  <c r="L116" i="6"/>
  <c r="F63" i="30"/>
  <c r="J116" i="6"/>
  <c r="R158" i="6"/>
  <c r="W158" i="6"/>
  <c r="M158" i="6"/>
  <c r="H158" i="6"/>
  <c r="N170" i="23"/>
  <c r="K170" i="23"/>
  <c r="Q170" i="23"/>
  <c r="T170" i="23"/>
  <c r="V157" i="23"/>
  <c r="U157" i="23"/>
  <c r="I157" i="23"/>
  <c r="L157" i="23"/>
  <c r="L124" i="20"/>
  <c r="AG37" i="30"/>
  <c r="C13" i="23"/>
  <c r="Q36" i="30" s="1"/>
  <c r="M166" i="20"/>
  <c r="W166" i="20"/>
  <c r="N164" i="20"/>
  <c r="T164" i="20"/>
  <c r="V164" i="20"/>
  <c r="L164" i="20"/>
  <c r="P164" i="20"/>
  <c r="J164" i="20"/>
  <c r="E83" i="17"/>
  <c r="E83" i="21"/>
  <c r="W162" i="20"/>
  <c r="M162" i="20"/>
  <c r="L166" i="20"/>
  <c r="R166" i="20"/>
  <c r="J166" i="20"/>
  <c r="P166" i="20"/>
  <c r="V166" i="20"/>
  <c r="H166" i="20"/>
  <c r="T166" i="20"/>
  <c r="N166" i="20"/>
  <c r="N158" i="20"/>
  <c r="L158" i="20"/>
  <c r="V158" i="20"/>
  <c r="T158" i="20"/>
  <c r="J158" i="20"/>
  <c r="P158" i="20"/>
  <c r="M165" i="20"/>
  <c r="W165" i="20"/>
  <c r="M157" i="20"/>
  <c r="W157" i="20"/>
  <c r="E54" i="20"/>
  <c r="G54" i="20" s="1"/>
  <c r="N124" i="20"/>
  <c r="J124" i="20"/>
  <c r="H124" i="20"/>
  <c r="E83" i="18" l="1"/>
  <c r="G83" i="18" s="1"/>
  <c r="E83" i="20"/>
  <c r="G83" i="20" s="1"/>
  <c r="E8" i="24"/>
  <c r="G8" i="24" s="1"/>
  <c r="W157" i="19"/>
  <c r="M157" i="19"/>
  <c r="H157" i="19"/>
  <c r="R157" i="19"/>
  <c r="W153" i="6"/>
  <c r="M153" i="6"/>
  <c r="H153" i="6"/>
  <c r="R153" i="6"/>
  <c r="C8" i="10"/>
  <c r="E31" i="9"/>
  <c r="F31" i="9" s="1"/>
  <c r="G31" i="9" s="1"/>
  <c r="H31" i="9" s="1"/>
  <c r="N115" i="19"/>
  <c r="J115" i="19"/>
  <c r="H115" i="19"/>
  <c r="L115" i="19"/>
  <c r="L111" i="6"/>
  <c r="H111" i="6"/>
  <c r="F58" i="30"/>
  <c r="J111" i="6"/>
  <c r="N111" i="6"/>
  <c r="N117" i="19"/>
  <c r="L117" i="19"/>
  <c r="J117" i="19"/>
  <c r="H117" i="19"/>
  <c r="G40" i="4"/>
  <c r="Z40" i="4" s="1"/>
  <c r="I40" i="4"/>
  <c r="F127" i="23" s="1"/>
  <c r="G23" i="4"/>
  <c r="Z23" i="4" s="1"/>
  <c r="Z22" i="4"/>
  <c r="G30" i="4"/>
  <c r="Z30" i="4" s="1"/>
  <c r="G24" i="4"/>
  <c r="Z24" i="4" s="1"/>
  <c r="G26" i="4"/>
  <c r="Z26" i="4" s="1"/>
  <c r="Q37" i="30"/>
  <c r="C39" i="19"/>
  <c r="C41" i="19"/>
  <c r="C40" i="19"/>
  <c r="M16" i="32"/>
  <c r="G32" i="4" s="1"/>
  <c r="O114" i="6"/>
  <c r="E112" i="6"/>
  <c r="F154" i="6"/>
  <c r="O112" i="6"/>
  <c r="O115" i="6"/>
  <c r="F163" i="23"/>
  <c r="E115" i="6"/>
  <c r="E121" i="23"/>
  <c r="F157" i="6"/>
  <c r="O121" i="23"/>
  <c r="G37" i="30"/>
  <c r="E53" i="22"/>
  <c r="D24" i="46" s="1"/>
  <c r="F155" i="6"/>
  <c r="E113" i="6"/>
  <c r="J157" i="23"/>
  <c r="P157" i="23"/>
  <c r="O157" i="23"/>
  <c r="M157" i="23"/>
  <c r="R157" i="23"/>
  <c r="S157" i="23"/>
  <c r="H119" i="23"/>
  <c r="J119" i="23"/>
  <c r="L119" i="23"/>
  <c r="N119" i="23"/>
  <c r="Q160" i="23"/>
  <c r="K160" i="23"/>
  <c r="N160" i="23"/>
  <c r="T160" i="23"/>
  <c r="K155" i="23"/>
  <c r="V155" i="23"/>
  <c r="P155" i="23"/>
  <c r="T155" i="23"/>
  <c r="U155" i="23"/>
  <c r="S155" i="23"/>
  <c r="I155" i="23"/>
  <c r="L155" i="23"/>
  <c r="Q155" i="23"/>
  <c r="N155" i="23"/>
  <c r="O155" i="23"/>
  <c r="J155" i="23"/>
  <c r="N159" i="23"/>
  <c r="T159" i="23"/>
  <c r="Q159" i="23"/>
  <c r="K159" i="23"/>
  <c r="G15" i="23"/>
  <c r="G83" i="19"/>
  <c r="G83" i="21"/>
  <c r="G83" i="17"/>
  <c r="D26" i="46" l="1"/>
  <c r="D27" i="46" s="1"/>
  <c r="AG19" i="30"/>
  <c r="L6" i="3"/>
  <c r="J8" i="3"/>
  <c r="H155" i="6"/>
  <c r="M155" i="6"/>
  <c r="R155" i="6"/>
  <c r="W155" i="6"/>
  <c r="E118" i="23"/>
  <c r="F160" i="23"/>
  <c r="E116" i="23"/>
  <c r="F158" i="23"/>
  <c r="E114" i="6"/>
  <c r="F162" i="23"/>
  <c r="E120" i="23"/>
  <c r="F156" i="6"/>
  <c r="O116" i="23"/>
  <c r="E114" i="23"/>
  <c r="F156" i="23"/>
  <c r="O114" i="23"/>
  <c r="N22" i="32"/>
  <c r="M154" i="6"/>
  <c r="H154" i="6"/>
  <c r="R154" i="6"/>
  <c r="W154" i="6"/>
  <c r="E115" i="23"/>
  <c r="F157" i="23"/>
  <c r="L112" i="6"/>
  <c r="N112" i="6"/>
  <c r="F59" i="30"/>
  <c r="H112" i="6"/>
  <c r="J112" i="6"/>
  <c r="H157" i="6"/>
  <c r="W157" i="6"/>
  <c r="M157" i="6"/>
  <c r="R157" i="6"/>
  <c r="F169" i="23"/>
  <c r="E127" i="23"/>
  <c r="L115" i="6"/>
  <c r="J115" i="6"/>
  <c r="H115" i="6"/>
  <c r="F62" i="30"/>
  <c r="N115" i="6"/>
  <c r="M163" i="23"/>
  <c r="R163" i="23"/>
  <c r="W163" i="23"/>
  <c r="H163" i="23"/>
  <c r="L113" i="6"/>
  <c r="F60" i="30"/>
  <c r="J113" i="6"/>
  <c r="N113" i="6"/>
  <c r="H113" i="6"/>
  <c r="L121" i="23"/>
  <c r="N121" i="23"/>
  <c r="H121" i="23"/>
  <c r="J121" i="23"/>
  <c r="P68" i="30"/>
  <c r="Z19" i="4"/>
  <c r="G20" i="4"/>
  <c r="G41" i="4"/>
  <c r="D33" i="9"/>
  <c r="J9" i="3" l="1"/>
  <c r="J11" i="3"/>
  <c r="L8" i="3"/>
  <c r="E52" i="23"/>
  <c r="E52" i="6"/>
  <c r="L116" i="23"/>
  <c r="H116" i="23"/>
  <c r="J116" i="23"/>
  <c r="P63" i="30"/>
  <c r="N116" i="23"/>
  <c r="I41" i="4"/>
  <c r="Z41" i="4"/>
  <c r="T169" i="23"/>
  <c r="Q169" i="23"/>
  <c r="K169" i="23"/>
  <c r="N169" i="23"/>
  <c r="H169" i="23"/>
  <c r="W169" i="23"/>
  <c r="L114" i="23"/>
  <c r="P61" i="30"/>
  <c r="H114" i="23"/>
  <c r="N114" i="23"/>
  <c r="J114" i="23"/>
  <c r="W160" i="23"/>
  <c r="R160" i="23"/>
  <c r="M160" i="23"/>
  <c r="H160" i="23"/>
  <c r="L115" i="23"/>
  <c r="J115" i="23"/>
  <c r="N115" i="23"/>
  <c r="H115" i="23"/>
  <c r="P62" i="30"/>
  <c r="Q156" i="23"/>
  <c r="K156" i="23"/>
  <c r="W156" i="23"/>
  <c r="H156" i="23"/>
  <c r="J156" i="23"/>
  <c r="M156" i="23"/>
  <c r="N156" i="23"/>
  <c r="R156" i="23"/>
  <c r="S156" i="23"/>
  <c r="I156" i="23"/>
  <c r="V156" i="23"/>
  <c r="L156" i="23"/>
  <c r="T156" i="23"/>
  <c r="U156" i="23"/>
  <c r="O156" i="23"/>
  <c r="P156" i="23"/>
  <c r="G25" i="4"/>
  <c r="Z25" i="4" s="1"/>
  <c r="Z20" i="4"/>
  <c r="G21" i="4"/>
  <c r="Z21" i="4" s="1"/>
  <c r="L118" i="23"/>
  <c r="H118" i="23"/>
  <c r="J118" i="23"/>
  <c r="P65" i="30"/>
  <c r="N118" i="23"/>
  <c r="H156" i="6"/>
  <c r="R156" i="6"/>
  <c r="M156" i="6"/>
  <c r="W156" i="6"/>
  <c r="F153" i="23"/>
  <c r="E111" i="23"/>
  <c r="H120" i="23"/>
  <c r="N120" i="23"/>
  <c r="P67" i="30"/>
  <c r="L120" i="23"/>
  <c r="J120" i="23"/>
  <c r="L127" i="23"/>
  <c r="P74" i="30"/>
  <c r="H127" i="23"/>
  <c r="N127" i="23"/>
  <c r="J127" i="23"/>
  <c r="Z32" i="4"/>
  <c r="G35" i="4"/>
  <c r="Z35" i="4" s="1"/>
  <c r="G34" i="4"/>
  <c r="Z34" i="4" s="1"/>
  <c r="H162" i="23"/>
  <c r="W162" i="23"/>
  <c r="M162" i="23"/>
  <c r="R162" i="23"/>
  <c r="Q158" i="23"/>
  <c r="N158" i="23"/>
  <c r="W158" i="23"/>
  <c r="K158" i="23"/>
  <c r="H158" i="23"/>
  <c r="T158" i="23"/>
  <c r="N157" i="23"/>
  <c r="K157" i="23"/>
  <c r="W157" i="23"/>
  <c r="Q157" i="23"/>
  <c r="T157" i="23"/>
  <c r="H157" i="23"/>
  <c r="O22" i="32"/>
  <c r="J114" i="6"/>
  <c r="H114" i="6"/>
  <c r="N114" i="6"/>
  <c r="L114" i="6"/>
  <c r="F61" i="30"/>
  <c r="E33" i="9"/>
  <c r="F33" i="9" s="1"/>
  <c r="G33" i="9" s="1"/>
  <c r="H33" i="9" s="1"/>
  <c r="C10" i="10"/>
  <c r="E83" i="6" l="1"/>
  <c r="E83" i="23"/>
  <c r="E9" i="24"/>
  <c r="G9" i="24" s="1"/>
  <c r="G52" i="23"/>
  <c r="G45" i="23" s="1"/>
  <c r="P52" i="30"/>
  <c r="G52" i="6"/>
  <c r="G45" i="6" s="1"/>
  <c r="F52" i="30"/>
  <c r="E128" i="23"/>
  <c r="O118" i="6"/>
  <c r="F170" i="23"/>
  <c r="O128" i="23"/>
  <c r="F160" i="6"/>
  <c r="E118" i="6"/>
  <c r="O115" i="23"/>
  <c r="O113" i="23"/>
  <c r="F155" i="23"/>
  <c r="E113" i="23"/>
  <c r="F118" i="6"/>
  <c r="F128" i="23"/>
  <c r="W153" i="23"/>
  <c r="R153" i="23"/>
  <c r="H153" i="23"/>
  <c r="M153" i="23"/>
  <c r="F166" i="23"/>
  <c r="E124" i="23"/>
  <c r="F154" i="23"/>
  <c r="E112" i="23"/>
  <c r="E122" i="23"/>
  <c r="F164" i="23"/>
  <c r="F161" i="23"/>
  <c r="E117" i="23"/>
  <c r="O117" i="23"/>
  <c r="F159" i="23"/>
  <c r="Z49" i="4"/>
  <c r="Z44" i="4"/>
  <c r="Z48" i="4"/>
  <c r="Z50" i="4"/>
  <c r="Z45" i="4"/>
  <c r="L12" i="3"/>
  <c r="Z52" i="4"/>
  <c r="Z51" i="4"/>
  <c r="Z47" i="4"/>
  <c r="Z46" i="4"/>
  <c r="F165" i="23"/>
  <c r="E123" i="23"/>
  <c r="P58" i="30"/>
  <c r="H111" i="23"/>
  <c r="N111" i="23"/>
  <c r="J111" i="23"/>
  <c r="L111" i="23"/>
  <c r="Z8" i="4" l="1"/>
  <c r="E60" i="24" s="1"/>
  <c r="G60" i="24" s="1"/>
  <c r="H8" i="4"/>
  <c r="C23" i="9"/>
  <c r="L10" i="3"/>
  <c r="D41" i="9"/>
  <c r="P53" i="30"/>
  <c r="G83" i="23"/>
  <c r="F53" i="30"/>
  <c r="G83" i="6"/>
  <c r="F118" i="20"/>
  <c r="F115" i="20"/>
  <c r="F116" i="20"/>
  <c r="F119" i="20"/>
  <c r="F117" i="20"/>
  <c r="F163" i="20"/>
  <c r="E121" i="20"/>
  <c r="N117" i="23"/>
  <c r="H117" i="23"/>
  <c r="J117" i="23"/>
  <c r="P64" i="30"/>
  <c r="L117" i="23"/>
  <c r="C38" i="24"/>
  <c r="R165" i="23"/>
  <c r="M165" i="23"/>
  <c r="W165" i="23"/>
  <c r="H165" i="23"/>
  <c r="C54" i="22"/>
  <c r="L13" i="3"/>
  <c r="AB29" i="30"/>
  <c r="AI9" i="30" s="1"/>
  <c r="H22" i="20"/>
  <c r="M161" i="23"/>
  <c r="W161" i="23"/>
  <c r="H161" i="23"/>
  <c r="R161" i="23"/>
  <c r="F165" i="20"/>
  <c r="E123" i="20"/>
  <c r="D8" i="9"/>
  <c r="E8" i="9" s="1"/>
  <c r="F8" i="9" s="1"/>
  <c r="D13" i="20"/>
  <c r="L154" i="23"/>
  <c r="L149" i="23" s="1"/>
  <c r="G19" i="9" s="1"/>
  <c r="Q154" i="23"/>
  <c r="O154" i="23"/>
  <c r="O149" i="23" s="1"/>
  <c r="V154" i="23"/>
  <c r="V149" i="23" s="1"/>
  <c r="N154" i="23"/>
  <c r="P154" i="23"/>
  <c r="P149" i="23" s="1"/>
  <c r="T154" i="23"/>
  <c r="W154" i="23"/>
  <c r="U154" i="23"/>
  <c r="U149" i="23" s="1"/>
  <c r="J154" i="23"/>
  <c r="J149" i="23" s="1"/>
  <c r="E19" i="9" s="1"/>
  <c r="M154" i="23"/>
  <c r="H154" i="23"/>
  <c r="S154" i="23"/>
  <c r="S149" i="23" s="1"/>
  <c r="R154" i="23"/>
  <c r="I154" i="23"/>
  <c r="I149" i="23" s="1"/>
  <c r="D19" i="9" s="1"/>
  <c r="K154" i="23"/>
  <c r="L123" i="23"/>
  <c r="H123" i="23"/>
  <c r="N123" i="23"/>
  <c r="J123" i="23"/>
  <c r="P70" i="30"/>
  <c r="O119" i="20"/>
  <c r="F161" i="20"/>
  <c r="E119" i="20"/>
  <c r="W164" i="23"/>
  <c r="R164" i="23"/>
  <c r="H164" i="23"/>
  <c r="M164" i="23"/>
  <c r="N118" i="6"/>
  <c r="H118" i="6"/>
  <c r="F65" i="30"/>
  <c r="L118" i="6"/>
  <c r="J118" i="6"/>
  <c r="M170" i="23"/>
  <c r="H170" i="23"/>
  <c r="W170" i="23"/>
  <c r="R170" i="23"/>
  <c r="H159" i="23"/>
  <c r="R159" i="23"/>
  <c r="M159" i="23"/>
  <c r="W159" i="23"/>
  <c r="O117" i="20"/>
  <c r="E117" i="20"/>
  <c r="F159" i="20"/>
  <c r="O120" i="20"/>
  <c r="F160" i="20"/>
  <c r="E118" i="20"/>
  <c r="O118" i="20"/>
  <c r="O115" i="20"/>
  <c r="E115" i="20"/>
  <c r="F157" i="20"/>
  <c r="L122" i="23"/>
  <c r="P69" i="30"/>
  <c r="J122" i="23"/>
  <c r="H122" i="23"/>
  <c r="N122" i="23"/>
  <c r="H160" i="6"/>
  <c r="M160" i="6"/>
  <c r="W160" i="6"/>
  <c r="R160" i="6"/>
  <c r="F164" i="20"/>
  <c r="E122" i="20"/>
  <c r="E120" i="20"/>
  <c r="F162" i="20"/>
  <c r="L112" i="23"/>
  <c r="P59" i="30"/>
  <c r="H112" i="23"/>
  <c r="N112" i="23"/>
  <c r="J112" i="23"/>
  <c r="L128" i="23"/>
  <c r="C40" i="23"/>
  <c r="O48" i="30" s="1"/>
  <c r="C39" i="23"/>
  <c r="O47" i="30" s="1"/>
  <c r="C41" i="23"/>
  <c r="O49" i="30" s="1"/>
  <c r="C39" i="6"/>
  <c r="E47" i="30" s="1"/>
  <c r="C40" i="6"/>
  <c r="E48" i="30" s="1"/>
  <c r="C41" i="6"/>
  <c r="E49" i="30" s="1"/>
  <c r="L124" i="23"/>
  <c r="J124" i="23"/>
  <c r="N124" i="23"/>
  <c r="H124" i="23"/>
  <c r="P71" i="30"/>
  <c r="H113" i="23"/>
  <c r="L113" i="23"/>
  <c r="N113" i="23"/>
  <c r="J113" i="23"/>
  <c r="P60" i="30"/>
  <c r="AB22" i="30"/>
  <c r="AI8" i="30" s="1"/>
  <c r="H21" i="20"/>
  <c r="F158" i="20"/>
  <c r="O116" i="20"/>
  <c r="E116" i="20"/>
  <c r="R166" i="23"/>
  <c r="M166" i="23"/>
  <c r="H166" i="23"/>
  <c r="W166" i="23"/>
  <c r="W155" i="23"/>
  <c r="R155" i="23"/>
  <c r="H155" i="23"/>
  <c r="M155" i="23"/>
  <c r="P75" i="30"/>
  <c r="N128" i="23"/>
  <c r="J128" i="23"/>
  <c r="H128" i="23"/>
  <c r="D23" i="9" l="1"/>
  <c r="F23" i="9"/>
  <c r="H23" i="9"/>
  <c r="E23" i="9"/>
  <c r="G23" i="9"/>
  <c r="L11" i="3"/>
  <c r="E12" i="24" s="1" a="1"/>
  <c r="E12" i="24" s="1"/>
  <c r="L9" i="3"/>
  <c r="D7" i="9"/>
  <c r="E7" i="9" s="1"/>
  <c r="C13" i="20"/>
  <c r="G53" i="22"/>
  <c r="C39" i="20"/>
  <c r="AH12" i="30" s="1"/>
  <c r="C40" i="20"/>
  <c r="AH13" i="30" s="1"/>
  <c r="C41" i="20"/>
  <c r="AH14" i="30" s="1"/>
  <c r="E41" i="9"/>
  <c r="F41" i="9" s="1"/>
  <c r="G41" i="9" s="1"/>
  <c r="H41" i="9" s="1"/>
  <c r="D10" i="10"/>
  <c r="AG28" i="30"/>
  <c r="H115" i="20"/>
  <c r="J115" i="20"/>
  <c r="N115" i="20"/>
  <c r="L115" i="20"/>
  <c r="AG29" i="30"/>
  <c r="L116" i="20"/>
  <c r="H116" i="20"/>
  <c r="J116" i="20"/>
  <c r="N116" i="20"/>
  <c r="L122" i="20"/>
  <c r="AG35" i="30"/>
  <c r="H122" i="20"/>
  <c r="N122" i="20"/>
  <c r="J122" i="20"/>
  <c r="N120" i="20"/>
  <c r="AG33" i="30"/>
  <c r="J120" i="20"/>
  <c r="H120" i="20"/>
  <c r="L120" i="20"/>
  <c r="T165" i="20"/>
  <c r="R165" i="20"/>
  <c r="J165" i="20"/>
  <c r="L165" i="20"/>
  <c r="N165" i="20"/>
  <c r="P165" i="20"/>
  <c r="H165" i="20"/>
  <c r="V165" i="20"/>
  <c r="C39" i="24"/>
  <c r="R164" i="20"/>
  <c r="M164" i="20"/>
  <c r="H164" i="20"/>
  <c r="W164" i="20"/>
  <c r="J119" i="20"/>
  <c r="H119" i="20"/>
  <c r="L119" i="20"/>
  <c r="N119" i="20"/>
  <c r="AG32" i="30"/>
  <c r="O158" i="20"/>
  <c r="O149" i="20" s="1"/>
  <c r="M158" i="20"/>
  <c r="R158" i="20"/>
  <c r="H158" i="20"/>
  <c r="W158" i="20"/>
  <c r="AG31" i="30"/>
  <c r="H118" i="20"/>
  <c r="N118" i="20"/>
  <c r="L118" i="20"/>
  <c r="J118" i="20"/>
  <c r="M161" i="20"/>
  <c r="W161" i="20"/>
  <c r="R161" i="20"/>
  <c r="H161" i="20"/>
  <c r="AB14" i="30"/>
  <c r="AI7" i="30" s="1"/>
  <c r="E54" i="22"/>
  <c r="E33" i="20"/>
  <c r="G15" i="20" s="1"/>
  <c r="D34" i="9" s="1"/>
  <c r="D29" i="9" s="1"/>
  <c r="R160" i="20"/>
  <c r="W160" i="20"/>
  <c r="H160" i="20"/>
  <c r="M160" i="20"/>
  <c r="G8" i="9"/>
  <c r="J121" i="20"/>
  <c r="N121" i="20"/>
  <c r="L121" i="20"/>
  <c r="AG34" i="30"/>
  <c r="H121" i="20"/>
  <c r="H159" i="20"/>
  <c r="M159" i="20"/>
  <c r="R159" i="20"/>
  <c r="W159" i="20"/>
  <c r="AI6" i="30"/>
  <c r="H162" i="20"/>
  <c r="R162" i="20"/>
  <c r="L157" i="20"/>
  <c r="R157" i="20"/>
  <c r="N157" i="20"/>
  <c r="V157" i="20"/>
  <c r="T157" i="20"/>
  <c r="P157" i="20"/>
  <c r="J157" i="20"/>
  <c r="H157" i="20"/>
  <c r="AG30" i="30"/>
  <c r="L117" i="20"/>
  <c r="J117" i="20"/>
  <c r="N117" i="20"/>
  <c r="H117" i="20"/>
  <c r="J123" i="20"/>
  <c r="H123" i="20"/>
  <c r="N123" i="20"/>
  <c r="L123" i="20"/>
  <c r="AG36" i="30"/>
  <c r="R163" i="20"/>
  <c r="W163" i="20"/>
  <c r="H163" i="20"/>
  <c r="M163" i="20"/>
  <c r="E11" i="24" l="1"/>
  <c r="G11" i="24" s="1"/>
  <c r="E88" i="9"/>
  <c r="F88" i="9" s="1"/>
  <c r="G88" i="9" s="1"/>
  <c r="H88" i="9" s="1"/>
  <c r="G54" i="22"/>
  <c r="C41" i="24"/>
  <c r="D41" i="24" s="1"/>
  <c r="C47" i="24" s="1"/>
  <c r="E84" i="17"/>
  <c r="E84" i="19"/>
  <c r="E10" i="24"/>
  <c r="G10" i="24" s="1"/>
  <c r="E84" i="6"/>
  <c r="E84" i="20"/>
  <c r="E84" i="23"/>
  <c r="E84" i="21"/>
  <c r="E84" i="18"/>
  <c r="P149" i="20"/>
  <c r="D6" i="9"/>
  <c r="F7" i="9"/>
  <c r="E6" i="9"/>
  <c r="V149" i="20"/>
  <c r="N149" i="20"/>
  <c r="J149" i="20"/>
  <c r="E20" i="9" s="1"/>
  <c r="T149" i="20"/>
  <c r="L149" i="20"/>
  <c r="G20" i="9" s="1"/>
  <c r="H149" i="20"/>
  <c r="C20" i="9" s="1"/>
  <c r="D69" i="9" s="1"/>
  <c r="R149" i="20"/>
  <c r="W149" i="20"/>
  <c r="E41" i="20"/>
  <c r="F41" i="20" s="1"/>
  <c r="C11" i="10"/>
  <c r="E34" i="9"/>
  <c r="M149" i="20"/>
  <c r="H20" i="9" s="1"/>
  <c r="G105" i="20"/>
  <c r="D61" i="9" s="1"/>
  <c r="E40" i="20"/>
  <c r="F40" i="20" s="1"/>
  <c r="E39" i="20"/>
  <c r="H8" i="9"/>
  <c r="G13" i="9" l="1"/>
  <c r="G97" i="9" s="1"/>
  <c r="E13" i="9"/>
  <c r="E97" i="9" s="1"/>
  <c r="C42" i="24"/>
  <c r="G84" i="21"/>
  <c r="G76" i="21" s="1"/>
  <c r="D54" i="9" s="1"/>
  <c r="G84" i="19"/>
  <c r="G76" i="19" s="1"/>
  <c r="D51" i="9" s="1"/>
  <c r="G84" i="17"/>
  <c r="G76" i="17" s="1"/>
  <c r="D49" i="9" s="1"/>
  <c r="G84" i="18"/>
  <c r="G76" i="18" s="1"/>
  <c r="D50" i="9" s="1"/>
  <c r="G84" i="23"/>
  <c r="G76" i="23" s="1"/>
  <c r="P54" i="30"/>
  <c r="G84" i="20"/>
  <c r="G76" i="20" s="1"/>
  <c r="D53" i="9" s="1"/>
  <c r="AG20" i="30"/>
  <c r="F54" i="30"/>
  <c r="G84" i="6"/>
  <c r="G76" i="6" s="1"/>
  <c r="E110" i="9"/>
  <c r="E96" i="9"/>
  <c r="E99" i="9" s="1"/>
  <c r="G7" i="9"/>
  <c r="F6" i="9"/>
  <c r="D96" i="9"/>
  <c r="D99" i="9" s="1"/>
  <c r="D110" i="9"/>
  <c r="K7" i="43" s="1"/>
  <c r="C13" i="10"/>
  <c r="C22" i="10" s="1"/>
  <c r="F34" i="9"/>
  <c r="E29" i="9"/>
  <c r="E61" i="9"/>
  <c r="F61" i="9" s="1"/>
  <c r="G61" i="9" s="1"/>
  <c r="H61" i="9" s="1"/>
  <c r="F11" i="10"/>
  <c r="E43" i="20"/>
  <c r="F39" i="20"/>
  <c r="F43" i="20" s="1"/>
  <c r="G35" i="20" s="1"/>
  <c r="H11" i="10" s="1"/>
  <c r="G11" i="10"/>
  <c r="E69" i="9"/>
  <c r="F69" i="9" s="1"/>
  <c r="G69" i="9" s="1"/>
  <c r="H69" i="9" s="1"/>
  <c r="E8" i="10" l="1"/>
  <c r="E50" i="9"/>
  <c r="F50" i="9" s="1"/>
  <c r="G50" i="9" s="1"/>
  <c r="H50" i="9" s="1"/>
  <c r="E12" i="10"/>
  <c r="E54" i="9"/>
  <c r="F54" i="9" s="1"/>
  <c r="G54" i="9" s="1"/>
  <c r="H54" i="9" s="1"/>
  <c r="E49" i="9"/>
  <c r="E7" i="10"/>
  <c r="E51" i="9"/>
  <c r="F51" i="9" s="1"/>
  <c r="G51" i="9" s="1"/>
  <c r="H51" i="9" s="1"/>
  <c r="E9" i="10"/>
  <c r="E11" i="10"/>
  <c r="E53" i="9"/>
  <c r="F53" i="9" s="1"/>
  <c r="G53" i="9" s="1"/>
  <c r="H53" i="9" s="1"/>
  <c r="D52" i="9"/>
  <c r="D48" i="9" s="1"/>
  <c r="H7" i="9"/>
  <c r="H6" i="9" s="1"/>
  <c r="G6" i="9"/>
  <c r="F110" i="9"/>
  <c r="F96" i="9"/>
  <c r="F99" i="9" s="1"/>
  <c r="G34" i="9"/>
  <c r="F29" i="9"/>
  <c r="C18" i="10"/>
  <c r="C23" i="10"/>
  <c r="C19" i="10"/>
  <c r="C20" i="10"/>
  <c r="C21" i="10"/>
  <c r="D39" i="24"/>
  <c r="D36" i="24"/>
  <c r="D37" i="24"/>
  <c r="D38" i="24"/>
  <c r="G42" i="4" s="1"/>
  <c r="F49" i="9" l="1"/>
  <c r="I7" i="10"/>
  <c r="C30" i="10" s="1"/>
  <c r="I12" i="10"/>
  <c r="E52" i="9"/>
  <c r="F52" i="9" s="1"/>
  <c r="G52" i="9" s="1"/>
  <c r="H52" i="9" s="1"/>
  <c r="E10" i="10"/>
  <c r="G96" i="9"/>
  <c r="G99" i="9" s="1"/>
  <c r="G110" i="9"/>
  <c r="H96" i="9"/>
  <c r="H99" i="9" s="1"/>
  <c r="H110" i="9"/>
  <c r="C24" i="10"/>
  <c r="H34" i="9"/>
  <c r="H29" i="9" s="1"/>
  <c r="G29" i="9"/>
  <c r="Z42" i="4"/>
  <c r="F172" i="23"/>
  <c r="E130" i="23"/>
  <c r="E120" i="6"/>
  <c r="E131" i="23"/>
  <c r="F173" i="23"/>
  <c r="F162" i="6"/>
  <c r="D35" i="24"/>
  <c r="D42" i="24" s="1"/>
  <c r="C10" i="43" s="1"/>
  <c r="H29" i="10" l="1"/>
  <c r="H32" i="10"/>
  <c r="H33" i="10"/>
  <c r="H31" i="10"/>
  <c r="H28" i="10"/>
  <c r="C29" i="10"/>
  <c r="C28" i="10"/>
  <c r="C32" i="10"/>
  <c r="C31" i="10"/>
  <c r="C33" i="10"/>
  <c r="H30" i="10"/>
  <c r="E13" i="10"/>
  <c r="E21" i="10" s="1"/>
  <c r="S99" i="9"/>
  <c r="E48" i="9"/>
  <c r="G49" i="9"/>
  <c r="F48" i="9"/>
  <c r="L131" i="23"/>
  <c r="P78" i="30"/>
  <c r="L120" i="6"/>
  <c r="F67" i="30"/>
  <c r="L130" i="23"/>
  <c r="P77" i="30"/>
  <c r="E119" i="6"/>
  <c r="F161" i="6"/>
  <c r="F171" i="23"/>
  <c r="E129" i="23"/>
  <c r="L129" i="23" s="1"/>
  <c r="J120" i="6"/>
  <c r="H120" i="6"/>
  <c r="J130" i="23"/>
  <c r="H130" i="23"/>
  <c r="H131" i="23"/>
  <c r="J131" i="23"/>
  <c r="N130" i="23"/>
  <c r="N131" i="23"/>
  <c r="N120" i="6"/>
  <c r="C34" i="10" l="1"/>
  <c r="H49" i="9"/>
  <c r="H48" i="9" s="1"/>
  <c r="G48" i="9"/>
  <c r="H34" i="10"/>
  <c r="E18" i="10"/>
  <c r="E20" i="10"/>
  <c r="E22" i="10"/>
  <c r="E23" i="10"/>
  <c r="E19" i="10"/>
  <c r="T171" i="23"/>
  <c r="T149" i="23" s="1"/>
  <c r="Q171" i="23"/>
  <c r="Q149" i="23" s="1"/>
  <c r="N171" i="23"/>
  <c r="N149" i="23" s="1"/>
  <c r="K171" i="23"/>
  <c r="K149" i="23" s="1"/>
  <c r="F19" i="9" s="1"/>
  <c r="R161" i="6"/>
  <c r="R149" i="6" s="1"/>
  <c r="H161" i="6"/>
  <c r="H149" i="6" s="1"/>
  <c r="M161" i="6"/>
  <c r="M149" i="6" s="1"/>
  <c r="W161" i="6"/>
  <c r="W149" i="6" s="1"/>
  <c r="R171" i="23"/>
  <c r="R149" i="23" s="1"/>
  <c r="M171" i="23"/>
  <c r="M149" i="23" s="1"/>
  <c r="H171" i="23"/>
  <c r="H149" i="23" s="1"/>
  <c r="W171" i="23"/>
  <c r="W149" i="23" s="1"/>
  <c r="L119" i="6"/>
  <c r="E41" i="6" s="1"/>
  <c r="F41" i="6" s="1"/>
  <c r="F66" i="30"/>
  <c r="N129" i="23"/>
  <c r="G105" i="23" s="1"/>
  <c r="P76" i="30"/>
  <c r="H129" i="23"/>
  <c r="E39" i="23" s="1"/>
  <c r="J129" i="23"/>
  <c r="E40" i="23" s="1"/>
  <c r="F40" i="23" s="1"/>
  <c r="N119" i="6"/>
  <c r="G105" i="6" s="1"/>
  <c r="H119" i="6"/>
  <c r="E39" i="6" s="1"/>
  <c r="F39" i="6" s="1"/>
  <c r="J119" i="6"/>
  <c r="E40" i="6" s="1"/>
  <c r="F40" i="6" s="1"/>
  <c r="G7" i="4"/>
  <c r="E110" i="19"/>
  <c r="L110" i="19" s="1"/>
  <c r="F152" i="18"/>
  <c r="F152" i="19"/>
  <c r="E110" i="18"/>
  <c r="L110" i="18" s="1"/>
  <c r="C52" i="24"/>
  <c r="C15" i="9" s="1"/>
  <c r="C51" i="24"/>
  <c r="C14" i="9" s="1"/>
  <c r="E41" i="23"/>
  <c r="F41" i="23" s="1"/>
  <c r="C45" i="24"/>
  <c r="C82" i="9" s="1"/>
  <c r="C80" i="9" s="1"/>
  <c r="C98" i="9" s="1"/>
  <c r="F13" i="9" l="1"/>
  <c r="F97" i="9" s="1"/>
  <c r="H7" i="4"/>
  <c r="Z7" i="4"/>
  <c r="E59" i="24" s="1"/>
  <c r="G59" i="24" s="1"/>
  <c r="D83" i="9" s="1"/>
  <c r="E83" i="9" s="1"/>
  <c r="E24" i="10"/>
  <c r="H19" i="9"/>
  <c r="C19" i="9"/>
  <c r="D68" i="9" s="1"/>
  <c r="G10" i="10" s="1"/>
  <c r="E41" i="18"/>
  <c r="F41" i="18" s="1"/>
  <c r="J110" i="18"/>
  <c r="E40" i="18" s="1"/>
  <c r="F40" i="18" s="1"/>
  <c r="H110" i="18"/>
  <c r="E39" i="18" s="1"/>
  <c r="N110" i="18"/>
  <c r="G105" i="18" s="1"/>
  <c r="H152" i="19"/>
  <c r="H149" i="19" s="1"/>
  <c r="C18" i="9" s="1"/>
  <c r="D67" i="9" s="1"/>
  <c r="G9" i="10" s="1"/>
  <c r="R152" i="19"/>
  <c r="R149" i="19" s="1"/>
  <c r="W152" i="19"/>
  <c r="W149" i="19" s="1"/>
  <c r="M152" i="19"/>
  <c r="M149" i="19" s="1"/>
  <c r="H18" i="9" s="1"/>
  <c r="W152" i="18"/>
  <c r="W149" i="18" s="1"/>
  <c r="M152" i="18"/>
  <c r="M149" i="18" s="1"/>
  <c r="H17" i="9" s="1"/>
  <c r="H152" i="18"/>
  <c r="H149" i="18" s="1"/>
  <c r="C17" i="9" s="1"/>
  <c r="R152" i="18"/>
  <c r="R149" i="18" s="1"/>
  <c r="J110" i="19"/>
  <c r="E40" i="19" s="1"/>
  <c r="F40" i="19" s="1"/>
  <c r="H110" i="19"/>
  <c r="E39" i="19" s="1"/>
  <c r="E41" i="19"/>
  <c r="F41" i="19" s="1"/>
  <c r="N110" i="19"/>
  <c r="G105" i="19" s="1"/>
  <c r="D60" i="9"/>
  <c r="E43" i="23"/>
  <c r="G39" i="23" s="1"/>
  <c r="F43" i="6"/>
  <c r="G35" i="6" s="1"/>
  <c r="E43" i="6"/>
  <c r="F39" i="23"/>
  <c r="D82" i="9"/>
  <c r="E82" i="9" s="1"/>
  <c r="H97" i="9" l="1"/>
  <c r="C61" i="10"/>
  <c r="E60" i="9"/>
  <c r="F60" i="9" s="1"/>
  <c r="F10" i="10"/>
  <c r="D66" i="9"/>
  <c r="G8" i="10" s="1"/>
  <c r="C22" i="9"/>
  <c r="D13" i="9" s="1"/>
  <c r="D97" i="9" s="1"/>
  <c r="G54" i="24"/>
  <c r="D87" i="9" s="1"/>
  <c r="D74" i="9"/>
  <c r="D75" i="9"/>
  <c r="D58" i="9"/>
  <c r="F8" i="10" s="1"/>
  <c r="F39" i="18"/>
  <c r="F43" i="18" s="1"/>
  <c r="G35" i="18" s="1"/>
  <c r="H8" i="10" s="1"/>
  <c r="E43" i="18"/>
  <c r="E43" i="19"/>
  <c r="F39" i="19"/>
  <c r="F43" i="19" s="1"/>
  <c r="G35" i="19" s="1"/>
  <c r="H9" i="10" s="1"/>
  <c r="D59" i="9"/>
  <c r="F9" i="10" s="1"/>
  <c r="E68" i="9"/>
  <c r="F43" i="23"/>
  <c r="G35" i="23" s="1"/>
  <c r="D77" i="9"/>
  <c r="E78" i="9"/>
  <c r="C77" i="9"/>
  <c r="C47" i="9" s="1"/>
  <c r="C112" i="9" s="1"/>
  <c r="C13" i="9" l="1"/>
  <c r="G7" i="43" s="1"/>
  <c r="E87" i="9"/>
  <c r="C66" i="10"/>
  <c r="I8" i="10"/>
  <c r="F13" i="10"/>
  <c r="F21" i="10" s="1"/>
  <c r="I9" i="10"/>
  <c r="E31" i="10" s="1"/>
  <c r="G13" i="10"/>
  <c r="G19" i="10" s="1"/>
  <c r="H10" i="10"/>
  <c r="E75" i="9"/>
  <c r="F75" i="9" s="1"/>
  <c r="G75" i="9" s="1"/>
  <c r="H75" i="9" s="1"/>
  <c r="C73" i="10"/>
  <c r="E74" i="9"/>
  <c r="F74" i="9" s="1"/>
  <c r="G74" i="9" s="1"/>
  <c r="H74" i="9" s="1"/>
  <c r="C72" i="10"/>
  <c r="F82" i="9"/>
  <c r="E85" i="9"/>
  <c r="D56" i="9"/>
  <c r="E58" i="9"/>
  <c r="E66" i="9"/>
  <c r="F66" i="9" s="1"/>
  <c r="G66" i="9" s="1"/>
  <c r="H66" i="9" s="1"/>
  <c r="E67" i="9"/>
  <c r="F67" i="9" s="1"/>
  <c r="G67" i="9" s="1"/>
  <c r="H67" i="9" s="1"/>
  <c r="E59" i="9"/>
  <c r="F59" i="9" s="1"/>
  <c r="G59" i="9" s="1"/>
  <c r="H59" i="9" s="1"/>
  <c r="D73" i="9"/>
  <c r="C71" i="10" s="1"/>
  <c r="C114" i="9"/>
  <c r="C113" i="9"/>
  <c r="C121" i="9" s="1"/>
  <c r="C119" i="9"/>
  <c r="E77" i="9"/>
  <c r="F78" i="9"/>
  <c r="G60" i="9"/>
  <c r="F68" i="9"/>
  <c r="E108" i="22" l="1"/>
  <c r="E113" i="22" s="1"/>
  <c r="E114" i="22" s="1"/>
  <c r="E115" i="22" s="1"/>
  <c r="C97" i="9"/>
  <c r="C100" i="9" s="1"/>
  <c r="F87" i="9"/>
  <c r="G87" i="9" s="1"/>
  <c r="H87" i="9" s="1"/>
  <c r="C62" i="10"/>
  <c r="E33" i="10"/>
  <c r="H13" i="10"/>
  <c r="H22" i="10" s="1"/>
  <c r="D28" i="10"/>
  <c r="D29" i="10"/>
  <c r="D30" i="10"/>
  <c r="I10" i="10"/>
  <c r="D32" i="10"/>
  <c r="F20" i="10"/>
  <c r="D33" i="10"/>
  <c r="E28" i="10"/>
  <c r="E29" i="10"/>
  <c r="E30" i="10"/>
  <c r="E32" i="10"/>
  <c r="D31" i="10"/>
  <c r="C74" i="10"/>
  <c r="D71" i="10" s="1"/>
  <c r="F85" i="9"/>
  <c r="G85" i="9" s="1"/>
  <c r="H85" i="9" s="1"/>
  <c r="C64" i="10"/>
  <c r="F23" i="10"/>
  <c r="F18" i="10"/>
  <c r="F22" i="10"/>
  <c r="G23" i="10"/>
  <c r="G18" i="10"/>
  <c r="G21" i="10"/>
  <c r="G22" i="10"/>
  <c r="G20" i="10"/>
  <c r="F19" i="10"/>
  <c r="G82" i="9"/>
  <c r="E64" i="9"/>
  <c r="D64" i="9"/>
  <c r="E73" i="9"/>
  <c r="D72" i="9"/>
  <c r="F58" i="9"/>
  <c r="E56" i="9"/>
  <c r="C120" i="9"/>
  <c r="C117" i="9"/>
  <c r="C122" i="9" s="1"/>
  <c r="F77" i="9"/>
  <c r="G78" i="9"/>
  <c r="H60" i="9"/>
  <c r="F64" i="9"/>
  <c r="G68" i="9"/>
  <c r="H91" i="9" l="1"/>
  <c r="C102" i="9"/>
  <c r="C103" i="9"/>
  <c r="C104" i="9" s="1"/>
  <c r="C105" i="9" s="1"/>
  <c r="F91" i="9"/>
  <c r="E91" i="9"/>
  <c r="D91" i="9"/>
  <c r="D116" i="9" s="1"/>
  <c r="K14" i="43" s="1"/>
  <c r="G91" i="9"/>
  <c r="D73" i="10"/>
  <c r="D72" i="10"/>
  <c r="H19" i="10"/>
  <c r="H21" i="10"/>
  <c r="H23" i="10"/>
  <c r="H18" i="10"/>
  <c r="H20" i="10"/>
  <c r="F28" i="10"/>
  <c r="F32" i="10"/>
  <c r="F29" i="10"/>
  <c r="F30" i="10"/>
  <c r="F31" i="10"/>
  <c r="D34" i="10"/>
  <c r="E34" i="10"/>
  <c r="F33" i="10"/>
  <c r="F24" i="10"/>
  <c r="G24" i="10"/>
  <c r="D47" i="9"/>
  <c r="F83" i="9"/>
  <c r="H82" i="9"/>
  <c r="F73" i="9"/>
  <c r="E72" i="9"/>
  <c r="E47" i="9" s="1"/>
  <c r="G58" i="9"/>
  <c r="F56" i="9"/>
  <c r="G77" i="9"/>
  <c r="H78" i="9"/>
  <c r="H68" i="9"/>
  <c r="G64" i="9"/>
  <c r="D74" i="10" l="1"/>
  <c r="H24" i="10"/>
  <c r="F34" i="10"/>
  <c r="G83" i="9"/>
  <c r="H58" i="9"/>
  <c r="G56" i="9"/>
  <c r="G73" i="9"/>
  <c r="F72" i="9"/>
  <c r="F47" i="9" s="1"/>
  <c r="F116" i="9"/>
  <c r="H116" i="9"/>
  <c r="G116" i="9"/>
  <c r="E116" i="9"/>
  <c r="H77" i="9"/>
  <c r="H64" i="9"/>
  <c r="H83" i="9" l="1"/>
  <c r="G72" i="9"/>
  <c r="G47" i="9" s="1"/>
  <c r="H73" i="9"/>
  <c r="H56" i="9"/>
  <c r="H72" i="9" l="1"/>
  <c r="H47" i="9" s="1"/>
  <c r="E53" i="20" l="1"/>
  <c r="E52" i="20"/>
  <c r="G52" i="20" l="1"/>
  <c r="AG17" i="30"/>
  <c r="G53" i="20"/>
  <c r="AG18" i="30"/>
  <c r="G45" i="20" l="1"/>
  <c r="D42" i="9" s="1"/>
  <c r="D11" i="10" s="1"/>
  <c r="I11" i="10" s="1"/>
  <c r="D37" i="9" l="1"/>
  <c r="D45" i="9" s="1"/>
  <c r="D28" i="9" s="1"/>
  <c r="E42" i="9"/>
  <c r="F42" i="9" s="1"/>
  <c r="D13" i="10"/>
  <c r="D18" i="10" s="1"/>
  <c r="G32" i="10"/>
  <c r="G28" i="10"/>
  <c r="G31" i="10"/>
  <c r="G30" i="10"/>
  <c r="G33" i="10"/>
  <c r="G29" i="10"/>
  <c r="I13" i="10"/>
  <c r="D21" i="10" l="1"/>
  <c r="D22" i="10"/>
  <c r="E37" i="9"/>
  <c r="E111" i="9" s="1"/>
  <c r="E112" i="9" s="1"/>
  <c r="D23" i="10"/>
  <c r="D20" i="10"/>
  <c r="D19" i="10"/>
  <c r="D111" i="9"/>
  <c r="D112" i="9" s="1"/>
  <c r="C46" i="10"/>
  <c r="C54" i="10"/>
  <c r="G34" i="10"/>
  <c r="F47" i="10"/>
  <c r="F42" i="10"/>
  <c r="F45" i="10"/>
  <c r="F46" i="10"/>
  <c r="F44" i="10"/>
  <c r="C42" i="10"/>
  <c r="C47" i="10"/>
  <c r="C45" i="10"/>
  <c r="C44" i="10"/>
  <c r="C43" i="10"/>
  <c r="F43" i="10"/>
  <c r="D123" i="9"/>
  <c r="O11" i="43" s="1"/>
  <c r="F37" i="9"/>
  <c r="G42" i="9"/>
  <c r="E45" i="9" l="1"/>
  <c r="E28" i="9" s="1"/>
  <c r="E123" i="9" s="1"/>
  <c r="D24" i="10"/>
  <c r="D119" i="9"/>
  <c r="O7" i="43" s="1"/>
  <c r="K8" i="43"/>
  <c r="C48" i="10"/>
  <c r="F48" i="10"/>
  <c r="F45" i="9"/>
  <c r="F28" i="9" s="1"/>
  <c r="G37" i="9"/>
  <c r="H42" i="9"/>
  <c r="F111" i="9"/>
  <c r="F112" i="9" s="1"/>
  <c r="K10" i="43" l="1"/>
  <c r="G45" i="9"/>
  <c r="G28" i="9" s="1"/>
  <c r="G111" i="9"/>
  <c r="G112" i="9" s="1"/>
  <c r="H37" i="9"/>
  <c r="F123" i="9"/>
  <c r="E119" i="9"/>
  <c r="H45" i="9" l="1"/>
  <c r="H111" i="9"/>
  <c r="H112" i="9" s="1"/>
  <c r="F119" i="9"/>
  <c r="G123" i="9"/>
  <c r="H28" i="9" l="1"/>
  <c r="H123" i="9" s="1"/>
  <c r="G119" i="9"/>
  <c r="H119" i="9" l="1"/>
  <c r="D44" i="46" l="1"/>
  <c r="D49" i="46" s="1"/>
  <c r="D52" i="46" l="1"/>
  <c r="D60" i="46" s="1"/>
  <c r="D35" i="46"/>
  <c r="D63" i="46" l="1"/>
  <c r="J14" i="3" s="1"/>
  <c r="L14" i="3" s="1"/>
  <c r="G12" i="24" s="1"/>
  <c r="D78" i="46" l="1"/>
  <c r="D80" i="46" l="1"/>
  <c r="D79" i="46"/>
  <c r="E13" i="24"/>
  <c r="G13" i="24" s="1"/>
  <c r="G3" i="24" s="1"/>
  <c r="D81" i="9" s="1"/>
  <c r="C46" i="24"/>
  <c r="K3" i="3"/>
  <c r="C9" i="43" s="1"/>
  <c r="D84" i="9" l="1"/>
  <c r="D80" i="9" s="1"/>
  <c r="G32" i="24"/>
  <c r="E81" i="9"/>
  <c r="C60" i="10"/>
  <c r="F81" i="9" l="1"/>
  <c r="K9" i="43"/>
  <c r="D98" i="9"/>
  <c r="G9" i="43"/>
  <c r="D113" i="9"/>
  <c r="D114" i="9"/>
  <c r="C63" i="10"/>
  <c r="C67" i="10" s="1"/>
  <c r="E84" i="9"/>
  <c r="F84" i="9" s="1"/>
  <c r="G84" i="9" s="1"/>
  <c r="H84" i="9" s="1"/>
  <c r="D66" i="10" l="1"/>
  <c r="D64" i="10"/>
  <c r="D65" i="10"/>
  <c r="D61" i="10"/>
  <c r="C55" i="10"/>
  <c r="C56" i="10" s="1"/>
  <c r="D62" i="10"/>
  <c r="D54" i="10"/>
  <c r="D55" i="10"/>
  <c r="K12" i="43"/>
  <c r="D120" i="9"/>
  <c r="O9" i="43" s="1"/>
  <c r="D90" i="9"/>
  <c r="K11" i="43"/>
  <c r="D121" i="9"/>
  <c r="O8" i="43" s="1"/>
  <c r="D100" i="9"/>
  <c r="D102" i="9"/>
  <c r="D63" i="10"/>
  <c r="E80" i="9"/>
  <c r="D60" i="10"/>
  <c r="G81" i="9"/>
  <c r="F80" i="9"/>
  <c r="F98" i="9" l="1"/>
  <c r="F113" i="9"/>
  <c r="F121" i="9" s="1"/>
  <c r="F114" i="9"/>
  <c r="H81" i="9"/>
  <c r="H80" i="9" s="1"/>
  <c r="G80" i="9"/>
  <c r="D67" i="10"/>
  <c r="D115" i="9"/>
  <c r="D103" i="9"/>
  <c r="D104" i="9"/>
  <c r="D56" i="10"/>
  <c r="E98" i="9"/>
  <c r="E113" i="9"/>
  <c r="E121" i="9" s="1"/>
  <c r="E114" i="9"/>
  <c r="E100" i="9" l="1"/>
  <c r="E102" i="9"/>
  <c r="E90" i="9"/>
  <c r="E115" i="9" s="1"/>
  <c r="E117" i="9" s="1"/>
  <c r="E122" i="9" s="1"/>
  <c r="E120" i="9"/>
  <c r="K13" i="43"/>
  <c r="D117" i="9"/>
  <c r="H98" i="9"/>
  <c r="H113" i="9"/>
  <c r="H121" i="9" s="1"/>
  <c r="H114" i="9"/>
  <c r="F90" i="9"/>
  <c r="F115" i="9" s="1"/>
  <c r="F117" i="9" s="1"/>
  <c r="F122" i="9" s="1"/>
  <c r="F120" i="9"/>
  <c r="G98" i="9"/>
  <c r="G113" i="9"/>
  <c r="G121" i="9" s="1"/>
  <c r="G114" i="9"/>
  <c r="D105" i="9"/>
  <c r="F100" i="9"/>
  <c r="F102" i="9"/>
  <c r="F104" i="9" s="1"/>
  <c r="E104" i="9" l="1"/>
  <c r="E105" i="9" s="1"/>
  <c r="F105" i="9" s="1"/>
  <c r="E103" i="9"/>
  <c r="G90" i="9"/>
  <c r="G115" i="9" s="1"/>
  <c r="G117" i="9" s="1"/>
  <c r="G122" i="9" s="1"/>
  <c r="G120" i="9"/>
  <c r="H100" i="9"/>
  <c r="H102" i="9"/>
  <c r="H104" i="9" s="1"/>
  <c r="G100" i="9"/>
  <c r="G102" i="9"/>
  <c r="G104" i="9" s="1"/>
  <c r="D122" i="9"/>
  <c r="O10" i="43" s="1"/>
  <c r="K15" i="43"/>
  <c r="H90" i="9"/>
  <c r="H115" i="9" s="1"/>
  <c r="H117" i="9" s="1"/>
  <c r="H122" i="9" s="1"/>
  <c r="H120" i="9"/>
  <c r="S100" i="9" l="1"/>
  <c r="C129" i="9"/>
  <c r="C128" i="9"/>
  <c r="G13" i="43" s="1"/>
  <c r="F103" i="9"/>
  <c r="G103" i="9" s="1"/>
  <c r="H103" i="9" s="1"/>
  <c r="C130" i="9"/>
  <c r="G105" i="9"/>
  <c r="H105" i="9" s="1"/>
  <c r="C127" i="9" s="1"/>
  <c r="G12" i="43" s="1"/>
  <c r="C126" i="9" l="1"/>
  <c r="G11" i="43" s="1"/>
  <c r="M12" i="22"/>
  <c r="G14" i="43"/>
</calcChain>
</file>

<file path=xl/comments1.xml><?xml version="1.0" encoding="utf-8"?>
<comments xmlns="http://schemas.openxmlformats.org/spreadsheetml/2006/main">
  <authors>
    <author>Grau, Max</author>
  </authors>
  <commentList>
    <comment ref="C3" authorId="0" shapeId="0">
      <text>
        <r>
          <rPr>
            <b/>
            <sz val="9"/>
            <color indexed="81"/>
            <rFont val="Tahoma"/>
            <family val="2"/>
          </rPr>
          <t>Info: Installation in year 00 (= initial Capex)</t>
        </r>
      </text>
    </comment>
    <comment ref="B64" authorId="0" shapeId="0">
      <text>
        <r>
          <rPr>
            <sz val="9"/>
            <color indexed="81"/>
            <rFont val="Tahoma"/>
            <family val="2"/>
          </rPr>
          <t>assuming overall maintenance cost setting as set in "0.3-Equipment database" tab</t>
        </r>
      </text>
    </comment>
    <comment ref="B83" authorId="0" shapeId="0">
      <text>
        <r>
          <rPr>
            <sz val="9"/>
            <color indexed="81"/>
            <rFont val="Tahoma"/>
            <family val="2"/>
          </rPr>
          <t>Only if the company owns building (and land) - Investment</t>
        </r>
      </text>
    </comment>
    <comment ref="B87" authorId="0" shapeId="0">
      <text>
        <r>
          <rPr>
            <sz val="9"/>
            <color indexed="81"/>
            <rFont val="Tahoma"/>
            <family val="2"/>
          </rPr>
          <t>if other SG&amp;A costs to depreciate</t>
        </r>
      </text>
    </comment>
    <comment ref="B110" authorId="0" shapeId="0">
      <text>
        <r>
          <rPr>
            <sz val="9"/>
            <color indexed="81"/>
            <rFont val="Tahoma"/>
            <family val="2"/>
          </rPr>
          <t xml:space="preserve">note: Gross revenue - discounts, etc.
</t>
        </r>
      </text>
    </comment>
    <comment ref="B112" authorId="0" shapeId="0">
      <text>
        <r>
          <rPr>
            <sz val="9"/>
            <color indexed="81"/>
            <rFont val="Tahoma"/>
            <family val="2"/>
          </rPr>
          <t>note: Revenue - Variable costs (i.e. COGS &amp; Manufacturing Overhead)</t>
        </r>
      </text>
    </comment>
    <comment ref="B113" authorId="0" shapeId="0">
      <text>
        <r>
          <rPr>
            <sz val="9"/>
            <color indexed="81"/>
            <rFont val="Tahoma"/>
            <family val="2"/>
          </rPr>
          <t xml:space="preserve">Before interest, taxes, depreciation and amortization
</t>
        </r>
      </text>
    </comment>
    <comment ref="B114" authorId="0" shapeId="0">
      <text>
        <r>
          <rPr>
            <sz val="9"/>
            <color indexed="81"/>
            <rFont val="Tahoma"/>
            <family val="2"/>
          </rPr>
          <t>Before interest and taxes</t>
        </r>
      </text>
    </comment>
  </commentList>
</comments>
</file>

<file path=xl/sharedStrings.xml><?xml version="1.0" encoding="utf-8"?>
<sst xmlns="http://schemas.openxmlformats.org/spreadsheetml/2006/main" count="2401" uniqueCount="1112">
  <si>
    <t>Technical process description</t>
  </si>
  <si>
    <t>Equipement inventory</t>
  </si>
  <si>
    <t>Direct labor</t>
  </si>
  <si>
    <t>comment/note</t>
  </si>
  <si>
    <t>Position</t>
  </si>
  <si>
    <t>Conversion crates</t>
  </si>
  <si>
    <t>Pallets</t>
  </si>
  <si>
    <t>Ventilation frames</t>
  </si>
  <si>
    <t>Pallet trolley</t>
  </si>
  <si>
    <t>High pressure cleaner</t>
  </si>
  <si>
    <t>Pupation cage frame</t>
  </si>
  <si>
    <t>Oviposition cage frame</t>
  </si>
  <si>
    <t>Hatchling crate</t>
  </si>
  <si>
    <t>Mobile hatching frame</t>
  </si>
  <si>
    <t>Working table</t>
  </si>
  <si>
    <t>Nursery Larvero</t>
  </si>
  <si>
    <t>Mobile Larvero frame</t>
  </si>
  <si>
    <t>eq0001</t>
  </si>
  <si>
    <t>eq0002</t>
  </si>
  <si>
    <t>eq0003</t>
  </si>
  <si>
    <t>eq0004</t>
  </si>
  <si>
    <t>eq0005</t>
  </si>
  <si>
    <t>eq0006</t>
  </si>
  <si>
    <t>eq0007</t>
  </si>
  <si>
    <t>eq0008</t>
  </si>
  <si>
    <t>eq0009</t>
  </si>
  <si>
    <t>eq0010</t>
  </si>
  <si>
    <t>eq0011</t>
  </si>
  <si>
    <t>eq0012</t>
  </si>
  <si>
    <t>eq0013</t>
  </si>
  <si>
    <t>eq0014</t>
  </si>
  <si>
    <t>eq0015</t>
  </si>
  <si>
    <t>eq0016</t>
  </si>
  <si>
    <t>eq0017</t>
  </si>
  <si>
    <t>eq0018</t>
  </si>
  <si>
    <t>eq0019</t>
  </si>
  <si>
    <t>eq0020</t>
  </si>
  <si>
    <t>eq0021</t>
  </si>
  <si>
    <t>eq0022</t>
  </si>
  <si>
    <t>eq0023</t>
  </si>
  <si>
    <t>eq0024</t>
  </si>
  <si>
    <t>eq0025</t>
  </si>
  <si>
    <t>eq0026</t>
  </si>
  <si>
    <t>eq0027</t>
  </si>
  <si>
    <t>eq0028</t>
  </si>
  <si>
    <t>eq0029</t>
  </si>
  <si>
    <t>eq0030</t>
  </si>
  <si>
    <t>Instructions:</t>
  </si>
  <si>
    <t>Quantity</t>
  </si>
  <si>
    <t>Allocation between Op. units</t>
  </si>
  <si>
    <t>Unit capital cost</t>
  </si>
  <si>
    <t>Equipment name</t>
  </si>
  <si>
    <t>eq0031</t>
  </si>
  <si>
    <t>eq0032</t>
  </si>
  <si>
    <t>eq0033</t>
  </si>
  <si>
    <t>eq0034</t>
  </si>
  <si>
    <t>eq0035</t>
  </si>
  <si>
    <t>eq0036</t>
  </si>
  <si>
    <t>eq0037</t>
  </si>
  <si>
    <t>eq0038</t>
  </si>
  <si>
    <t>Operational Unit codes</t>
  </si>
  <si>
    <t>Operational Unit desigation</t>
  </si>
  <si>
    <t>U-W</t>
  </si>
  <si>
    <t>U-T</t>
  </si>
  <si>
    <t>U-H</t>
  </si>
  <si>
    <t>Staff category</t>
  </si>
  <si>
    <t>Manufacturing Direct Labor</t>
  </si>
  <si>
    <t>Manufacturing Overhead</t>
  </si>
  <si>
    <t>Output product</t>
  </si>
  <si>
    <t>quantity produced (e.g. [t/yr])</t>
  </si>
  <si>
    <t>5 DOL</t>
  </si>
  <si>
    <t>Input materials</t>
  </si>
  <si>
    <t>Considered as product to be sold</t>
  </si>
  <si>
    <t>Waste pre-processing unit</t>
  </si>
  <si>
    <t>Waste Treatment unit</t>
  </si>
  <si>
    <t>staff category</t>
  </si>
  <si>
    <t>Unit</t>
  </si>
  <si>
    <t>Net Salary</t>
  </si>
  <si>
    <t>pulling data from "Staff input table"</t>
  </si>
  <si>
    <t>Note: If # of staff &gt; 20, please manually insert lines and pull the cells (A:C containing the dynamic cells) down.</t>
  </si>
  <si>
    <t>pulling data from "Equipment input table"</t>
  </si>
  <si>
    <t>Manufacturing overhead labor</t>
  </si>
  <si>
    <t>Equipment ID</t>
  </si>
  <si>
    <t>Direct labor cost:</t>
  </si>
  <si>
    <t>Manufacturing overhead labor cost:</t>
  </si>
  <si>
    <t>Alloc. U-R</t>
  </si>
  <si>
    <t>Total equipment cost (scenario 1):</t>
  </si>
  <si>
    <t>Revenues</t>
  </si>
  <si>
    <t>COGS</t>
  </si>
  <si>
    <t>Financials</t>
  </si>
  <si>
    <t>Net Revenue</t>
  </si>
  <si>
    <t>Gross Profit</t>
  </si>
  <si>
    <t>Net Profit (after taxes)</t>
  </si>
  <si>
    <t>Gross margin</t>
  </si>
  <si>
    <t>Net margin (after taxes)</t>
  </si>
  <si>
    <t>Unit W: Waste pre-processing</t>
  </si>
  <si>
    <t>Unit T: Waste treatment</t>
  </si>
  <si>
    <t>Unit H: Harvesting</t>
  </si>
  <si>
    <t>Unit P: Larvae post-processing</t>
  </si>
  <si>
    <t>Electricity</t>
  </si>
  <si>
    <t>Water</t>
  </si>
  <si>
    <t>Fuel</t>
  </si>
  <si>
    <t>Alloc. U-W</t>
  </si>
  <si>
    <t>Cocopeat</t>
  </si>
  <si>
    <t>Chicken feed</t>
  </si>
  <si>
    <t>Diesel</t>
  </si>
  <si>
    <t>Mix 17DOL + residue</t>
  </si>
  <si>
    <t>Unit cost [IDR/kg]</t>
  </si>
  <si>
    <t>5DOL</t>
  </si>
  <si>
    <t>15-17DOL</t>
  </si>
  <si>
    <t>Harvesting container</t>
  </si>
  <si>
    <t>Harvesting large scoop</t>
  </si>
  <si>
    <t>Alloc. U-H</t>
  </si>
  <si>
    <t>kg/kg of 5DOL_out</t>
  </si>
  <si>
    <t>Fruit water</t>
  </si>
  <si>
    <t>Compost</t>
  </si>
  <si>
    <t>Nursery staff</t>
  </si>
  <si>
    <t>Nursery manager</t>
  </si>
  <si>
    <t>Site manager</t>
  </si>
  <si>
    <t>Allocation</t>
  </si>
  <si>
    <t>Labor cost [IDR/yr]</t>
  </si>
  <si>
    <t>Manufacturing overhead labor cost [IDR/yr]:</t>
  </si>
  <si>
    <t>basic salary [IDR/month]</t>
  </si>
  <si>
    <r>
      <t>benefits [IDR/month]</t>
    </r>
    <r>
      <rPr>
        <sz val="10"/>
        <color rgb="FF000000"/>
        <rFont val="Calibri"/>
        <family val="2"/>
        <scheme val="minor"/>
      </rPr>
      <t xml:space="preserve"> (e.g.  pension + medical)</t>
    </r>
  </si>
  <si>
    <t>eq0039</t>
  </si>
  <si>
    <t>Measuring balance ("heavy" duty)</t>
  </si>
  <si>
    <t>Washing machine</t>
  </si>
  <si>
    <t>Total input materials cost: [IDR/kg 5DOL]</t>
  </si>
  <si>
    <t>Input materials cost [IDR/yr]:</t>
  </si>
  <si>
    <t>Direct labor cost [IDR/yr]:</t>
  </si>
  <si>
    <t>General worker</t>
  </si>
  <si>
    <t>Waste units manager</t>
  </si>
  <si>
    <t>Sales manager</t>
  </si>
  <si>
    <t>Admin &amp; Accounting</t>
  </si>
  <si>
    <t>Selling, General &amp; Admin Overhead</t>
  </si>
  <si>
    <t>SG&amp;A</t>
  </si>
  <si>
    <t>Waste pre-processing</t>
  </si>
  <si>
    <t>Waste treatment</t>
  </si>
  <si>
    <t>Harvesting</t>
  </si>
  <si>
    <t>Salaries</t>
  </si>
  <si>
    <t>Office utilities</t>
  </si>
  <si>
    <t>Office equipment</t>
  </si>
  <si>
    <t>Selling, General &amp; Administration overhead</t>
  </si>
  <si>
    <t>Office supplies</t>
  </si>
  <si>
    <t>Utilities</t>
  </si>
  <si>
    <t>Item</t>
  </si>
  <si>
    <t>Eggs</t>
  </si>
  <si>
    <t>Lifetime expectancy [yr]</t>
  </si>
  <si>
    <t>Depreciation</t>
  </si>
  <si>
    <t>Harvesting unit (wet)</t>
  </si>
  <si>
    <t>Unit depreciation cost [IDR/yr]</t>
  </si>
  <si>
    <t>Total equipment depreciation cost (scenario 1) [IDR/yr]:</t>
  </si>
  <si>
    <t>Total allocated depreciation cost  [IDR/yr]</t>
  </si>
  <si>
    <t>Alloc. U-T</t>
  </si>
  <si>
    <t>Alloc. U-P</t>
  </si>
  <si>
    <t>Operating Profit (EBIT)</t>
  </si>
  <si>
    <t>Operating margin (before taxes)</t>
  </si>
  <si>
    <t>EBITDA</t>
  </si>
  <si>
    <t>SG&amp;A Depreciation</t>
  </si>
  <si>
    <t>EBITDA margin</t>
  </si>
  <si>
    <t>17DOL -&gt; PP [%]</t>
  </si>
  <si>
    <t>PP -&gt; Fly [%]</t>
  </si>
  <si>
    <t>Available for sales</t>
  </si>
  <si>
    <t>Need for Egg sales</t>
  </si>
  <si>
    <t>Need for 5DOL sales</t>
  </si>
  <si>
    <t>17DOL [t/yr]</t>
  </si>
  <si>
    <t>Total Production</t>
  </si>
  <si>
    <t>Egg [t/yr]</t>
  </si>
  <si>
    <t>5DOL [t/yr]</t>
  </si>
  <si>
    <t>n/a</t>
  </si>
  <si>
    <t>Organic waste sourcing [t/yr]</t>
  </si>
  <si>
    <t>Total Production (sourcing need for waste)</t>
  </si>
  <si>
    <t>BSF operating data</t>
  </si>
  <si>
    <t>Organic waste treatment objective [t/yr]</t>
  </si>
  <si>
    <t>Egg production [t/yr]</t>
  </si>
  <si>
    <t>Eggs sales objective [t/yr]</t>
  </si>
  <si>
    <t>17DOL in for Egg sales [t/yr]</t>
  </si>
  <si>
    <t>5DOL sales objective [t/yr]</t>
  </si>
  <si>
    <t>17DOL in for 5DOL sales [t/yr]</t>
  </si>
  <si>
    <t>17DOL in Nursery (total) [t/yr]</t>
  </si>
  <si>
    <t>incl. Cloth, frame, etc. that goes inside the dewatering bins, incl. Cloth, PVC structure, etc. that goes inside the dewatering bins</t>
  </si>
  <si>
    <t>Egg -&gt; 5DOL [%]</t>
  </si>
  <si>
    <t>Waste sorting yield [%wt]</t>
  </si>
  <si>
    <t>Shredding yield [%wt]</t>
  </si>
  <si>
    <t>Dewatering yield [%wt]</t>
  </si>
  <si>
    <t>Waste reduction [%wt]</t>
  </si>
  <si>
    <t>Egg</t>
  </si>
  <si>
    <t>Unit R: Rearing - Production of Eggs (from 17DOL)</t>
  </si>
  <si>
    <t>Unit R: Rearing - Production of 5DOL (from Eggs)</t>
  </si>
  <si>
    <t>Total input materials cost: [IDR/kg Egg]</t>
  </si>
  <si>
    <t>kg/kg of Egg_out</t>
  </si>
  <si>
    <t>Alloc. U-R-5DOL</t>
  </si>
  <si>
    <t>Residue processing</t>
  </si>
  <si>
    <t>Total</t>
  </si>
  <si>
    <t>Total input materials cost: [IDR/kg 15-17DOL]</t>
  </si>
  <si>
    <t>Untilities cost [IDR/yr]:</t>
  </si>
  <si>
    <t>Total input materials cost: [IDR/kg 17DOL]</t>
  </si>
  <si>
    <t>Total input materials cost: [IDR/kg compost]</t>
  </si>
  <si>
    <t>Employment rate [%]</t>
  </si>
  <si>
    <t>Residue processing unit</t>
  </si>
  <si>
    <t>Unit Res: Residue processing</t>
  </si>
  <si>
    <t>Description</t>
  </si>
  <si>
    <t>SG&amp;A Salaries</t>
  </si>
  <si>
    <t>Expenditures</t>
  </si>
  <si>
    <t>[IDR/yr]</t>
  </si>
  <si>
    <t>Total salary cost:</t>
  </si>
  <si>
    <t>Total cost: [IDR/yr]</t>
  </si>
  <si>
    <t>Unit SG&amp;A: Selling, General &amp; Administration</t>
  </si>
  <si>
    <t>Mixer (compost)</t>
  </si>
  <si>
    <t>Max. unitary processing capacity</t>
  </si>
  <si>
    <t>Larvae survival rate in WT and H units (5DOL-&gt;harvested 17DOL) [%]</t>
  </si>
  <si>
    <t>5DOL input in WT [#/kg of waste enterring WT unit]</t>
  </si>
  <si>
    <t>harvested 17DOL weight [g/larva]</t>
  </si>
  <si>
    <t>5DOL weight [g/larva]</t>
  </si>
  <si>
    <t>BCR [%wt]</t>
  </si>
  <si>
    <t>Waste pre-processing unit (U-W)</t>
  </si>
  <si>
    <t>Waste treatment &amp; Harvesting unites (U-T &amp; U-H)</t>
  </si>
  <si>
    <t>Larvae survival rate in Nursery unit (5DOL-&gt; 17DOL) [%]</t>
  </si>
  <si>
    <t>Egg weight [g/egg]</t>
  </si>
  <si>
    <t>nursery 17DOL weight [g/larva]</t>
  </si>
  <si>
    <t>Position ID</t>
  </si>
  <si>
    <t>pos001</t>
  </si>
  <si>
    <t>pos002</t>
  </si>
  <si>
    <t>pos003</t>
  </si>
  <si>
    <t>pos004</t>
  </si>
  <si>
    <t>pos005</t>
  </si>
  <si>
    <t>pos006</t>
  </si>
  <si>
    <t>pos007</t>
  </si>
  <si>
    <t>pos008</t>
  </si>
  <si>
    <t>pos009</t>
  </si>
  <si>
    <t>pos010</t>
  </si>
  <si>
    <t>pos011</t>
  </si>
  <si>
    <t>pos012</t>
  </si>
  <si>
    <t>pos013</t>
  </si>
  <si>
    <t>pos014</t>
  </si>
  <si>
    <t>pos015</t>
  </si>
  <si>
    <t>pos016</t>
  </si>
  <si>
    <t>pos017</t>
  </si>
  <si>
    <t>pos018</t>
  </si>
  <si>
    <t>pos019</t>
  </si>
  <si>
    <t>pos020</t>
  </si>
  <si>
    <t>pos021</t>
  </si>
  <si>
    <t>Number of employees</t>
  </si>
  <si>
    <t>Position Category</t>
  </si>
  <si>
    <t>Allocation between operating units</t>
  </si>
  <si>
    <t>Designation code</t>
  </si>
  <si>
    <t>Name</t>
  </si>
  <si>
    <t>Amount</t>
  </si>
  <si>
    <t>kg waste/crate/MRT</t>
  </si>
  <si>
    <t>crates/pallet/MRT</t>
  </si>
  <si>
    <t>Frames per pallet</t>
  </si>
  <si>
    <t>kg waste/trolley</t>
  </si>
  <si>
    <t>Prepupae/crate</t>
  </si>
  <si>
    <t>Crates/cage</t>
  </si>
  <si>
    <t>Cage/frame</t>
  </si>
  <si>
    <t>Flies/cage</t>
  </si>
  <si>
    <t>Containers/cage</t>
  </si>
  <si>
    <t>PPC's/harvester</t>
  </si>
  <si>
    <t>Cages/frame</t>
  </si>
  <si>
    <t>5-DOL/crate</t>
  </si>
  <si>
    <t>Crates/frame</t>
  </si>
  <si>
    <t>Holders/frame</t>
  </si>
  <si>
    <t>hatching frame/table</t>
  </si>
  <si>
    <t>Larvae/Larvero</t>
  </si>
  <si>
    <t>Larvero+cont./frame</t>
  </si>
  <si>
    <t>Equipment allocation table</t>
  </si>
  <si>
    <t>Pre-processed waste going to WT [t/yr]</t>
  </si>
  <si>
    <t>Pre-processed Waste_out</t>
  </si>
  <si>
    <t>Total input materials cost: [IDR/kg pre-processed Waste_out]</t>
  </si>
  <si>
    <t>Annual working hours</t>
  </si>
  <si>
    <t>Egg production [h/kg of egg]</t>
  </si>
  <si>
    <t>5DOL production [h/kg of 5DOL]</t>
  </si>
  <si>
    <t>Nursery units</t>
  </si>
  <si>
    <t>Time-study allowance</t>
  </si>
  <si>
    <t>Residue [t/yr]</t>
  </si>
  <si>
    <t>General worker [hr/t waste_in]</t>
  </si>
  <si>
    <t>W [hr/kg of pre-processed waste]</t>
  </si>
  <si>
    <t>T [hr/kg of 17DOL + residue]</t>
  </si>
  <si>
    <t>H [hr/kg of 17DOL]</t>
  </si>
  <si>
    <t>Res [hr/kg of residue]</t>
  </si>
  <si>
    <t>Characteristics of the waste received</t>
  </si>
  <si>
    <t>Corresponding allocation [%]</t>
  </si>
  <si>
    <t>Larvae Post-processing</t>
  </si>
  <si>
    <t>Unit R: Rearing - Production of 17DOL from 5DOL in a nursery (non-integrated system)</t>
  </si>
  <si>
    <t>17 DOL</t>
  </si>
  <si>
    <t>t/yr</t>
  </si>
  <si>
    <t>Yield</t>
  </si>
  <si>
    <t>Utilities demand</t>
  </si>
  <si>
    <t>Labor</t>
  </si>
  <si>
    <t>Number</t>
  </si>
  <si>
    <t>Utility</t>
  </si>
  <si>
    <t xml:space="preserve">Output from Unit R </t>
  </si>
  <si>
    <t>Labor : 17DOL - Egg</t>
  </si>
  <si>
    <t>Labor : Egg - 5DOL</t>
  </si>
  <si>
    <t>Equipement inventory : 17DOL - Egg</t>
  </si>
  <si>
    <t>Equipement inventory : Egg - 5DOL</t>
  </si>
  <si>
    <t>Material</t>
  </si>
  <si>
    <t>Unit P: Post-Processing</t>
  </si>
  <si>
    <t>Output from Unit P</t>
  </si>
  <si>
    <t>Fresh Larvae</t>
  </si>
  <si>
    <t>Unit: U-R</t>
  </si>
  <si>
    <t>ma0001</t>
  </si>
  <si>
    <t>ma0002</t>
  </si>
  <si>
    <t>ma0003</t>
  </si>
  <si>
    <t>ma0004</t>
  </si>
  <si>
    <t>ma0005</t>
  </si>
  <si>
    <t>ma0006</t>
  </si>
  <si>
    <t>ma0007</t>
  </si>
  <si>
    <t>ma0008</t>
  </si>
  <si>
    <t>ma0009</t>
  </si>
  <si>
    <t>ma0010</t>
  </si>
  <si>
    <t>ma0011</t>
  </si>
  <si>
    <t>ma0012</t>
  </si>
  <si>
    <t>ma0013</t>
  </si>
  <si>
    <t>ma0014</t>
  </si>
  <si>
    <t>ma0015</t>
  </si>
  <si>
    <t>ma0016</t>
  </si>
  <si>
    <t>ma0017</t>
  </si>
  <si>
    <t>ma0018</t>
  </si>
  <si>
    <t>ma0019</t>
  </si>
  <si>
    <t>ma0020</t>
  </si>
  <si>
    <t>ma0021</t>
  </si>
  <si>
    <t>ma0022</t>
  </si>
  <si>
    <t>ma0023</t>
  </si>
  <si>
    <t>ma0024</t>
  </si>
  <si>
    <t>ma0025</t>
  </si>
  <si>
    <t>ma0026</t>
  </si>
  <si>
    <t>ma0027</t>
  </si>
  <si>
    <t>ma0028</t>
  </si>
  <si>
    <t>ma0029</t>
  </si>
  <si>
    <t>ma0030</t>
  </si>
  <si>
    <t>ma0031</t>
  </si>
  <si>
    <t>ma0032</t>
  </si>
  <si>
    <t>ma0033</t>
  </si>
  <si>
    <t>ma0034</t>
  </si>
  <si>
    <t>ma0035</t>
  </si>
  <si>
    <t>ma0036</t>
  </si>
  <si>
    <t>ma0037</t>
  </si>
  <si>
    <t>ma0038</t>
  </si>
  <si>
    <t>ma0039</t>
  </si>
  <si>
    <t>ma0040</t>
  </si>
  <si>
    <t>ma0041</t>
  </si>
  <si>
    <t>ma0042</t>
  </si>
  <si>
    <t>ma0043</t>
  </si>
  <si>
    <t>ma0044</t>
  </si>
  <si>
    <t>ma0045</t>
  </si>
  <si>
    <t>ma0046</t>
  </si>
  <si>
    <t>ma0047</t>
  </si>
  <si>
    <t>ma0048</t>
  </si>
  <si>
    <t>ma0049</t>
  </si>
  <si>
    <t>ma0050</t>
  </si>
  <si>
    <t>ma0051</t>
  </si>
  <si>
    <t>ma0052</t>
  </si>
  <si>
    <t>ma0053</t>
  </si>
  <si>
    <t>ma0054</t>
  </si>
  <si>
    <t>ma0055</t>
  </si>
  <si>
    <t>ma0056</t>
  </si>
  <si>
    <t>ma0057</t>
  </si>
  <si>
    <t>ma0058</t>
  </si>
  <si>
    <t>ma0059</t>
  </si>
  <si>
    <t>ma0060</t>
  </si>
  <si>
    <t>ma0061</t>
  </si>
  <si>
    <t>ma0062</t>
  </si>
  <si>
    <t>ma0063</t>
  </si>
  <si>
    <t>ma0064</t>
  </si>
  <si>
    <t>ma0065</t>
  </si>
  <si>
    <t>ma0066</t>
  </si>
  <si>
    <t>ma0067</t>
  </si>
  <si>
    <t>ma0068</t>
  </si>
  <si>
    <t>ma0069</t>
  </si>
  <si>
    <t>ma0070</t>
  </si>
  <si>
    <t>ma0071</t>
  </si>
  <si>
    <t>ma0072</t>
  </si>
  <si>
    <t>ma0073</t>
  </si>
  <si>
    <t>ma0074</t>
  </si>
  <si>
    <t>ma0075</t>
  </si>
  <si>
    <t>ma0076</t>
  </si>
  <si>
    <t>ma0077</t>
  </si>
  <si>
    <t>ma0078</t>
  </si>
  <si>
    <t>ma0079</t>
  </si>
  <si>
    <t>ma0080</t>
  </si>
  <si>
    <t>ma0081</t>
  </si>
  <si>
    <t>ma0082</t>
  </si>
  <si>
    <t>ma0083</t>
  </si>
  <si>
    <t>ma0084</t>
  </si>
  <si>
    <t>ma0085</t>
  </si>
  <si>
    <t>ma0086</t>
  </si>
  <si>
    <t>ma0087</t>
  </si>
  <si>
    <t>ma0088</t>
  </si>
  <si>
    <t>ma0089</t>
  </si>
  <si>
    <t>ma0090</t>
  </si>
  <si>
    <t>ma0091</t>
  </si>
  <si>
    <t>ma0092</t>
  </si>
  <si>
    <t>ma0093</t>
  </si>
  <si>
    <t>ma0094</t>
  </si>
  <si>
    <t>ma0095</t>
  </si>
  <si>
    <t>ma0096</t>
  </si>
  <si>
    <t>ma0097</t>
  </si>
  <si>
    <t>ma0098</t>
  </si>
  <si>
    <t>ma0099</t>
  </si>
  <si>
    <t>ma0100</t>
  </si>
  <si>
    <t>Pricer per unit</t>
  </si>
  <si>
    <t>Comment</t>
  </si>
  <si>
    <t>Material input per processing unit</t>
  </si>
  <si>
    <t>Material Code</t>
  </si>
  <si>
    <t>Material Name</t>
  </si>
  <si>
    <t>Row of equipment ID values which is currently 5</t>
  </si>
  <si>
    <t>If true</t>
  </si>
  <si>
    <t>checking number of cells not empty in column Unit &gt; 0</t>
  </si>
  <si>
    <t>IF</t>
  </si>
  <si>
    <t>Array</t>
  </si>
  <si>
    <t>look for the nth smallest number</t>
  </si>
  <si>
    <t>SMALL</t>
  </si>
  <si>
    <t>determine with small function</t>
  </si>
  <si>
    <t>Row number</t>
  </si>
  <si>
    <t>whole A:A column</t>
  </si>
  <si>
    <t>find the right equipment id row</t>
  </si>
  <si>
    <t>INDEX</t>
  </si>
  <si>
    <t>index the right row and fill in the value, how it is done:</t>
  </si>
  <si>
    <t>what it means: there is at least one entry</t>
  </si>
  <si>
    <t>if false:</t>
  </si>
  <si>
    <t>what it means: there is nothing filled in for the equipment in the unit</t>
  </si>
  <si>
    <t>write N/A</t>
  </si>
  <si>
    <t>If true:</t>
  </si>
  <si>
    <t>number of row that is in the table</t>
  </si>
  <si>
    <t>&lt;</t>
  </si>
  <si>
    <t>checking number of cells not empty in column Unit</t>
  </si>
  <si>
    <t>Logical test:</t>
  </si>
  <si>
    <t>function in words</t>
  </si>
  <si>
    <t>pulling data from "Material input table"</t>
  </si>
  <si>
    <t>Harvesting unit</t>
  </si>
  <si>
    <t>Equipment requires utilities?</t>
  </si>
  <si>
    <t>Yes</t>
  </si>
  <si>
    <t>No</t>
  </si>
  <si>
    <t>Utility usage</t>
  </si>
  <si>
    <t>m3/h</t>
  </si>
  <si>
    <t>kW</t>
  </si>
  <si>
    <t>Run Time</t>
  </si>
  <si>
    <t>h</t>
  </si>
  <si>
    <t>Water use in m3/h</t>
  </si>
  <si>
    <t>Total utility cost per day: [IDR/d]</t>
  </si>
  <si>
    <t>eq0040</t>
  </si>
  <si>
    <t>eq0041</t>
  </si>
  <si>
    <t>eq0042</t>
  </si>
  <si>
    <t>eq0043</t>
  </si>
  <si>
    <t>eq0044</t>
  </si>
  <si>
    <t>eq0045</t>
  </si>
  <si>
    <t>eq0046</t>
  </si>
  <si>
    <t>eq0047</t>
  </si>
  <si>
    <t>eq0048</t>
  </si>
  <si>
    <t>eq0049</t>
  </si>
  <si>
    <t>eq0050</t>
  </si>
  <si>
    <t>eq0051</t>
  </si>
  <si>
    <t>eq0052</t>
  </si>
  <si>
    <t>eq0053</t>
  </si>
  <si>
    <t>eq0054</t>
  </si>
  <si>
    <t>eq0055</t>
  </si>
  <si>
    <t>eq0056</t>
  </si>
  <si>
    <t>eq0057</t>
  </si>
  <si>
    <t>eq0058</t>
  </si>
  <si>
    <t>eq0059</t>
  </si>
  <si>
    <t>eq0060</t>
  </si>
  <si>
    <t>eq0061</t>
  </si>
  <si>
    <t>eq0062</t>
  </si>
  <si>
    <t>eq0063</t>
  </si>
  <si>
    <t>eq0064</t>
  </si>
  <si>
    <t>eq0065</t>
  </si>
  <si>
    <t>eq0066</t>
  </si>
  <si>
    <t>eq0067</t>
  </si>
  <si>
    <t>eq0068</t>
  </si>
  <si>
    <t>eq0069</t>
  </si>
  <si>
    <t>eq0070</t>
  </si>
  <si>
    <t>eq0071</t>
  </si>
  <si>
    <t>eq0072</t>
  </si>
  <si>
    <t>eq0073</t>
  </si>
  <si>
    <t>eq0074</t>
  </si>
  <si>
    <t>eq0075</t>
  </si>
  <si>
    <t>eq0076</t>
  </si>
  <si>
    <t>eq0077</t>
  </si>
  <si>
    <t>eq0078</t>
  </si>
  <si>
    <t>eq0079</t>
  </si>
  <si>
    <t>eq0080</t>
  </si>
  <si>
    <t>eq0081</t>
  </si>
  <si>
    <t>eq0082</t>
  </si>
  <si>
    <t>eq0083</t>
  </si>
  <si>
    <t>eq0084</t>
  </si>
  <si>
    <t>eq0085</t>
  </si>
  <si>
    <t>eq0086</t>
  </si>
  <si>
    <t>eq0087</t>
  </si>
  <si>
    <t>eq0088</t>
  </si>
  <si>
    <t>eq0089</t>
  </si>
  <si>
    <t>eq0090</t>
  </si>
  <si>
    <t>eq0091</t>
  </si>
  <si>
    <t>eq0092</t>
  </si>
  <si>
    <t>eq0093</t>
  </si>
  <si>
    <t>eq0094</t>
  </si>
  <si>
    <t>eq0095</t>
  </si>
  <si>
    <t>eq0096</t>
  </si>
  <si>
    <t>eq0097</t>
  </si>
  <si>
    <t>eq0098</t>
  </si>
  <si>
    <t>eq0099</t>
  </si>
  <si>
    <t>eq0100</t>
  </si>
  <si>
    <t>Run Time in h/d</t>
  </si>
  <si>
    <t>Water costs per day</t>
  </si>
  <si>
    <t>Electricity costs per day</t>
  </si>
  <si>
    <t>Fuel costs per day</t>
  </si>
  <si>
    <t>Fuel use in L/h</t>
  </si>
  <si>
    <t>Electricity use in kW</t>
  </si>
  <si>
    <t>Fuel Type</t>
  </si>
  <si>
    <t>Fuel type</t>
  </si>
  <si>
    <t>LPG</t>
  </si>
  <si>
    <t>Gasoline</t>
  </si>
  <si>
    <t>Specification</t>
  </si>
  <si>
    <t>Units</t>
  </si>
  <si>
    <t>Product</t>
  </si>
  <si>
    <t>Total use per day</t>
  </si>
  <si>
    <t>m3/d</t>
  </si>
  <si>
    <t>L/d</t>
  </si>
  <si>
    <t>kWh/d</t>
  </si>
  <si>
    <t>From 2019 model</t>
  </si>
  <si>
    <t>U-N-Egg</t>
  </si>
  <si>
    <t>U-N-5DOL</t>
  </si>
  <si>
    <t>U-N-17DOL</t>
  </si>
  <si>
    <t>U-R</t>
  </si>
  <si>
    <t>Post-processing unit (any product)</t>
  </si>
  <si>
    <t>U-P</t>
  </si>
  <si>
    <t>Nursery / Rearing unit - Egg production section</t>
  </si>
  <si>
    <t>Nursery / Rearing unit - 5DOL production section (from Eggs)</t>
  </si>
  <si>
    <t>Nursery / Rearing unit - 17DOL production from 5DOL (non-integrated model)</t>
  </si>
  <si>
    <t>pulling data from "Equipment Inventory table" (below) &amp; "Sales,Utility&amp;Rental tab"</t>
  </si>
  <si>
    <t>pulling data from "Equipment input table" &amp; "Sales,Utility&amp;Rental tab"</t>
  </si>
  <si>
    <t>Alloc. U-N-5DOL</t>
  </si>
  <si>
    <t>Alloc. U-N-Egg</t>
  </si>
  <si>
    <t>weeks</t>
  </si>
  <si>
    <t>h/FTE</t>
  </si>
  <si>
    <t>d</t>
  </si>
  <si>
    <t>FORWARD data</t>
  </si>
  <si>
    <t>Custom data</t>
  </si>
  <si>
    <t>Feedstock</t>
  </si>
  <si>
    <t>Nursery / Rearing</t>
  </si>
  <si>
    <t>Select Database:</t>
  </si>
  <si>
    <r>
      <t xml:space="preserve">Calculated Key operating data </t>
    </r>
    <r>
      <rPr>
        <sz val="10"/>
        <color theme="1"/>
        <rFont val="Calibri"/>
        <family val="2"/>
        <scheme val="minor"/>
      </rPr>
      <t>(output of Database selection)</t>
    </r>
  </si>
  <si>
    <t>Unit N: Nursery / Rearing (17DOL - Egg)</t>
  </si>
  <si>
    <t>Unit N: Nursery / Rearing (Egg - 5DOL)</t>
  </si>
  <si>
    <t>kg/h</t>
  </si>
  <si>
    <t>Fuel use in kg/h</t>
  </si>
  <si>
    <t>kg/d</t>
  </si>
  <si>
    <t>USD</t>
  </si>
  <si>
    <t>EUR</t>
  </si>
  <si>
    <t>IDR</t>
  </si>
  <si>
    <t>Weeks per year</t>
  </si>
  <si>
    <t>Days of operation  per week</t>
  </si>
  <si>
    <t>Days of operation per year</t>
  </si>
  <si>
    <t>days</t>
  </si>
  <si>
    <t>Dried Larvae</t>
  </si>
  <si>
    <t>BSFL defatted cake</t>
  </si>
  <si>
    <t>BSFL press liquid</t>
  </si>
  <si>
    <t>BSF meal defatted</t>
  </si>
  <si>
    <t>Pop Larvae yield</t>
  </si>
  <si>
    <t>Post-Processing unit (U-P)
[%wt of Fresh Larvae]</t>
  </si>
  <si>
    <t>Waste residue produced (wet)</t>
  </si>
  <si>
    <t>Nursery 
(U-N)</t>
  </si>
  <si>
    <t>Post Processing</t>
  </si>
  <si>
    <t>Time for Production [h/kg product]</t>
  </si>
  <si>
    <t>Appendix</t>
  </si>
  <si>
    <t>Process Units</t>
  </si>
  <si>
    <t>Internal Settings</t>
  </si>
  <si>
    <t>Plant operation per day</t>
  </si>
  <si>
    <t>Year 01</t>
  </si>
  <si>
    <t>Year 02</t>
  </si>
  <si>
    <t>Year 03</t>
  </si>
  <si>
    <t>Year 04</t>
  </si>
  <si>
    <t>Year 05</t>
  </si>
  <si>
    <t>Year 06</t>
  </si>
  <si>
    <t>Year 07</t>
  </si>
  <si>
    <t>Year 08</t>
  </si>
  <si>
    <t>Year 09</t>
  </si>
  <si>
    <t>Year 10</t>
  </si>
  <si>
    <t>Year 11</t>
  </si>
  <si>
    <t>Year 12</t>
  </si>
  <si>
    <t>Year 13</t>
  </si>
  <si>
    <t>Year 14</t>
  </si>
  <si>
    <t>Year 15</t>
  </si>
  <si>
    <t>Microwave drying</t>
  </si>
  <si>
    <t>Pressing (dry)</t>
  </si>
  <si>
    <t>Milling</t>
  </si>
  <si>
    <t>pop-larvae</t>
  </si>
  <si>
    <t>press cake</t>
  </si>
  <si>
    <t>meal</t>
  </si>
  <si>
    <t>oil</t>
  </si>
  <si>
    <t>Process Step</t>
  </si>
  <si>
    <t>Year 00</t>
  </si>
  <si>
    <t>Capex</t>
  </si>
  <si>
    <t>Opex</t>
  </si>
  <si>
    <t>Total capex per year</t>
  </si>
  <si>
    <t>recycled in process; cost are low and neglectable</t>
  </si>
  <si>
    <t xml:space="preserve"> e.g. dry leaves, straw; for free</t>
  </si>
  <si>
    <t>no costs; by-product from waste processing</t>
  </si>
  <si>
    <t>min. 60% MC needed</t>
  </si>
  <si>
    <t>Blower</t>
  </si>
  <si>
    <t>in # or kg 
per kg of Egg_out</t>
  </si>
  <si>
    <t>in # or kg 
per kg of 5DOL_out</t>
  </si>
  <si>
    <t>in # or kg 
per kg of 17DOL_out</t>
  </si>
  <si>
    <t>in # or kg 
per kg of pre-proc. waste_out</t>
  </si>
  <si>
    <t>in # or kg 
per kg of 17DOL+R_out</t>
  </si>
  <si>
    <t>in # or kg 
per kg of Product</t>
  </si>
  <si>
    <t>in # or kg 
per kg of Residue</t>
  </si>
  <si>
    <t>Sand for drying</t>
  </si>
  <si>
    <t>Total Capex per year</t>
  </si>
  <si>
    <t>Total Capex</t>
  </si>
  <si>
    <t>Operating/investments cashflow</t>
  </si>
  <si>
    <t>Operating/investments cashflow cumul.</t>
  </si>
  <si>
    <t>Total revenue per year</t>
  </si>
  <si>
    <t>Larvae Meal</t>
  </si>
  <si>
    <t>per ton</t>
  </si>
  <si>
    <t>Cumulative Cash Flow</t>
  </si>
  <si>
    <t>Project Internal Rate of Return (IRR)</t>
  </si>
  <si>
    <t>Project Net Present Value (NPV)</t>
  </si>
  <si>
    <t>Payback Period in years</t>
  </si>
  <si>
    <t>Total cost per year</t>
  </si>
  <si>
    <t>Total cost per day</t>
  </si>
  <si>
    <t>Total cost per kg output</t>
  </si>
  <si>
    <t>Factory rent</t>
  </si>
  <si>
    <t>Factory building depreciation</t>
  </si>
  <si>
    <t>Larvae Meal &amp; Oil</t>
  </si>
  <si>
    <t>Dried Larve</t>
  </si>
  <si>
    <t>Capital cost</t>
  </si>
  <si>
    <t>Function / Description</t>
  </si>
  <si>
    <t>Material used for Product</t>
  </si>
  <si>
    <t>Amount in t/yr</t>
  </si>
  <si>
    <t>kg/kg of Prod out</t>
  </si>
  <si>
    <t>Total input materials cost: [IDR/yr]</t>
  </si>
  <si>
    <t>Materials for Unit-P: Specific for Product</t>
  </si>
  <si>
    <t>Cost Breakdown Analysis</t>
  </si>
  <si>
    <t>kg residue/sieve/d</t>
  </si>
  <si>
    <t>kg waste/unit/d</t>
  </si>
  <si>
    <t>crates/d/mixer</t>
  </si>
  <si>
    <t>Footprint in m2 (projected if stackable)</t>
  </si>
  <si>
    <t>Occupies floor space?</t>
  </si>
  <si>
    <t>-</t>
  </si>
  <si>
    <t>Total footprint of plant</t>
  </si>
  <si>
    <t>Size in m2</t>
  </si>
  <si>
    <t>Vibrating sieve</t>
  </si>
  <si>
    <t>Fruit waste</t>
  </si>
  <si>
    <t>crates/unit</t>
  </si>
  <si>
    <t>Markup</t>
  </si>
  <si>
    <t>Discounted cash flow</t>
  </si>
  <si>
    <t>Discounted cash flow cumulative</t>
  </si>
  <si>
    <t>(Excel NPV calc)</t>
  </si>
  <si>
    <t>(Manual NPV calc)</t>
  </si>
  <si>
    <t>Check:</t>
  </si>
  <si>
    <t>Loan Amount</t>
  </si>
  <si>
    <t>Annual interest rate</t>
  </si>
  <si>
    <t>Total amount payable</t>
  </si>
  <si>
    <t>Total months</t>
  </si>
  <si>
    <t>Term of loan in years</t>
  </si>
  <si>
    <t>Monthly Payment</t>
  </si>
  <si>
    <t>Monthly Rate</t>
  </si>
  <si>
    <t>Factory space occupation factor</t>
  </si>
  <si>
    <t>Factory supplies</t>
  </si>
  <si>
    <t>Internal Rate of Return (IRR)</t>
  </si>
  <si>
    <t>container/harvesting unit</t>
  </si>
  <si>
    <t>scoop/harvesting unit</t>
  </si>
  <si>
    <t>Attractant container</t>
  </si>
  <si>
    <t>Shade box</t>
  </si>
  <si>
    <t>Box/cage</t>
  </si>
  <si>
    <t>Mobile fly harvester with attracting light</t>
  </si>
  <si>
    <t>Oviball holder</t>
  </si>
  <si>
    <t>Egg media</t>
  </si>
  <si>
    <t>Egg media/Oviposition cage</t>
  </si>
  <si>
    <t>Outer box</t>
  </si>
  <si>
    <t>Outer box/Larvero</t>
  </si>
  <si>
    <t>Measuring balance (nursery)</t>
  </si>
  <si>
    <t>Precision balance (lab)</t>
  </si>
  <si>
    <t>Oviposition cages/machine</t>
  </si>
  <si>
    <t>per m2</t>
  </si>
  <si>
    <t>Unit-W</t>
  </si>
  <si>
    <t>Unit-T</t>
  </si>
  <si>
    <t>Unit-H</t>
  </si>
  <si>
    <t>Unit-N</t>
  </si>
  <si>
    <t>Unit-P</t>
  </si>
  <si>
    <t>Unit-R</t>
  </si>
  <si>
    <t>m2 nursery/blower</t>
  </si>
  <si>
    <t>Factory land aquisition</t>
  </si>
  <si>
    <t>Factory buidling</t>
  </si>
  <si>
    <t>Equipment footprint in m2</t>
  </si>
  <si>
    <t>Land aqusition</t>
  </si>
  <si>
    <t>Factory construction</t>
  </si>
  <si>
    <t>Equipment footprint</t>
  </si>
  <si>
    <t>Land aquisition</t>
  </si>
  <si>
    <t>Factory Renting or Buying</t>
  </si>
  <si>
    <t>Renting land and factory</t>
  </si>
  <si>
    <t>Buying land and factory</t>
  </si>
  <si>
    <t>CHF</t>
  </si>
  <si>
    <t>Currency</t>
  </si>
  <si>
    <t>m2/yr</t>
  </si>
  <si>
    <t>per yr</t>
  </si>
  <si>
    <t>per kWh</t>
  </si>
  <si>
    <t>per m^3</t>
  </si>
  <si>
    <t>per kg</t>
  </si>
  <si>
    <t>Price per unit conversion</t>
  </si>
  <si>
    <t>Unit capital cost conversion</t>
  </si>
  <si>
    <t>net salary conversion [yr]</t>
  </si>
  <si>
    <t>net salary [yr]</t>
  </si>
  <si>
    <t>Flies/day</t>
  </si>
  <si>
    <t>Prepupae/day</t>
  </si>
  <si>
    <t>5-DOL to treatment/day</t>
  </si>
  <si>
    <t>17-DOL to nursery/day</t>
  </si>
  <si>
    <t>BSF press cake yield</t>
  </si>
  <si>
    <t>Total interest payable</t>
  </si>
  <si>
    <t>remaining ("salvage") value</t>
  </si>
  <si>
    <t>Depreciation per yr</t>
  </si>
  <si>
    <t>equipemnt</t>
  </si>
  <si>
    <t>equipemnt/worker</t>
  </si>
  <si>
    <t>max input / equipment /day</t>
  </si>
  <si>
    <t>output yield</t>
  </si>
  <si>
    <t>max output/equipment</t>
  </si>
  <si>
    <t>max output/day/worker</t>
  </si>
  <si>
    <t>Microwave MAX-30B</t>
  </si>
  <si>
    <t>Rotary drying</t>
  </si>
  <si>
    <t>Rotary dryer - custom</t>
  </si>
  <si>
    <t>Oilpress - ZX80</t>
  </si>
  <si>
    <t>Grinder - AGR-GRP-180</t>
  </si>
  <si>
    <t>self decanting</t>
  </si>
  <si>
    <t>Discounted Payback</t>
  </si>
  <si>
    <t>Total nr of employees</t>
  </si>
  <si>
    <t>of all employees excl site manager</t>
  </si>
  <si>
    <t>Oviposition cage (Love cage)</t>
  </si>
  <si>
    <t xml:space="preserve">Pupation crates </t>
  </si>
  <si>
    <t>Pupation cage (Dark cage)</t>
  </si>
  <si>
    <t>Eggs per Fly [Nr]</t>
  </si>
  <si>
    <t>Larvae Retention time (days)</t>
  </si>
  <si>
    <t>Prepupae Retention time (days)</t>
  </si>
  <si>
    <t>Fly Retention time (days)</t>
  </si>
  <si>
    <t>Hatchling Retention time (days)</t>
  </si>
  <si>
    <t>Days of treatment</t>
  </si>
  <si>
    <t>Eggs/day</t>
  </si>
  <si>
    <t>TBD: Factory rent (BSFL plant section)</t>
  </si>
  <si>
    <t>Factory rent (Office section); currently all space</t>
  </si>
  <si>
    <t>floor space in m2</t>
  </si>
  <si>
    <t>ton fresh larvae/year/sales manager</t>
  </si>
  <si>
    <t>Waste Pre-Processing</t>
  </si>
  <si>
    <t>Taxes (on operating profit)</t>
  </si>
  <si>
    <t>Interest (Loan for initial capex)</t>
  </si>
  <si>
    <t>per m2 building construction</t>
  </si>
  <si>
    <t>Run time/d</t>
  </si>
  <si>
    <t>Taxes (on profit)</t>
  </si>
  <si>
    <t>Interests (initial capex)</t>
  </si>
  <si>
    <t>Water user per employee</t>
  </si>
  <si>
    <t>L/day</t>
  </si>
  <si>
    <t>Utilities: Water</t>
  </si>
  <si>
    <t>Utilities: energy</t>
  </si>
  <si>
    <t>Supplies</t>
  </si>
  <si>
    <t>BSFL Lifecycle figures [in # per day]</t>
  </si>
  <si>
    <t>BSF Process throughput</t>
  </si>
  <si>
    <t>Value</t>
  </si>
  <si>
    <t>Plant operation</t>
  </si>
  <si>
    <t>years</t>
  </si>
  <si>
    <t>Lignocellulosic material (bulk material)</t>
  </si>
  <si>
    <t>Category</t>
  </si>
  <si>
    <t>Input value</t>
  </si>
  <si>
    <t>of fresh larvae produced</t>
  </si>
  <si>
    <t>Factory costs</t>
  </si>
  <si>
    <t>Input</t>
  </si>
  <si>
    <t>Utility costs</t>
  </si>
  <si>
    <t>kWh/m2/year</t>
  </si>
  <si>
    <t>Converted into selected currency</t>
  </si>
  <si>
    <t>Choose currency to be used for the results</t>
  </si>
  <si>
    <t>Specify the water, electricity and fuel costs for the BSFL process</t>
  </si>
  <si>
    <t>t/year</t>
  </si>
  <si>
    <t>Currency conversion</t>
  </si>
  <si>
    <t>Staff ratios</t>
  </si>
  <si>
    <t>Unit managers/site manager (min. 1)</t>
  </si>
  <si>
    <t>Unit managers</t>
  </si>
  <si>
    <t>Specification of overall factory costs</t>
  </si>
  <si>
    <t>per month</t>
  </si>
  <si>
    <t>Equity</t>
  </si>
  <si>
    <t>Equity weight</t>
  </si>
  <si>
    <t>Debt</t>
  </si>
  <si>
    <t>Debt weight</t>
  </si>
  <si>
    <t>Profit tax</t>
  </si>
  <si>
    <t>BSFL Process Unit</t>
  </si>
  <si>
    <t>% of total sales volume (t/t)</t>
  </si>
  <si>
    <t>Revenue stream</t>
  </si>
  <si>
    <t>Product selection</t>
  </si>
  <si>
    <t>Energy use per m2 office</t>
  </si>
  <si>
    <t>Specify if initial costs (capex) for BSFL plant shall be financed with loan</t>
  </si>
  <si>
    <t>Capital costs financing</t>
  </si>
  <si>
    <t>Office space and utility usage</t>
  </si>
  <si>
    <t>Office space per employee (non factory workers)</t>
  </si>
  <si>
    <t>Office space</t>
  </si>
  <si>
    <t>Total products produced</t>
  </si>
  <si>
    <t>m2/employee (managers, admin, sales)</t>
  </si>
  <si>
    <t>of capital cost</t>
  </si>
  <si>
    <t>Salvage value (= end of life sales value)</t>
  </si>
  <si>
    <t>workers/manager</t>
  </si>
  <si>
    <t>Admin staff</t>
  </si>
  <si>
    <t>Factory &amp; office</t>
  </si>
  <si>
    <t>(total capex costs in year 00)</t>
  </si>
  <si>
    <t>months</t>
  </si>
  <si>
    <t>Financial parameters</t>
  </si>
  <si>
    <t>Financial analysis</t>
  </si>
  <si>
    <t>Introduction</t>
  </si>
  <si>
    <t xml:space="preserve">Advanced users: BSFL process parameters can be adjusted in the database </t>
  </si>
  <si>
    <t>(efficiencies, conversion rates, survival rates, BCR, WCR, time-motion values…)</t>
  </si>
  <si>
    <t>Payback Period</t>
  </si>
  <si>
    <t>Discounted Payback Period</t>
  </si>
  <si>
    <t>Specify the ratio of workers to unit managers, admin staff, sales and site managers</t>
  </si>
  <si>
    <t>Funding / Financing of initial capital costs</t>
  </si>
  <si>
    <t>Specify the BSFL products to be produced (total sum of all categories must be 100%)</t>
  </si>
  <si>
    <t>Initial capital loan</t>
  </si>
  <si>
    <t>Define the operating parameters of the plant</t>
  </si>
  <si>
    <t>Specify the annual working hours per employee</t>
  </si>
  <si>
    <t>Define the paramters for the interest calculation for the initial capital loan</t>
  </si>
  <si>
    <t>Specify rates for the financial calculations of net present value, IRR and anual salary increase</t>
  </si>
  <si>
    <t>Nursery unit (U-N)</t>
  </si>
  <si>
    <t>Residue conversion efficiency</t>
  </si>
  <si>
    <t>Residue unit 
(U-R)</t>
  </si>
  <si>
    <t>Process equipment and costs</t>
  </si>
  <si>
    <t>Specify contingencies for unexpected process costs</t>
  </si>
  <si>
    <t>Contngencies / Unforseen</t>
  </si>
  <si>
    <t>of direct material and labour costs for production</t>
  </si>
  <si>
    <t>Retention time in waste treatment process (MRT) in days</t>
  </si>
  <si>
    <t>Equipment Maintenance and contingencies</t>
  </si>
  <si>
    <t>Equipment Depreciation</t>
  </si>
  <si>
    <t>Labor (indirect)</t>
  </si>
  <si>
    <t>Rental</t>
  </si>
  <si>
    <t>Labor (direct)</t>
  </si>
  <si>
    <t>Materials (direct)</t>
  </si>
  <si>
    <t>Maintenance and contingencies</t>
  </si>
  <si>
    <t>Contingencies for COGS</t>
  </si>
  <si>
    <t>Retention time</t>
  </si>
  <si>
    <t>space per tons</t>
  </si>
  <si>
    <t>m2 per ton</t>
  </si>
  <si>
    <t>kg/day</t>
  </si>
  <si>
    <t>Processing parameters for residue to compost conversion</t>
  </si>
  <si>
    <t>*</t>
  </si>
  <si>
    <t>Total space in m2</t>
  </si>
  <si>
    <t>2.0 Advanced Input</t>
  </si>
  <si>
    <t>2.1 Advanced Input - Materials section</t>
  </si>
  <si>
    <t>2.2 Advanced input - Equipment Inventory</t>
  </si>
  <si>
    <t>2.3 Advanced input - Staff input table</t>
  </si>
  <si>
    <t>1.1 Basic Input</t>
  </si>
  <si>
    <t>1.0 General Input</t>
  </si>
  <si>
    <t>Indirect costs = Manufacturing overhead</t>
  </si>
  <si>
    <t>Direct Costs = Direct material &amp; labor</t>
  </si>
  <si>
    <t>COGS (Direct &amp; indirect costs)</t>
  </si>
  <si>
    <t>Total solids content [%TS]</t>
  </si>
  <si>
    <t>kg/kg of pproc waste_out</t>
  </si>
  <si>
    <t>kg/kg of 17DOL+res_out</t>
  </si>
  <si>
    <t>kg/kg of 17DOL_out</t>
  </si>
  <si>
    <t>kg/kg of Residue_out</t>
  </si>
  <si>
    <t>Product loss factor</t>
  </si>
  <si>
    <t>Determine amount of product potentially lost during manufacturing and handling</t>
  </si>
  <si>
    <t>of product production</t>
  </si>
  <si>
    <t>Process equipment insallation / Integration costs</t>
  </si>
  <si>
    <t>Costs to install equipment</t>
  </si>
  <si>
    <t>Process installation &amp; integration</t>
  </si>
  <si>
    <t>Costs</t>
  </si>
  <si>
    <t>TOTAL</t>
  </si>
  <si>
    <t>TOTAL / COGS</t>
  </si>
  <si>
    <t>Percentage per COGS category</t>
  </si>
  <si>
    <t>Process unit</t>
  </si>
  <si>
    <t>COGS overview per process unit</t>
  </si>
  <si>
    <t>% of total COGS</t>
  </si>
  <si>
    <t>Unit COGS of total COGS</t>
  </si>
  <si>
    <t>COGS category of total COGS</t>
  </si>
  <si>
    <t>SGA and COGS of total opex</t>
  </si>
  <si>
    <t>% of total opex</t>
  </si>
  <si>
    <t>Equipment O&amp;M</t>
  </si>
  <si>
    <t>COGS item</t>
  </si>
  <si>
    <t>Factory and land</t>
  </si>
  <si>
    <t>Specify if land and factory are rented, shall be aquired or not be taken into account</t>
  </si>
  <si>
    <t>Exclude factory and land costs</t>
  </si>
  <si>
    <t>Rotary drier</t>
  </si>
  <si>
    <t>Specify maintenance costs</t>
  </si>
  <si>
    <t>Salvage value of equipment after end of useful life</t>
  </si>
  <si>
    <t>Dicsounted revenues</t>
  </si>
  <si>
    <t>Discounted total costs (capex&amp;opex)</t>
  </si>
  <si>
    <t>Total Opex (excl. ITDA)</t>
  </si>
  <si>
    <t>m2</t>
  </si>
  <si>
    <t>Total Nr staff</t>
  </si>
  <si>
    <t>BSFL factory</t>
  </si>
  <si>
    <t>Total plant size</t>
  </si>
  <si>
    <t>BSFL Business Model Results</t>
  </si>
  <si>
    <t>Business Parameters</t>
  </si>
  <si>
    <t>Business KPIs</t>
  </si>
  <si>
    <t>Post-P. worker (Sanitizing)</t>
  </si>
  <si>
    <t>Post-P. worker (Drying &amp; pressing)</t>
  </si>
  <si>
    <t>Operating margin</t>
  </si>
  <si>
    <t>Net margin</t>
  </si>
  <si>
    <t>Capital costs</t>
  </si>
  <si>
    <t>Operating costs</t>
  </si>
  <si>
    <t>Cost Break Down Analysis</t>
  </si>
  <si>
    <t>Factor: = 7.50300120048019</t>
  </si>
  <si>
    <t>Factor: = 5</t>
  </si>
  <si>
    <t>Project Life Cycle Indicators (Period: 5 years)</t>
  </si>
  <si>
    <t>Net Present Value (NPV)</t>
  </si>
  <si>
    <t>Chosen equipment quantity (model or manual)</t>
  </si>
  <si>
    <t>Equipment quantities</t>
  </si>
  <si>
    <t>Automatically calculate equipment quantities or define manually</t>
  </si>
  <si>
    <t>Staff numbers</t>
  </si>
  <si>
    <t>Automatically calculate nr of staff needed or define manually</t>
  </si>
  <si>
    <t>Yes = Automatic
No = Manual</t>
  </si>
  <si>
    <t>For information only</t>
  </si>
  <si>
    <t>Used for NPV calculation</t>
  </si>
  <si>
    <t>Model calculation</t>
  </si>
  <si>
    <t>Manual input</t>
  </si>
  <si>
    <t>Manual input: Number of employees</t>
  </si>
  <si>
    <t>Model Output: Number of employees</t>
  </si>
  <si>
    <t>Chosen Nr: Model or Manual</t>
  </si>
  <si>
    <t>per kg (sold in blocks of 5kg)</t>
  </si>
  <si>
    <t>per kg (sold in 50kg bag)</t>
  </si>
  <si>
    <t>per kg (for composting residue)</t>
  </si>
  <si>
    <t>Nr of weeks in a year</t>
  </si>
  <si>
    <t>Nr of working hours per week</t>
  </si>
  <si>
    <t>Nr of working hours per day</t>
  </si>
  <si>
    <t>Nr of weeks of holidays</t>
  </si>
  <si>
    <t>Effective annual working hours 
(Full Time Equivalent)</t>
  </si>
  <si>
    <t>Annaul salary increase 
(inflation corrected)</t>
  </si>
  <si>
    <t>Sensitivity Analysis</t>
  </si>
  <si>
    <t>NPV versus scale</t>
  </si>
  <si>
    <t>NPV</t>
  </si>
  <si>
    <t>Material demand</t>
  </si>
  <si>
    <t>kg/kg of 5 DOL_out</t>
  </si>
  <si>
    <t>Larvae Oil</t>
  </si>
  <si>
    <t>5DOL for internal demand</t>
  </si>
  <si>
    <t>5 DOL for sale</t>
  </si>
  <si>
    <t>Eggs for internal demand</t>
  </si>
  <si>
    <t>Eggs for sale</t>
  </si>
  <si>
    <t>Process overview</t>
  </si>
  <si>
    <t>Financial Analysis</t>
  </si>
  <si>
    <t>Nursery</t>
  </si>
  <si>
    <t>Sensitivity Analysis 
(works only with automated calculation of equipment and staff input)</t>
  </si>
  <si>
    <t>The BSFL cost revenue business model is made:</t>
  </si>
  <si>
    <t>- to help decide whether a BSFL business oportunity is likely viable or not by having a cash flow projection over several years</t>
  </si>
  <si>
    <t>Scenario - Integrated plant</t>
  </si>
  <si>
    <t>(Figures: BSFL step by step guide)</t>
  </si>
  <si>
    <t>- to provide a cost analysis of a BSF sites by breaking-down the costs between the key operating units (rearing, waste pre-processing, waste treatment, harvesting and post-processing)</t>
  </si>
  <si>
    <t>1.2 BSFL Process figures</t>
  </si>
  <si>
    <t>1.3 BSFL Product streams</t>
  </si>
  <si>
    <t>For further details regarding each processing setp, please check the step by step guide</t>
  </si>
  <si>
    <t>How to use the model</t>
  </si>
  <si>
    <t>- to plan a project by giving key parameters such as requrired footprint, capital costs and operational costs</t>
  </si>
  <si>
    <t>The following graphic gives an overview of the BSFL plant setup of this scenario.</t>
  </si>
  <si>
    <t>The model is intended for users who are fimiliar with the BSFL process and want to:</t>
  </si>
  <si>
    <t>- or have an existing site and want to anaylse the costs of each process step and want to optimse the site.</t>
  </si>
  <si>
    <t>- develop a new site and want to use the data provided by the FORWARD project,</t>
  </si>
  <si>
    <t>- or have a clear understanding of the feedstock available and already conducted first BSFL growing trials and use their own data,</t>
  </si>
  <si>
    <t>Needed for waste treatment unit</t>
  </si>
  <si>
    <t>* Including space factor in m2</t>
  </si>
  <si>
    <t>Shows the detailed financial calculations of COGS, SG&amp;A, cashflow and various parameters</t>
  </si>
  <si>
    <t>Shows the calculation for the cost break down of the operational costs per COGS and processing unit, SG&amp;A contribution etc.</t>
  </si>
  <si>
    <t>One tab for each process unit; calculates overview of operational costs per unit for financial analysis and capital costs for cashflow</t>
  </si>
  <si>
    <t>Transparent / grey icons represent process steps that are not taken into account in this scenario.</t>
  </si>
  <si>
    <t>Yes / No Choice</t>
  </si>
  <si>
    <t>Black Soldier Fly Larvae - Business Model</t>
  </si>
  <si>
    <t>Lifespan of truck</t>
  </si>
  <si>
    <t>Truck costs</t>
  </si>
  <si>
    <t>Salvage value of truck</t>
  </si>
  <si>
    <t>% of capex</t>
  </si>
  <si>
    <t>Tires per truck</t>
  </si>
  <si>
    <t>nr</t>
  </si>
  <si>
    <t>Max carrying capacity</t>
  </si>
  <si>
    <t>kg</t>
  </si>
  <si>
    <t>Fuel price</t>
  </si>
  <si>
    <t>Fuel consumption</t>
  </si>
  <si>
    <t>L/km</t>
  </si>
  <si>
    <t>Tire price</t>
  </si>
  <si>
    <t>Tire lifespan</t>
  </si>
  <si>
    <t>km</t>
  </si>
  <si>
    <t>Maintenance costs</t>
  </si>
  <si>
    <t>%</t>
  </si>
  <si>
    <t>Collision/Comp Insurance</t>
  </si>
  <si>
    <t>Unexpected costs</t>
  </si>
  <si>
    <t>Packing efficiency truck</t>
  </si>
  <si>
    <t>Travel distance</t>
  </si>
  <si>
    <t>Nr of sites to be delivered</t>
  </si>
  <si>
    <t>Average distance to site area</t>
  </si>
  <si>
    <t>Check distance to area</t>
  </si>
  <si>
    <t>Average distance between sites</t>
  </si>
  <si>
    <t>Total distance per roundtrip</t>
  </si>
  <si>
    <t>Travel time</t>
  </si>
  <si>
    <t>Travelspeed of truck (average)</t>
  </si>
  <si>
    <t>km/h</t>
  </si>
  <si>
    <t>Time addition factor (traffic)</t>
  </si>
  <si>
    <t>Time to collection area and back</t>
  </si>
  <si>
    <t>Time between sites</t>
  </si>
  <si>
    <t>Time needed to reach all sites</t>
  </si>
  <si>
    <t>Time needed for roundtrip</t>
  </si>
  <si>
    <t>Time for off and on loading</t>
  </si>
  <si>
    <t>h/site</t>
  </si>
  <si>
    <t>Time for admin</t>
  </si>
  <si>
    <t>Total time at customer</t>
  </si>
  <si>
    <t>Total time at customer for all sites</t>
  </si>
  <si>
    <t>Total time for roundtrip</t>
  </si>
  <si>
    <t>h/d</t>
  </si>
  <si>
    <t>Time per truck</t>
  </si>
  <si>
    <t>h/truck</t>
  </si>
  <si>
    <t>km/truck/d</t>
  </si>
  <si>
    <t>Total travel distance per year</t>
  </si>
  <si>
    <t>km/year</t>
  </si>
  <si>
    <t>Fuel consumption per year</t>
  </si>
  <si>
    <t>L/year</t>
  </si>
  <si>
    <t>Tires per year</t>
  </si>
  <si>
    <t>Total Timer per year per truck</t>
  </si>
  <si>
    <t>h/year/truck</t>
  </si>
  <si>
    <t>FTE occupancy rate</t>
  </si>
  <si>
    <t>Nr of drivers per truck</t>
  </si>
  <si>
    <t>nr/truck</t>
  </si>
  <si>
    <t>Total nr of drivers needed</t>
  </si>
  <si>
    <t>Total costs per year</t>
  </si>
  <si>
    <t>Fuel costs per year</t>
  </si>
  <si>
    <t>Tire price per year</t>
  </si>
  <si>
    <t>Regular Maintenance</t>
  </si>
  <si>
    <t>Nursery capacity</t>
  </si>
  <si>
    <t>Specify sales targets for nursery products</t>
  </si>
  <si>
    <t>Eggs sales objective</t>
  </si>
  <si>
    <t>g/d</t>
  </si>
  <si>
    <t>5DOL sales objective</t>
  </si>
  <si>
    <t>Nursery feed</t>
  </si>
  <si>
    <t>Nursery feed required for operation</t>
  </si>
  <si>
    <t>Nursery feed required</t>
  </si>
  <si>
    <t>Nursery Production Summary</t>
  </si>
  <si>
    <t>Nursery feed going to rearing</t>
  </si>
  <si>
    <t>Retention time in rearing (MRT)</t>
  </si>
  <si>
    <t>17DOL production for nursery</t>
  </si>
  <si>
    <t>5DOL production for sale</t>
  </si>
  <si>
    <t>Egg production for sale</t>
  </si>
  <si>
    <t>Prices for larvae and nursery feed</t>
  </si>
  <si>
    <t>Purchase price for fresh larvae (17DOL)</t>
  </si>
  <si>
    <t>BSFL products sales</t>
  </si>
  <si>
    <t>Sales price for Nursery and post processing products</t>
  </si>
  <si>
    <t>Turcks for transport</t>
  </si>
  <si>
    <t>See transport input</t>
  </si>
  <si>
    <t>Nr Trucks needed</t>
  </si>
  <si>
    <t>Transport costs</t>
  </si>
  <si>
    <t>Costs to transport 5DOL to waste treatment site and 17DOL back to plant for refining</t>
  </si>
  <si>
    <t>Include transport costs?</t>
  </si>
  <si>
    <t>Driver (transport)</t>
  </si>
  <si>
    <t>Transport input: truck procurement</t>
  </si>
  <si>
    <t>Transport input</t>
  </si>
  <si>
    <t>Truck loading check</t>
  </si>
  <si>
    <t>Capacity check truck</t>
  </si>
  <si>
    <t>Total freight weight</t>
  </si>
  <si>
    <t>km/d</t>
  </si>
  <si>
    <t>% of capital costs</t>
  </si>
  <si>
    <t>% of maintenance costs</t>
  </si>
  <si>
    <t>costs per km</t>
  </si>
  <si>
    <t>costs per kg freight</t>
  </si>
  <si>
    <t>Total costs incl. Labour and truck depreciation</t>
  </si>
  <si>
    <t>Total costs</t>
  </si>
  <si>
    <t>Total costs converted currency</t>
  </si>
  <si>
    <t>costs per tire</t>
  </si>
  <si>
    <t>costs per L</t>
  </si>
  <si>
    <t>costs</t>
  </si>
  <si>
    <t>Max Nr sites per truck per day</t>
  </si>
  <si>
    <t>Parameter</t>
  </si>
  <si>
    <t>Truck costs and details</t>
  </si>
  <si>
    <t>Scale in kg 5 DOL/d</t>
  </si>
  <si>
    <t>Travel distance per truck per year</t>
  </si>
  <si>
    <t>- Young larvae are reared on-site in a nursery and delivered to decentralised waste treatment operations</t>
  </si>
  <si>
    <t>Freight weight &lt; Capacity?</t>
  </si>
  <si>
    <t>5-DOL for sale to decentrlised plants</t>
  </si>
  <si>
    <t>Washing Larvae</t>
  </si>
  <si>
    <t>Nursery capacity (5-DOL)</t>
  </si>
  <si>
    <t>Costs per year</t>
  </si>
  <si>
    <t>Distance, consumption, tires and drivers</t>
  </si>
  <si>
    <t>kg 5-DOL/d</t>
  </si>
  <si>
    <t>kg 17-DOL/d</t>
  </si>
  <si>
    <t>kg 5&amp;17-DOL/d</t>
  </si>
  <si>
    <t>5-DOL to transport</t>
  </si>
  <si>
    <t>17-DOL to transport</t>
  </si>
  <si>
    <t>Can be reached?</t>
  </si>
  <si>
    <t>Weighted Average Cost of Capital (WACC) calculated</t>
  </si>
  <si>
    <t>WACC chosen</t>
  </si>
  <si>
    <t>Sanitized larvae</t>
  </si>
  <si>
    <t>Pot and sieve</t>
  </si>
  <si>
    <t>Sanitizing</t>
  </si>
  <si>
    <t>Version: 1.0 | Release year: 2021 | © SWM/Sandec/Eawag</t>
  </si>
  <si>
    <t>Simple use:</t>
  </si>
  <si>
    <t>1) Modify parameters in the "1.1 Basic input" in "1.0 General input"</t>
  </si>
  <si>
    <t>2) Select "Yes" for categories "Equipment quantities" and "Staff numbers" in "1.1 Basic Input"</t>
  </si>
  <si>
    <t>3) View the results in the 3.1 and 3.2 tabs</t>
  </si>
  <si>
    <r>
      <rPr>
        <u/>
        <sz val="11"/>
        <color theme="1"/>
        <rFont val="Calibri"/>
        <family val="2"/>
        <scheme val="minor"/>
      </rPr>
      <t>Advanced use:</t>
    </r>
  </si>
  <si>
    <t>If you wish to modify some or all of the inputs of the model:</t>
  </si>
  <si>
    <t>1) adjust the "2.0 Advanced input" values in "1.0 General input"</t>
  </si>
  <si>
    <t>(Select "No" for categories "Equipment quantities" and "Staff numbers" in "1.0 Basic input", if you enter values manually)</t>
  </si>
  <si>
    <t>2) adjust values in 2.1 Material input</t>
  </si>
  <si>
    <t>3) adjust values in 2.2 Equipment input</t>
  </si>
  <si>
    <t>4) adjust values in 2.3 Staff input</t>
  </si>
  <si>
    <t>5) Modify settings in "4.1 Settings Database" and "4.2 Settings internal" as needed</t>
  </si>
  <si>
    <t>6) View the results in the 3.1 and 3.2 tabs</t>
  </si>
  <si>
    <t>The model will calculate following results:</t>
  </si>
  <si>
    <t>- a Process Overview tab (3.1), which illustrates the BSFL process of this scenarios with key figures for each processing unit</t>
  </si>
  <si>
    <t>- important business metrics (e.g. IRR, NPV, capital costs, opertional costs etc.) and visualised with graphs, which are shown in the results dashboard (3.2)</t>
  </si>
  <si>
    <t>For further details please check the user manual.</t>
  </si>
  <si>
    <t>Simple use: cells in orange need to be filled in or selected to obtain results</t>
  </si>
  <si>
    <t>(for advanced users: further adjustments can be done in advanced input below, in the following tabs (material, equipment &amp; staff input) and in the settings tabs)</t>
  </si>
  <si>
    <t>Advanced use: Prices, factory &amp; office settings, staff settings, financial parameters etc. can be adjusted in this section</t>
  </si>
  <si>
    <t>Time-motion studies</t>
  </si>
  <si>
    <t>The values below are used for the automatic calculation of nr staff required for the BSFL plant. If you have conducted a time motion study, you can enter your ownd data below in the tabs with orange background.</t>
  </si>
  <si>
    <t>The following table contains important process parameters. The values under the section "FORWARD data" are values derived from the pilot plant in Surabaya, Indonesia.</t>
  </si>
  <si>
    <t>You can also enter your own data under the "Custom data" section.</t>
  </si>
  <si>
    <t>Please use the dropdown menue next to "Select Database" to chose the Database to be used for the calculations.</t>
  </si>
  <si>
    <r>
      <rPr>
        <b/>
        <sz val="11"/>
        <color theme="1"/>
        <rFont val="Calibri"/>
        <family val="2"/>
        <scheme val="minor"/>
      </rPr>
      <t xml:space="preserve">Please note: </t>
    </r>
    <r>
      <rPr>
        <sz val="11"/>
        <color theme="1"/>
        <rFont val="Calibri"/>
        <family val="2"/>
        <scheme val="minor"/>
      </rPr>
      <t>The current base currency is Indonesian rupiah (IDR). Any conversion value for CHF, USD, EUR is based on an exchange rate of IDR to the other currency, e.g. IDR : USD -&gt; 14 122.22 : 1; If you want to use any other base currency, e.g. USD, please change the exchange rates for the other currencies to the current rate (from USD to CHF, EUR, IDR)  and put 1 next to USD.</t>
    </r>
  </si>
  <si>
    <t>Exchange rates</t>
  </si>
  <si>
    <t>ton 17-DOL purchased from decentrlised plants per year</t>
  </si>
  <si>
    <t>5-DOL produced for decentralised plants</t>
  </si>
  <si>
    <r>
      <t xml:space="preserve">The present business model is for the scenario of a 
</t>
    </r>
    <r>
      <rPr>
        <b/>
        <sz val="11"/>
        <color theme="1"/>
        <rFont val="Calibri"/>
        <family val="2"/>
        <scheme val="minor"/>
      </rPr>
      <t>centralised nursery without post-processing</t>
    </r>
    <r>
      <rPr>
        <sz val="11"/>
        <color theme="1"/>
        <rFont val="Calibri"/>
        <family val="2"/>
        <scheme val="minor"/>
      </rPr>
      <t>:</t>
    </r>
  </si>
  <si>
    <t>- Transport costs are included for delivery of 5-DOL</t>
  </si>
  <si>
    <t>Scenario 2: Centralised Nursery without Post-Processing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</si>
</sst>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_(* \(#,##0.00\);_(* &quot;-&quot;??_);_(@_)"/>
    <numFmt numFmtId="164" formatCode="&quot;CHF&quot;\ #,##0.00;[Red]&quot;CHF&quot;\ \-#,##0.00"/>
    <numFmt numFmtId="165" formatCode="_ &quot;CHF&quot;\ * #,##0.00_ ;_ &quot;CHF&quot;\ * \-#,##0.00_ ;_ &quot;CHF&quot;\ * &quot;-&quot;??_ ;_ @_ "/>
    <numFmt numFmtId="166" formatCode="_ * #,##0.00_ ;_ * \-#,##0.00_ ;_ * &quot;-&quot;??_ ;_ @_ "/>
    <numFmt numFmtId="167" formatCode="_-* #,##0.00_-;\-* #,##0.00_-;_-* &quot;-&quot;??_-;_-@_-"/>
    <numFmt numFmtId="168" formatCode="_ [$INR]\ * #,##0.00_ ;_ [$INR]\ * \-#,##0.00_ ;_ [$INR]\ * &quot;-&quot;??_ ;_ @_ "/>
    <numFmt numFmtId="169" formatCode="_ &quot;fr.&quot;\ * #,##0.00_ ;_ &quot;fr.&quot;\ * \-#,##0.00_ ;_ &quot;fr.&quot;\ * &quot;-&quot;??_ ;_ @_ "/>
    <numFmt numFmtId="170" formatCode="0.0000"/>
    <numFmt numFmtId="171" formatCode="_ [$IDR]\ * #,##0.00_ ;_ [$IDR]\ * \-#,##0.00_ ;_ [$IDR]\ * &quot;-&quot;??_ ;_ @_ "/>
    <numFmt numFmtId="172" formatCode="#,##0.0"/>
    <numFmt numFmtId="173" formatCode="0.000"/>
    <numFmt numFmtId="174" formatCode="0.0"/>
    <numFmt numFmtId="175" formatCode="#,##0.000"/>
    <numFmt numFmtId="176" formatCode="0.0%"/>
    <numFmt numFmtId="177" formatCode="0.0000000"/>
    <numFmt numFmtId="178" formatCode="0.00000"/>
    <numFmt numFmtId="179" formatCode="0.000000"/>
    <numFmt numFmtId="180" formatCode="0.00000000"/>
    <numFmt numFmtId="181" formatCode="_([$IDR]\ * #,##0.00_);_([$IDR]\ * \(#,##0.00\);_([$IDR]\ * &quot;-&quot;??_);_(@_)"/>
  </numFmts>
  <fonts count="77">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i/>
      <sz val="12"/>
      <color rgb="FF7F7F7F"/>
      <name val="Calibri"/>
      <family val="2"/>
      <scheme val="minor"/>
    </font>
    <font>
      <sz val="14"/>
      <color theme="1"/>
      <name val="Calibri"/>
      <family val="2"/>
      <scheme val="minor"/>
    </font>
    <font>
      <sz val="16"/>
      <color theme="1"/>
      <name val="Calibri"/>
      <family val="2"/>
      <scheme val="minor"/>
    </font>
    <font>
      <u/>
      <sz val="12"/>
      <color theme="10"/>
      <name val="Calibri"/>
      <family val="2"/>
      <scheme val="minor"/>
    </font>
    <font>
      <u/>
      <sz val="12"/>
      <color theme="11"/>
      <name val="Calibri"/>
      <family val="2"/>
      <scheme val="minor"/>
    </font>
    <font>
      <sz val="14"/>
      <color rgb="FF000000"/>
      <name val="Calibri"/>
      <family val="2"/>
      <scheme val="minor"/>
    </font>
    <font>
      <sz val="12"/>
      <color rgb="FF000000"/>
      <name val="Calibri"/>
      <family val="2"/>
      <scheme val="minor"/>
    </font>
    <font>
      <sz val="10"/>
      <color rgb="FF000000"/>
      <name val="Calibri"/>
      <family val="2"/>
      <scheme val="minor"/>
    </font>
    <font>
      <sz val="11"/>
      <color rgb="FF3F3F76"/>
      <name val="Calibri"/>
      <family val="2"/>
      <scheme val="minor"/>
    </font>
    <font>
      <b/>
      <sz val="11"/>
      <color rgb="FF3F3F3F"/>
      <name val="Calibri"/>
      <family val="2"/>
      <scheme val="minor"/>
    </font>
    <font>
      <b/>
      <sz val="12"/>
      <color theme="1"/>
      <name val="Calibri"/>
      <family val="2"/>
      <scheme val="minor"/>
    </font>
    <font>
      <sz val="11"/>
      <color theme="4" tint="-0.499984740745262"/>
      <name val="Calibri"/>
      <family val="2"/>
      <scheme val="minor"/>
    </font>
    <font>
      <sz val="10"/>
      <color theme="1"/>
      <name val="Arial Unicode MS"/>
      <family val="2"/>
    </font>
    <font>
      <b/>
      <sz val="11"/>
      <color theme="1"/>
      <name val="Calibri"/>
      <family val="2"/>
      <scheme val="minor"/>
    </font>
    <font>
      <sz val="11"/>
      <color rgb="FFFF0000"/>
      <name val="Calibri"/>
      <family val="2"/>
      <scheme val="minor"/>
    </font>
    <font>
      <sz val="10"/>
      <name val="Verdana"/>
      <family val="2"/>
    </font>
    <font>
      <sz val="11"/>
      <name val="Calibri"/>
      <family val="2"/>
      <scheme val="minor"/>
    </font>
    <font>
      <sz val="10"/>
      <name val="Arial"/>
      <family val="2"/>
    </font>
    <font>
      <sz val="11"/>
      <color indexed="20"/>
      <name val="Calibri"/>
      <family val="2"/>
    </font>
    <font>
      <b/>
      <sz val="11"/>
      <color indexed="52"/>
      <name val="Calibri"/>
      <family val="2"/>
    </font>
    <font>
      <b/>
      <sz val="11"/>
      <color indexed="9"/>
      <name val="Calibri"/>
      <family val="2"/>
    </font>
    <font>
      <sz val="10"/>
      <color theme="1"/>
      <name val="Frutiger LT Com 45 Light"/>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52"/>
      <name val="Calibri"/>
      <family val="2"/>
    </font>
    <font>
      <sz val="11"/>
      <color indexed="60"/>
      <name val="Calibri"/>
      <family val="2"/>
    </font>
    <font>
      <sz val="11"/>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1"/>
      <color rgb="FF7F7F7F"/>
      <name val="Calibri"/>
      <family val="2"/>
      <scheme val="minor"/>
    </font>
    <font>
      <sz val="11"/>
      <color rgb="FFFA7D00"/>
      <name val="Calibri"/>
      <family val="2"/>
      <scheme val="minor"/>
    </font>
    <font>
      <sz val="10"/>
      <color theme="1"/>
      <name val="Calibri"/>
      <family val="2"/>
      <scheme val="minor"/>
    </font>
    <font>
      <sz val="11"/>
      <color rgb="FFC00000"/>
      <name val="Calibri"/>
      <family val="2"/>
      <scheme val="minor"/>
    </font>
    <font>
      <b/>
      <sz val="11"/>
      <name val="Calibri"/>
      <family val="2"/>
      <scheme val="minor"/>
    </font>
    <font>
      <b/>
      <sz val="12"/>
      <color rgb="FF000000"/>
      <name val="Calibri"/>
      <family val="2"/>
      <scheme val="minor"/>
    </font>
    <font>
      <sz val="11"/>
      <color rgb="FF3F3F3F"/>
      <name val="Calibri"/>
      <family val="2"/>
      <scheme val="minor"/>
    </font>
    <font>
      <sz val="11"/>
      <color theme="4" tint="-0.499984740745262"/>
      <name val="Calibri"/>
      <family val="2"/>
    </font>
    <font>
      <i/>
      <sz val="11"/>
      <color theme="2" tint="-0.749961851863155"/>
      <name val="Calibri"/>
      <family val="2"/>
      <scheme val="minor"/>
    </font>
    <font>
      <b/>
      <i/>
      <sz val="11"/>
      <color theme="2" tint="-0.749961851863155"/>
      <name val="Calibri"/>
      <family val="2"/>
      <scheme val="minor"/>
    </font>
    <font>
      <sz val="11"/>
      <color theme="4" tint="-0.24994659260841701"/>
      <name val="Calibri"/>
      <family val="2"/>
      <scheme val="minor"/>
    </font>
    <font>
      <sz val="11"/>
      <color theme="4" tint="0.39994506668294322"/>
      <name val="Calibri"/>
      <family val="2"/>
      <scheme val="minor"/>
    </font>
    <font>
      <sz val="11"/>
      <color theme="8"/>
      <name val="Calibri"/>
      <family val="2"/>
      <scheme val="minor"/>
    </font>
    <font>
      <u/>
      <sz val="11"/>
      <color theme="1"/>
      <name val="Calibri"/>
      <family val="2"/>
      <scheme val="minor"/>
    </font>
    <font>
      <b/>
      <sz val="16"/>
      <color theme="1"/>
      <name val="Calibri"/>
      <family val="2"/>
      <scheme val="minor"/>
    </font>
    <font>
      <b/>
      <i/>
      <sz val="12"/>
      <color rgb="FF7F7F7F"/>
      <name val="Calibri"/>
      <family val="2"/>
      <scheme val="minor"/>
    </font>
    <font>
      <b/>
      <sz val="11"/>
      <color theme="4" tint="-0.24994659260841701"/>
      <name val="Calibri"/>
      <family val="2"/>
      <scheme val="minor"/>
    </font>
    <font>
      <sz val="11"/>
      <color theme="1"/>
      <name val="Calibri"/>
      <family val="2"/>
    </font>
    <font>
      <sz val="11"/>
      <color theme="2" tint="-0.749961851863155"/>
      <name val="Calibri"/>
      <family val="2"/>
      <scheme val="minor"/>
    </font>
    <font>
      <b/>
      <sz val="11"/>
      <color theme="0"/>
      <name val="Calibri"/>
      <family val="2"/>
      <scheme val="minor"/>
    </font>
    <font>
      <b/>
      <sz val="11"/>
      <color rgb="FFFF0000"/>
      <name val="Calibri"/>
      <family val="2"/>
      <scheme val="minor"/>
    </font>
    <font>
      <sz val="11"/>
      <name val="Calibri"/>
      <family val="2"/>
    </font>
    <font>
      <sz val="9"/>
      <color indexed="81"/>
      <name val="Tahoma"/>
      <family val="2"/>
    </font>
    <font>
      <b/>
      <sz val="14"/>
      <color theme="1"/>
      <name val="Calibri"/>
      <family val="2"/>
      <scheme val="minor"/>
    </font>
    <font>
      <b/>
      <sz val="9"/>
      <color indexed="81"/>
      <name val="Tahoma"/>
      <family val="2"/>
    </font>
    <font>
      <i/>
      <sz val="12"/>
      <color theme="1"/>
      <name val="Calibri"/>
      <family val="2"/>
      <scheme val="minor"/>
    </font>
    <font>
      <u/>
      <sz val="12"/>
      <color theme="1"/>
      <name val="Calibri"/>
      <family val="2"/>
      <scheme val="minor"/>
    </font>
    <font>
      <sz val="12"/>
      <color rgb="FFFF0000"/>
      <name val="Calibri"/>
      <family val="2"/>
      <scheme val="minor"/>
    </font>
    <font>
      <b/>
      <sz val="11"/>
      <color indexed="8"/>
      <name val="Calibri"/>
      <family val="2"/>
      <scheme val="minor"/>
    </font>
    <font>
      <b/>
      <sz val="10"/>
      <color theme="1"/>
      <name val="Arial"/>
      <family val="2"/>
    </font>
    <font>
      <sz val="10"/>
      <color theme="1"/>
      <name val="Arial"/>
      <family val="2"/>
    </font>
    <font>
      <sz val="10"/>
      <color rgb="FFFF0000"/>
      <name val="Arial"/>
      <family val="2"/>
    </font>
    <font>
      <b/>
      <sz val="12"/>
      <color theme="0"/>
      <name val="Calibri"/>
      <family val="2"/>
      <scheme val="minor"/>
    </font>
    <font>
      <i/>
      <sz val="11"/>
      <name val="Calibri"/>
      <family val="2"/>
      <scheme val="minor"/>
    </font>
    <font>
      <b/>
      <sz val="12"/>
      <name val="Calibri"/>
      <family val="2"/>
      <scheme val="minor"/>
    </font>
    <font>
      <sz val="8"/>
      <color theme="1"/>
      <name val="Calibri"/>
      <family val="2"/>
      <scheme val="minor"/>
    </font>
    <font>
      <b/>
      <i/>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rgb="FFF2F2F2"/>
        <bgColor rgb="FF000000"/>
      </patternFill>
    </fill>
    <fill>
      <patternFill patternType="solid">
        <fgColor rgb="FFFFCC99"/>
        <bgColor rgb="FF000000"/>
      </patternFill>
    </fill>
    <fill>
      <patternFill patternType="solid">
        <fgColor rgb="FFFFCC99"/>
      </patternFill>
    </fill>
    <fill>
      <patternFill patternType="solid">
        <fgColor theme="6" tint="0.79998168889431442"/>
        <bgColor indexed="65"/>
      </patternFill>
    </fill>
    <fill>
      <patternFill patternType="solid">
        <fgColor theme="4" tint="0.79998168889431442"/>
        <bgColor indexed="64"/>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3"/>
      </patternFill>
    </fill>
    <fill>
      <patternFill patternType="solid">
        <fgColor indexed="26"/>
      </patternFill>
    </fill>
    <fill>
      <patternFill patternType="solid">
        <fgColor theme="8" tint="0.59999389629810485"/>
        <bgColor indexed="65"/>
      </patternFill>
    </fill>
    <fill>
      <patternFill patternType="solid">
        <fgColor them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14996795556505021"/>
        <bgColor indexed="64"/>
      </patternFill>
    </fill>
    <fill>
      <patternFill patternType="solid">
        <fgColor theme="6" tint="0.59999389629810485"/>
        <bgColor indexed="64"/>
      </patternFill>
    </fill>
    <fill>
      <patternFill patternType="solid">
        <fgColor rgb="FFF6CDA4"/>
        <bgColor indexed="64"/>
      </patternFill>
    </fill>
    <fill>
      <patternFill patternType="solid">
        <fgColor theme="0"/>
        <bgColor indexed="64"/>
      </patternFill>
    </fill>
    <fill>
      <patternFill patternType="solid">
        <fgColor theme="0"/>
      </patternFill>
    </fill>
    <fill>
      <patternFill patternType="solid">
        <fgColor theme="0" tint="-4.9989318521683403E-2"/>
        <bgColor rgb="FF000000"/>
      </patternFill>
    </fill>
    <fill>
      <patternFill patternType="solid">
        <fgColor theme="5"/>
        <bgColor theme="5"/>
      </patternFill>
    </fill>
    <fill>
      <patternFill patternType="solid">
        <fgColor rgb="FFFFCC99"/>
        <bgColor indexed="64"/>
      </patternFill>
    </fill>
    <fill>
      <patternFill patternType="solid">
        <fgColor theme="0" tint="-0.14999847407452621"/>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rgb="FF92D050"/>
      </patternFill>
    </fill>
    <fill>
      <patternFill patternType="solid">
        <fgColor theme="0"/>
        <bgColor rgb="FFFFFF00"/>
      </patternFill>
    </fill>
    <fill>
      <patternFill patternType="solid">
        <fgColor rgb="FF33CCFF"/>
        <bgColor indexed="64"/>
      </patternFill>
    </fill>
  </fills>
  <borders count="205">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top style="medium">
        <color auto="1"/>
      </top>
      <bottom/>
      <diagonal/>
    </border>
    <border>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right style="thin">
        <color rgb="FF7F7F7F"/>
      </right>
      <top/>
      <bottom style="thin">
        <color rgb="FF7F7F7F"/>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bottom style="thin">
        <color auto="1"/>
      </bottom>
      <diagonal/>
    </border>
    <border>
      <left/>
      <right style="thin">
        <color rgb="FF7F7F7F"/>
      </right>
      <top/>
      <bottom/>
      <diagonal/>
    </border>
    <border>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2" tint="-0.499984740745262"/>
      </left>
      <right style="thin">
        <color theme="2" tint="-0.499984740745262"/>
      </right>
      <top style="medium">
        <color auto="1"/>
      </top>
      <bottom style="thin">
        <color theme="2" tint="-0.499984740745262"/>
      </bottom>
      <diagonal/>
    </border>
    <border>
      <left style="thin">
        <color auto="1"/>
      </left>
      <right/>
      <top/>
      <bottom/>
      <diagonal/>
    </border>
    <border>
      <left style="thin">
        <color auto="1"/>
      </left>
      <right style="thin">
        <color auto="1"/>
      </right>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double">
        <color rgb="FFFF80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diagonal/>
    </border>
    <border>
      <left style="thin">
        <color rgb="FF3F3F3F"/>
      </left>
      <right style="medium">
        <color indexed="64"/>
      </right>
      <top style="medium">
        <color indexed="64"/>
      </top>
      <bottom style="thin">
        <color rgb="FF3F3F3F"/>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rgb="FF3F3F3F"/>
      </top>
      <bottom style="medium">
        <color indexed="64"/>
      </bottom>
      <diagonal/>
    </border>
    <border>
      <left style="medium">
        <color indexed="64"/>
      </left>
      <right style="thin">
        <color rgb="FF7F7F7F"/>
      </right>
      <top style="thin">
        <color rgb="FF7F7F7F"/>
      </top>
      <bottom style="thin">
        <color rgb="FF7F7F7F"/>
      </bottom>
      <diagonal/>
    </border>
    <border>
      <left style="thin">
        <color rgb="FF3F3F3F"/>
      </left>
      <right style="medium">
        <color indexed="64"/>
      </right>
      <top/>
      <bottom style="thin">
        <color rgb="FF3F3F3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3F3F3F"/>
      </left>
      <right style="medium">
        <color indexed="64"/>
      </right>
      <top/>
      <bottom style="medium">
        <color indexed="64"/>
      </bottom>
      <diagonal/>
    </border>
    <border>
      <left/>
      <right style="thin">
        <color rgb="FF7F7F7F"/>
      </right>
      <top style="thin">
        <color rgb="FF7F7F7F"/>
      </top>
      <bottom/>
      <diagonal/>
    </border>
    <border>
      <left style="thin">
        <color rgb="FF7F7F7F"/>
      </left>
      <right style="thin">
        <color rgb="FF7F7F7F"/>
      </right>
      <top style="thin">
        <color rgb="FF7F7F7F"/>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thin">
        <color rgb="FF7F7F7F"/>
      </left>
      <right style="medium">
        <color indexed="64"/>
      </right>
      <top style="thin">
        <color rgb="FF7F7F7F"/>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thin">
        <color indexed="23"/>
      </right>
      <top style="medium">
        <color indexed="64"/>
      </top>
      <bottom style="thin">
        <color indexed="23"/>
      </bottom>
      <diagonal/>
    </border>
    <border>
      <left style="thin">
        <color indexed="23"/>
      </left>
      <right style="thin">
        <color indexed="23"/>
      </right>
      <top style="medium">
        <color indexed="64"/>
      </top>
      <bottom style="thin">
        <color indexed="23"/>
      </bottom>
      <diagonal/>
    </border>
    <border>
      <left style="medium">
        <color indexed="64"/>
      </left>
      <right style="thin">
        <color indexed="23"/>
      </right>
      <top style="thin">
        <color indexed="23"/>
      </top>
      <bottom style="thin">
        <color indexed="23"/>
      </bottom>
      <diagonal/>
    </border>
    <border>
      <left style="thin">
        <color indexed="64"/>
      </left>
      <right style="medium">
        <color indexed="64"/>
      </right>
      <top style="medium">
        <color indexed="64"/>
      </top>
      <bottom style="thin">
        <color indexed="64"/>
      </bottom>
      <diagonal/>
    </border>
    <border>
      <left/>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rgb="FF7F7F7F"/>
      </left>
      <right style="medium">
        <color indexed="64"/>
      </right>
      <top style="thin">
        <color rgb="FF7F7F7F"/>
      </top>
      <bottom style="thin">
        <color rgb="FF7F7F7F"/>
      </bottom>
      <diagonal/>
    </border>
    <border>
      <left/>
      <right style="thin">
        <color indexed="64"/>
      </right>
      <top style="thin">
        <color indexed="64"/>
      </top>
      <bottom style="thin">
        <color indexed="64"/>
      </bottom>
      <diagonal/>
    </border>
    <border>
      <left style="medium">
        <color indexed="64"/>
      </left>
      <right style="medium">
        <color indexed="64"/>
      </right>
      <top style="thin">
        <color rgb="FF7F7F7F"/>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auto="1"/>
      </left>
      <right/>
      <top style="medium">
        <color indexed="64"/>
      </top>
      <bottom/>
      <diagonal/>
    </border>
    <border>
      <left style="thin">
        <color rgb="FF7F7F7F"/>
      </left>
      <right style="thin">
        <color rgb="FF7F7F7F"/>
      </right>
      <top style="medium">
        <color indexed="64"/>
      </top>
      <bottom style="thin">
        <color rgb="FF7F7F7F"/>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style="medium">
        <color indexed="64"/>
      </bottom>
      <diagonal/>
    </border>
    <border>
      <left/>
      <right style="thin">
        <color rgb="FF7F7F7F"/>
      </right>
      <top style="medium">
        <color indexed="64"/>
      </top>
      <bottom style="thin">
        <color rgb="FF7F7F7F"/>
      </bottom>
      <diagonal/>
    </border>
    <border>
      <left style="thin">
        <color theme="1" tint="0.499984740745262"/>
      </left>
      <right style="medium">
        <color indexed="64"/>
      </right>
      <top style="medium">
        <color indexed="64"/>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rgb="FF7F7F7F"/>
      </left>
      <right style="medium">
        <color indexed="64"/>
      </right>
      <top style="thin">
        <color theme="1" tint="0.499984740745262"/>
      </top>
      <bottom style="thin">
        <color rgb="FF7F7F7F"/>
      </bottom>
      <diagonal/>
    </border>
    <border>
      <left style="thin">
        <color rgb="FF7F7F7F"/>
      </left>
      <right style="thin">
        <color rgb="FF7F7F7F"/>
      </right>
      <top/>
      <bottom style="medium">
        <color indexed="64"/>
      </bottom>
      <diagonal/>
    </border>
    <border>
      <left/>
      <right style="thin">
        <color rgb="FF7F7F7F"/>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F7F7F"/>
      </right>
      <top/>
      <bottom style="thin">
        <color rgb="FF7F7F7F"/>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F7F7F"/>
      </left>
      <right style="medium">
        <color indexed="64"/>
      </right>
      <top style="medium">
        <color indexed="64"/>
      </top>
      <bottom style="thin">
        <color rgb="FF7F7F7F"/>
      </bottom>
      <diagonal/>
    </border>
    <border>
      <left style="medium">
        <color indexed="64"/>
      </left>
      <right/>
      <top style="thin">
        <color indexed="64"/>
      </top>
      <bottom style="thin">
        <color indexed="64"/>
      </bottom>
      <diagonal/>
    </border>
    <border>
      <left style="thin">
        <color rgb="FF7F7F7F"/>
      </left>
      <right/>
      <top style="thin">
        <color rgb="FF7F7F7F"/>
      </top>
      <bottom style="thin">
        <color rgb="FF7F7F7F"/>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style="medium">
        <color indexed="64"/>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theme="0"/>
      </top>
      <bottom/>
      <diagonal/>
    </border>
    <border>
      <left style="medium">
        <color indexed="64"/>
      </left>
      <right/>
      <top style="thin">
        <color theme="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top/>
      <bottom/>
      <diagonal/>
    </border>
    <border>
      <left style="thin">
        <color indexed="23"/>
      </left>
      <right style="medium">
        <color indexed="64"/>
      </right>
      <top/>
      <bottom style="thin">
        <color indexed="23"/>
      </bottom>
      <diagonal/>
    </border>
    <border>
      <left style="thin">
        <color indexed="64"/>
      </left>
      <right/>
      <top style="thin">
        <color indexed="64"/>
      </top>
      <bottom/>
      <diagonal/>
    </border>
    <border>
      <left style="thin">
        <color indexed="64"/>
      </left>
      <right style="thin">
        <color indexed="64"/>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medium">
        <color indexed="64"/>
      </top>
      <bottom/>
      <diagonal/>
    </border>
    <border>
      <left style="thin">
        <color rgb="FF3F3F3F"/>
      </left>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style="thin">
        <color rgb="FF3F3F3F"/>
      </top>
      <bottom/>
      <diagonal/>
    </border>
    <border>
      <left style="thin">
        <color rgb="FF3F3F3F"/>
      </left>
      <right/>
      <top style="thin">
        <color rgb="FF3F3F3F"/>
      </top>
      <bottom/>
      <diagonal/>
    </border>
    <border>
      <left style="thin">
        <color rgb="FF3F3F3F"/>
      </left>
      <right/>
      <top style="thin">
        <color rgb="FF3F3F3F"/>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auto="1"/>
      </bottom>
      <diagonal/>
    </border>
    <border>
      <left style="medium">
        <color indexed="64"/>
      </left>
      <right style="thin">
        <color rgb="FF7F7F7F"/>
      </right>
      <top style="medium">
        <color indexed="64"/>
      </top>
      <bottom style="thin">
        <color rgb="FF7F7F7F"/>
      </bottom>
      <diagonal/>
    </border>
    <border>
      <left style="thin">
        <color indexed="23"/>
      </left>
      <right style="thin">
        <color indexed="23"/>
      </right>
      <top style="medium">
        <color indexed="64"/>
      </top>
      <bottom style="thin">
        <color indexed="23"/>
      </bottom>
      <diagonal/>
    </border>
    <border>
      <left/>
      <right style="medium">
        <color indexed="64"/>
      </right>
      <top style="medium">
        <color indexed="64"/>
      </top>
      <bottom style="thin">
        <color rgb="FF7F7F7F"/>
      </bottom>
      <diagonal/>
    </border>
    <border>
      <left style="thin">
        <color indexed="23"/>
      </left>
      <right style="thin">
        <color indexed="23"/>
      </right>
      <top style="thin">
        <color indexed="23"/>
      </top>
      <bottom style="thin">
        <color indexed="23"/>
      </bottom>
      <diagonal/>
    </border>
    <border>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diagonal/>
    </border>
    <border>
      <left style="medium">
        <color indexed="64"/>
      </left>
      <right/>
      <top style="thin">
        <color auto="1"/>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auto="1"/>
      </left>
      <right style="medium">
        <color indexed="64"/>
      </right>
      <top style="thin">
        <color auto="1"/>
      </top>
      <bottom/>
      <diagonal/>
    </border>
    <border>
      <left/>
      <right style="medium">
        <color indexed="64"/>
      </right>
      <top style="thin">
        <color indexed="64"/>
      </top>
      <bottom style="medium">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18"/>
      </top>
      <bottom style="thin">
        <color indexed="17"/>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indexed="64"/>
      </top>
      <bottom/>
      <diagonal/>
    </border>
    <border>
      <left/>
      <right style="thin">
        <color auto="1"/>
      </right>
      <top/>
      <bottom style="thin">
        <color auto="1"/>
      </bottom>
      <diagonal/>
    </border>
    <border>
      <left/>
      <right/>
      <top/>
      <bottom style="thin">
        <color indexed="64"/>
      </bottom>
      <diagonal/>
    </border>
    <border>
      <left style="medium">
        <color indexed="64"/>
      </left>
      <right style="thin">
        <color indexed="64"/>
      </right>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auto="1"/>
      </bottom>
      <diagonal/>
    </border>
    <border>
      <left style="thin">
        <color indexed="64"/>
      </left>
      <right style="thin">
        <color indexed="64"/>
      </right>
      <top style="thin">
        <color auto="1"/>
      </top>
      <bottom/>
      <diagonal/>
    </border>
    <border>
      <left style="thin">
        <color rgb="FF7F7F7F"/>
      </left>
      <right style="medium">
        <color indexed="64"/>
      </right>
      <top style="thin">
        <color rgb="FF7F7F7F"/>
      </top>
      <bottom/>
      <diagonal/>
    </border>
    <border>
      <left/>
      <right style="thin">
        <color indexed="64"/>
      </right>
      <top style="thin">
        <color rgb="FF3F3F3F"/>
      </top>
      <bottom style="thin">
        <color rgb="FF3F3F3F"/>
      </bottom>
      <diagonal/>
    </border>
    <border>
      <left/>
      <right style="thin">
        <color indexed="64"/>
      </right>
      <top style="thin">
        <color rgb="FF3F3F3F"/>
      </top>
      <bottom/>
      <diagonal/>
    </border>
    <border>
      <left style="thin">
        <color auto="1"/>
      </left>
      <right style="thin">
        <color auto="1"/>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23"/>
      </left>
      <right style="medium">
        <color indexed="64"/>
      </right>
      <top style="thin">
        <color indexed="23"/>
      </top>
      <bottom style="thin">
        <color indexed="23"/>
      </bottom>
      <diagonal/>
    </border>
    <border>
      <left style="medium">
        <color indexed="64"/>
      </left>
      <right/>
      <top style="thin">
        <color auto="1"/>
      </top>
      <bottom/>
      <diagonal/>
    </border>
    <border>
      <left style="thin">
        <color indexed="23"/>
      </left>
      <right style="medium">
        <color indexed="64"/>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medium">
        <color indexed="64"/>
      </right>
      <top style="thin">
        <color indexed="23"/>
      </top>
      <bottom/>
      <diagonal/>
    </border>
    <border>
      <left style="thin">
        <color indexed="23"/>
      </left>
      <right style="medium">
        <color indexed="64"/>
      </right>
      <top style="medium">
        <color indexed="64"/>
      </top>
      <bottom style="thin">
        <color indexed="23"/>
      </bottom>
      <diagonal/>
    </border>
    <border>
      <left style="medium">
        <color indexed="64"/>
      </left>
      <right style="thin">
        <color indexed="64"/>
      </right>
      <top style="thin">
        <color auto="1"/>
      </top>
      <bottom/>
      <diagonal/>
    </border>
    <border>
      <left/>
      <right style="thin">
        <color indexed="64"/>
      </right>
      <top style="thin">
        <color indexed="64"/>
      </top>
      <bottom style="thin">
        <color auto="1"/>
      </bottom>
      <diagonal/>
    </border>
    <border>
      <left/>
      <right style="thin">
        <color indexed="64"/>
      </right>
      <top style="thin">
        <color auto="1"/>
      </top>
      <bottom style="medium">
        <color indexed="64"/>
      </bottom>
      <diagonal/>
    </border>
    <border>
      <left style="medium">
        <color indexed="64"/>
      </left>
      <right style="thin">
        <color indexed="64"/>
      </right>
      <top style="thin">
        <color auto="1"/>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7F7F7F"/>
      </left>
      <right style="medium">
        <color indexed="64"/>
      </right>
      <top style="thin">
        <color indexed="64"/>
      </top>
      <bottom style="medium">
        <color indexed="64"/>
      </bottom>
      <diagonal/>
    </border>
    <border>
      <left/>
      <right/>
      <top style="thin">
        <color indexed="64"/>
      </top>
      <bottom style="thin">
        <color rgb="FF3F3F3F"/>
      </bottom>
      <diagonal/>
    </border>
    <border>
      <left style="thin">
        <color indexed="23"/>
      </left>
      <right style="thin">
        <color indexed="64"/>
      </right>
      <top style="thin">
        <color indexed="23"/>
      </top>
      <bottom style="thin">
        <color indexed="23"/>
      </bottom>
      <diagonal/>
    </border>
    <border>
      <left style="thin">
        <color rgb="FF3F3F3F"/>
      </left>
      <right style="thin">
        <color indexed="64"/>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style="thin">
        <color indexed="64"/>
      </left>
      <right/>
      <top style="thin">
        <color rgb="FF3F3F3F"/>
      </top>
      <bottom style="thin">
        <color indexed="64"/>
      </bottom>
      <diagonal/>
    </border>
    <border>
      <left style="thin">
        <color indexed="64"/>
      </left>
      <right style="thin">
        <color rgb="FF3F3F3F"/>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indexed="64"/>
      </bottom>
      <diagonal/>
    </border>
  </borders>
  <cellStyleXfs count="65">
    <xf numFmtId="0" fontId="0" fillId="0" borderId="0"/>
    <xf numFmtId="0" fontId="3" fillId="2" borderId="2" applyNumberFormat="0" applyFont="0" applyAlignment="0" applyProtection="0"/>
    <xf numFmtId="0" fontId="4"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2" fillId="6" borderId="1"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3" fillId="23" borderId="9" applyNumberFormat="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9" fillId="0" borderId="0"/>
    <xf numFmtId="169" fontId="2" fillId="0" borderId="0" applyFont="0" applyFill="0" applyBorder="0" applyAlignment="0" applyProtection="0"/>
    <xf numFmtId="166" fontId="2" fillId="0" borderId="0" applyFont="0" applyFill="0" applyBorder="0" applyAlignment="0" applyProtection="0"/>
    <xf numFmtId="0" fontId="2" fillId="7" borderId="0" applyNumberFormat="0" applyBorder="0" applyAlignment="0" applyProtection="0"/>
    <xf numFmtId="0" fontId="22" fillId="9" borderId="0" applyNumberFormat="0" applyBorder="0" applyAlignment="0" applyProtection="0"/>
    <xf numFmtId="0" fontId="23" fillId="10" borderId="13" applyNumberFormat="0" applyAlignment="0" applyProtection="0"/>
    <xf numFmtId="0" fontId="24" fillId="11" borderId="14" applyNumberFormat="0" applyAlignment="0" applyProtection="0"/>
    <xf numFmtId="166" fontId="25"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0" fontId="26" fillId="0" borderId="0" applyNumberFormat="0" applyFill="0" applyBorder="0" applyAlignment="0" applyProtection="0"/>
    <xf numFmtId="0" fontId="27" fillId="12" borderId="0" applyNumberFormat="0" applyBorder="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46" fillId="8" borderId="13" applyNumberFormat="0" applyAlignment="0" applyProtection="0"/>
    <xf numFmtId="0" fontId="32" fillId="0" borderId="18" applyNumberFormat="0" applyFill="0" applyAlignment="0" applyProtection="0"/>
    <xf numFmtId="0" fontId="33" fillId="13" borderId="0" applyNumberFormat="0" applyBorder="0" applyAlignment="0" applyProtection="0"/>
    <xf numFmtId="0" fontId="25" fillId="0" borderId="0"/>
    <xf numFmtId="0" fontId="25" fillId="0" borderId="0"/>
    <xf numFmtId="0" fontId="2" fillId="0" borderId="0"/>
    <xf numFmtId="0" fontId="21" fillId="0" borderId="0"/>
    <xf numFmtId="0" fontId="21" fillId="0" borderId="0"/>
    <xf numFmtId="0" fontId="3" fillId="0" borderId="0"/>
    <xf numFmtId="0" fontId="34" fillId="14" borderId="19" applyNumberFormat="0" applyFont="0" applyAlignment="0" applyProtection="0"/>
    <xf numFmtId="0" fontId="35" fillId="10" borderId="20" applyNumberFormat="0" applyAlignment="0" applyProtection="0"/>
    <xf numFmtId="9" fontId="25" fillId="0" borderId="0" applyFont="0" applyFill="0" applyBorder="0" applyAlignment="0" applyProtection="0"/>
    <xf numFmtId="0" fontId="21" fillId="0" borderId="0"/>
    <xf numFmtId="0" fontId="36" fillId="0" borderId="0" applyNumberFormat="0" applyFill="0" applyBorder="0" applyAlignment="0" applyProtection="0"/>
    <xf numFmtId="0" fontId="37" fillId="0" borderId="21"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8" fillId="0" borderId="0" applyNumberFormat="0" applyFill="0" applyBorder="0" applyAlignment="0" applyProtection="0"/>
    <xf numFmtId="0" fontId="7" fillId="0" borderId="0" applyNumberFormat="0" applyFill="0" applyBorder="0" applyAlignment="0" applyProtection="0"/>
    <xf numFmtId="165" fontId="3" fillId="0" borderId="0" applyFont="0" applyFill="0" applyBorder="0" applyAlignment="0" applyProtection="0"/>
    <xf numFmtId="0" fontId="1" fillId="15" borderId="0" applyNumberFormat="0" applyBorder="0" applyAlignment="0" applyProtection="0"/>
    <xf numFmtId="0" fontId="40" fillId="0" borderId="30" applyNumberFormat="0" applyFill="0" applyAlignment="0" applyProtection="0"/>
    <xf numFmtId="2" fontId="47" fillId="23" borderId="1"/>
    <xf numFmtId="0" fontId="49" fillId="25" borderId="53"/>
    <xf numFmtId="0" fontId="51" fillId="18" borderId="53"/>
    <xf numFmtId="166" fontId="1" fillId="0" borderId="0" applyFont="0" applyFill="0" applyBorder="0" applyAlignment="0" applyProtection="0"/>
  </cellStyleXfs>
  <cellXfs count="911">
    <xf numFmtId="0" fontId="0" fillId="0" borderId="0" xfId="0"/>
    <xf numFmtId="0" fontId="6" fillId="3" borderId="0" xfId="0" applyFont="1" applyFill="1"/>
    <xf numFmtId="0" fontId="5" fillId="3" borderId="4" xfId="0" applyFont="1" applyFill="1" applyBorder="1"/>
    <xf numFmtId="0" fontId="12" fillId="5" borderId="5" xfId="0" applyFont="1" applyFill="1" applyBorder="1"/>
    <xf numFmtId="0" fontId="12" fillId="5" borderId="7" xfId="0" applyFont="1" applyFill="1" applyBorder="1" applyAlignment="1">
      <alignment wrapText="1"/>
    </xf>
    <xf numFmtId="0" fontId="0" fillId="0" borderId="0" xfId="0"/>
    <xf numFmtId="0" fontId="0" fillId="3" borderId="0" xfId="0" applyFill="1"/>
    <xf numFmtId="0" fontId="12" fillId="5" borderId="11" xfId="0" applyFont="1" applyFill="1" applyBorder="1" applyAlignment="1">
      <alignment wrapText="1"/>
    </xf>
    <xf numFmtId="0" fontId="0" fillId="0" borderId="0" xfId="0" applyBorder="1"/>
    <xf numFmtId="9" fontId="13" fillId="23" borderId="40" xfId="16" applyNumberFormat="1" applyBorder="1"/>
    <xf numFmtId="9" fontId="13" fillId="23" borderId="9" xfId="16" applyNumberFormat="1"/>
    <xf numFmtId="9" fontId="13" fillId="23" borderId="46" xfId="16" applyNumberFormat="1" applyBorder="1"/>
    <xf numFmtId="9" fontId="13" fillId="23" borderId="49" xfId="16" applyNumberFormat="1" applyBorder="1"/>
    <xf numFmtId="0" fontId="0" fillId="0" borderId="53" xfId="0" applyBorder="1"/>
    <xf numFmtId="9" fontId="13" fillId="23" borderId="12" xfId="16" applyNumberFormat="1" applyBorder="1"/>
    <xf numFmtId="0" fontId="0" fillId="26" borderId="0" xfId="0" applyFill="1"/>
    <xf numFmtId="0" fontId="17" fillId="26" borderId="0" xfId="0" applyFont="1" applyFill="1"/>
    <xf numFmtId="0" fontId="0" fillId="26" borderId="67" xfId="0" applyFill="1" applyBorder="1"/>
    <xf numFmtId="0" fontId="0" fillId="26" borderId="70" xfId="0" applyFill="1" applyBorder="1"/>
    <xf numFmtId="0" fontId="0" fillId="26" borderId="74" xfId="0" applyFill="1" applyBorder="1"/>
    <xf numFmtId="0" fontId="0" fillId="26" borderId="75" xfId="0" applyFill="1" applyBorder="1"/>
    <xf numFmtId="0" fontId="0" fillId="26" borderId="23" xfId="0" applyFill="1" applyBorder="1"/>
    <xf numFmtId="0" fontId="0" fillId="26" borderId="0" xfId="0" applyFill="1" applyBorder="1"/>
    <xf numFmtId="9" fontId="0" fillId="26" borderId="0" xfId="0" applyNumberFormat="1" applyFill="1" applyBorder="1"/>
    <xf numFmtId="0" fontId="0" fillId="26" borderId="76" xfId="0" applyFill="1" applyBorder="1"/>
    <xf numFmtId="9" fontId="0" fillId="26" borderId="0" xfId="17" applyFont="1" applyFill="1" applyBorder="1"/>
    <xf numFmtId="1" fontId="0" fillId="26" borderId="0" xfId="0" applyNumberFormat="1" applyFill="1" applyBorder="1"/>
    <xf numFmtId="2" fontId="0" fillId="26" borderId="0" xfId="0" applyNumberFormat="1" applyFill="1" applyBorder="1"/>
    <xf numFmtId="0" fontId="0" fillId="26" borderId="0" xfId="0" applyFont="1" applyFill="1" applyBorder="1"/>
    <xf numFmtId="0" fontId="17" fillId="26" borderId="0" xfId="0" applyFont="1" applyFill="1" applyBorder="1"/>
    <xf numFmtId="0" fontId="0" fillId="26" borderId="78" xfId="0" applyFill="1" applyBorder="1"/>
    <xf numFmtId="0" fontId="0" fillId="26" borderId="79" xfId="0" applyFill="1" applyBorder="1"/>
    <xf numFmtId="0" fontId="0" fillId="26" borderId="80" xfId="0" applyFill="1" applyBorder="1"/>
    <xf numFmtId="2" fontId="0" fillId="26" borderId="0" xfId="0" applyNumberFormat="1" applyFill="1"/>
    <xf numFmtId="0" fontId="0" fillId="16" borderId="67" xfId="0" applyFill="1" applyBorder="1"/>
    <xf numFmtId="0" fontId="0" fillId="16" borderId="70" xfId="0" applyFill="1" applyBorder="1"/>
    <xf numFmtId="0" fontId="17" fillId="16" borderId="73" xfId="0" applyFont="1" applyFill="1" applyBorder="1"/>
    <xf numFmtId="0" fontId="17" fillId="26" borderId="73" xfId="0" applyFont="1" applyFill="1" applyBorder="1"/>
    <xf numFmtId="0" fontId="17" fillId="26" borderId="77" xfId="0" applyFont="1" applyFill="1" applyBorder="1"/>
    <xf numFmtId="0" fontId="52" fillId="26" borderId="0" xfId="0" applyFont="1" applyFill="1" applyBorder="1"/>
    <xf numFmtId="0" fontId="52" fillId="26" borderId="77" xfId="0" applyFont="1" applyFill="1" applyBorder="1"/>
    <xf numFmtId="0" fontId="52" fillId="26" borderId="78" xfId="0" applyFont="1" applyFill="1" applyBorder="1"/>
    <xf numFmtId="0" fontId="0" fillId="0" borderId="76" xfId="0" applyBorder="1"/>
    <xf numFmtId="0" fontId="52" fillId="26" borderId="74" xfId="0" applyFont="1" applyFill="1" applyBorder="1"/>
    <xf numFmtId="9" fontId="0" fillId="26" borderId="80" xfId="0" applyNumberFormat="1" applyFill="1" applyBorder="1"/>
    <xf numFmtId="0" fontId="44" fillId="4" borderId="85" xfId="0" applyFont="1" applyFill="1" applyBorder="1"/>
    <xf numFmtId="0" fontId="10" fillId="4" borderId="85" xfId="0" applyFont="1" applyFill="1" applyBorder="1" applyAlignment="1">
      <alignment wrapText="1"/>
    </xf>
    <xf numFmtId="0" fontId="10" fillId="4" borderId="96" xfId="0" applyFont="1" applyFill="1" applyBorder="1" applyAlignment="1">
      <alignment wrapText="1"/>
    </xf>
    <xf numFmtId="0" fontId="10" fillId="4" borderId="86" xfId="0" applyFont="1" applyFill="1" applyBorder="1" applyAlignment="1">
      <alignment wrapText="1"/>
    </xf>
    <xf numFmtId="0" fontId="13" fillId="23" borderId="84" xfId="16" applyBorder="1"/>
    <xf numFmtId="0" fontId="13" fillId="23" borderId="85" xfId="16" applyBorder="1"/>
    <xf numFmtId="0" fontId="0" fillId="26" borderId="4" xfId="0" applyFill="1" applyBorder="1"/>
    <xf numFmtId="0" fontId="0" fillId="26" borderId="33" xfId="0" applyFill="1" applyBorder="1"/>
    <xf numFmtId="0" fontId="0" fillId="26" borderId="34" xfId="0" applyFill="1" applyBorder="1"/>
    <xf numFmtId="0" fontId="0" fillId="26" borderId="36" xfId="0" applyFill="1" applyBorder="1"/>
    <xf numFmtId="0" fontId="0" fillId="27" borderId="2" xfId="1" applyFont="1" applyFill="1"/>
    <xf numFmtId="0" fontId="5" fillId="26" borderId="4" xfId="0" applyFont="1" applyFill="1" applyBorder="1"/>
    <xf numFmtId="0" fontId="0" fillId="17" borderId="29" xfId="0" applyFill="1" applyBorder="1" applyAlignment="1"/>
    <xf numFmtId="0" fontId="5" fillId="26" borderId="0" xfId="0" applyFont="1" applyFill="1" applyBorder="1"/>
    <xf numFmtId="0" fontId="42" fillId="26" borderId="0" xfId="1" applyFont="1" applyFill="1" applyBorder="1" applyAlignment="1">
      <alignment horizontal="left" vertical="center"/>
    </xf>
    <xf numFmtId="0" fontId="0" fillId="26" borderId="72" xfId="0" applyFill="1" applyBorder="1"/>
    <xf numFmtId="0" fontId="4" fillId="26" borderId="0" xfId="2" applyFill="1"/>
    <xf numFmtId="0" fontId="0" fillId="26" borderId="8" xfId="0" applyFill="1" applyBorder="1"/>
    <xf numFmtId="0" fontId="17" fillId="0" borderId="68" xfId="0" applyFont="1" applyBorder="1"/>
    <xf numFmtId="0" fontId="17" fillId="0" borderId="100" xfId="0" applyFont="1" applyBorder="1"/>
    <xf numFmtId="0" fontId="17" fillId="0" borderId="100" xfId="0" applyFont="1" applyBorder="1" applyAlignment="1">
      <alignment wrapText="1"/>
    </xf>
    <xf numFmtId="0" fontId="17" fillId="0" borderId="97" xfId="0" applyFont="1" applyBorder="1" applyAlignment="1">
      <alignment wrapText="1"/>
    </xf>
    <xf numFmtId="0" fontId="17" fillId="22" borderId="41" xfId="0" applyFont="1" applyFill="1" applyBorder="1" applyAlignment="1">
      <alignment wrapText="1"/>
    </xf>
    <xf numFmtId="0" fontId="17" fillId="0" borderId="83" xfId="0" applyFont="1" applyBorder="1" applyAlignment="1">
      <alignment horizontal="center" vertical="center"/>
    </xf>
    <xf numFmtId="171" fontId="0" fillId="26" borderId="4" xfId="0" applyNumberFormat="1" applyFill="1" applyBorder="1"/>
    <xf numFmtId="0" fontId="17" fillId="26" borderId="8" xfId="0" applyFont="1" applyFill="1" applyBorder="1"/>
    <xf numFmtId="0" fontId="13" fillId="26" borderId="9" xfId="16" applyFill="1"/>
    <xf numFmtId="2" fontId="13" fillId="26" borderId="9" xfId="16" applyNumberFormat="1" applyFill="1"/>
    <xf numFmtId="2" fontId="46" fillId="26" borderId="0" xfId="39" applyNumberFormat="1" applyFill="1" applyBorder="1"/>
    <xf numFmtId="171" fontId="1" fillId="26" borderId="0" xfId="0" applyNumberFormat="1" applyFont="1" applyFill="1" applyBorder="1"/>
    <xf numFmtId="0" fontId="1" fillId="26" borderId="0" xfId="0" applyFont="1" applyFill="1"/>
    <xf numFmtId="168" fontId="1" fillId="26" borderId="0" xfId="0" applyNumberFormat="1" applyFont="1" applyFill="1"/>
    <xf numFmtId="0" fontId="13" fillId="26" borderId="0" xfId="16" applyFill="1" applyBorder="1"/>
    <xf numFmtId="168" fontId="0" fillId="26" borderId="0" xfId="0" applyNumberFormat="1" applyFill="1"/>
    <xf numFmtId="0" fontId="10" fillId="26" borderId="4" xfId="0" applyFont="1" applyFill="1" applyBorder="1"/>
    <xf numFmtId="2" fontId="47" fillId="26" borderId="1" xfId="61" applyFill="1"/>
    <xf numFmtId="171" fontId="17" fillId="26" borderId="8" xfId="0" applyNumberFormat="1" applyFont="1" applyFill="1" applyBorder="1"/>
    <xf numFmtId="171" fontId="0" fillId="26" borderId="0" xfId="0" applyNumberFormat="1" applyFill="1"/>
    <xf numFmtId="0" fontId="16" fillId="26" borderId="0" xfId="0" applyFont="1" applyFill="1" applyAlignment="1">
      <alignment vertical="center"/>
    </xf>
    <xf numFmtId="171" fontId="13" fillId="26" borderId="9" xfId="16" applyNumberFormat="1" applyFill="1"/>
    <xf numFmtId="0" fontId="13" fillId="26" borderId="9" xfId="16" applyNumberFormat="1" applyFill="1"/>
    <xf numFmtId="9" fontId="13" fillId="26" borderId="9" xfId="17" applyFont="1" applyFill="1" applyBorder="1"/>
    <xf numFmtId="171" fontId="13" fillId="26" borderId="9" xfId="58" applyNumberFormat="1" applyFont="1" applyFill="1" applyBorder="1"/>
    <xf numFmtId="1" fontId="13" fillId="26" borderId="9" xfId="16" applyNumberFormat="1" applyFill="1"/>
    <xf numFmtId="9" fontId="13" fillId="26" borderId="9" xfId="16" applyNumberFormat="1" applyFill="1"/>
    <xf numFmtId="171" fontId="40" fillId="26" borderId="0" xfId="60" applyNumberFormat="1" applyFill="1" applyBorder="1"/>
    <xf numFmtId="0" fontId="14" fillId="17" borderId="8" xfId="0" applyFont="1" applyFill="1" applyBorder="1"/>
    <xf numFmtId="0" fontId="14" fillId="17" borderId="43" xfId="0" applyFont="1" applyFill="1" applyBorder="1"/>
    <xf numFmtId="0" fontId="14" fillId="17" borderId="8" xfId="0" applyFont="1" applyFill="1" applyBorder="1" applyAlignment="1">
      <alignment wrapText="1"/>
    </xf>
    <xf numFmtId="0" fontId="17" fillId="17" borderId="8" xfId="0" applyFont="1" applyFill="1" applyBorder="1" applyAlignment="1">
      <alignment horizontal="left"/>
    </xf>
    <xf numFmtId="0" fontId="17" fillId="17" borderId="8" xfId="0" applyFont="1" applyFill="1" applyBorder="1" applyAlignment="1">
      <alignment horizontal="left" wrapText="1"/>
    </xf>
    <xf numFmtId="2" fontId="47" fillId="17" borderId="110" xfId="61" applyFill="1" applyBorder="1"/>
    <xf numFmtId="0" fontId="56" fillId="26" borderId="72" xfId="40" applyFont="1" applyFill="1" applyBorder="1"/>
    <xf numFmtId="0" fontId="17" fillId="17" borderId="8" xfId="0" applyFont="1" applyFill="1" applyBorder="1"/>
    <xf numFmtId="0" fontId="17" fillId="17" borderId="8" xfId="0" applyFont="1" applyFill="1" applyBorder="1" applyAlignment="1">
      <alignment wrapText="1"/>
    </xf>
    <xf numFmtId="0" fontId="0" fillId="17" borderId="22" xfId="0" applyFill="1" applyBorder="1" applyAlignment="1">
      <alignment wrapText="1"/>
    </xf>
    <xf numFmtId="0" fontId="17" fillId="17" borderId="22" xfId="0" applyFont="1" applyFill="1" applyBorder="1" applyAlignment="1">
      <alignment wrapText="1"/>
    </xf>
    <xf numFmtId="173" fontId="13" fillId="26" borderId="9" xfId="16" applyNumberFormat="1" applyFill="1"/>
    <xf numFmtId="0" fontId="0" fillId="3" borderId="4" xfId="0" applyFill="1" applyBorder="1"/>
    <xf numFmtId="0" fontId="9" fillId="28" borderId="4" xfId="0" applyFont="1" applyFill="1" applyBorder="1"/>
    <xf numFmtId="0" fontId="10" fillId="3" borderId="4" xfId="0" applyFont="1" applyFill="1" applyBorder="1"/>
    <xf numFmtId="0" fontId="0" fillId="27" borderId="0" xfId="1" applyFont="1" applyFill="1" applyBorder="1" applyAlignment="1">
      <alignment horizontal="left" vertical="center" wrapText="1"/>
    </xf>
    <xf numFmtId="0" fontId="49" fillId="26" borderId="0" xfId="62" applyFill="1" applyBorder="1"/>
    <xf numFmtId="0" fontId="17" fillId="17" borderId="72" xfId="0" applyFont="1" applyFill="1" applyBorder="1"/>
    <xf numFmtId="2" fontId="47" fillId="26" borderId="1" xfId="61" applyFont="1" applyFill="1"/>
    <xf numFmtId="0" fontId="5" fillId="28" borderId="4" xfId="0" applyFont="1" applyFill="1" applyBorder="1"/>
    <xf numFmtId="0" fontId="3" fillId="3" borderId="4" xfId="0" applyFont="1" applyFill="1" applyBorder="1"/>
    <xf numFmtId="2" fontId="47" fillId="26" borderId="72" xfId="61" applyFill="1" applyBorder="1"/>
    <xf numFmtId="2" fontId="56" fillId="26" borderId="72" xfId="40" applyNumberFormat="1" applyFont="1" applyFill="1" applyBorder="1"/>
    <xf numFmtId="171" fontId="0" fillId="26" borderId="0" xfId="0" applyNumberFormat="1" applyFill="1" applyBorder="1"/>
    <xf numFmtId="0" fontId="51" fillId="26" borderId="0" xfId="63" applyFill="1" applyBorder="1"/>
    <xf numFmtId="0" fontId="14" fillId="17" borderId="8" xfId="0" applyFont="1" applyFill="1" applyBorder="1" applyAlignment="1">
      <alignment horizontal="left"/>
    </xf>
    <xf numFmtId="2" fontId="57" fillId="26" borderId="72" xfId="61" applyFont="1" applyFill="1" applyBorder="1"/>
    <xf numFmtId="174" fontId="56" fillId="26" borderId="72" xfId="40" applyNumberFormat="1" applyFont="1" applyFill="1" applyBorder="1"/>
    <xf numFmtId="2" fontId="1" fillId="26" borderId="72" xfId="61" applyFont="1" applyFill="1" applyBorder="1"/>
    <xf numFmtId="0" fontId="0" fillId="27" borderId="0" xfId="1" applyFont="1" applyFill="1" applyBorder="1"/>
    <xf numFmtId="0" fontId="12" fillId="26" borderId="0" xfId="11" applyFill="1" applyBorder="1"/>
    <xf numFmtId="0" fontId="14" fillId="17" borderId="43" xfId="0" applyFont="1" applyFill="1" applyBorder="1" applyAlignment="1">
      <alignment wrapText="1"/>
    </xf>
    <xf numFmtId="0" fontId="0" fillId="26" borderId="0" xfId="0" applyFill="1" applyBorder="1" applyAlignment="1">
      <alignment horizontal="left"/>
    </xf>
    <xf numFmtId="0" fontId="12" fillId="27" borderId="0" xfId="11" applyFill="1" applyBorder="1"/>
    <xf numFmtId="9" fontId="13" fillId="27" borderId="9" xfId="17" applyFont="1" applyFill="1" applyBorder="1"/>
    <xf numFmtId="0" fontId="17" fillId="17" borderId="57" xfId="0" applyFont="1" applyFill="1" applyBorder="1" applyAlignment="1">
      <alignment wrapText="1"/>
    </xf>
    <xf numFmtId="0" fontId="10" fillId="26" borderId="0" xfId="0" applyFont="1" applyFill="1" applyBorder="1"/>
    <xf numFmtId="0" fontId="0" fillId="26" borderId="43" xfId="0" applyFont="1" applyFill="1" applyBorder="1"/>
    <xf numFmtId="0" fontId="17" fillId="17" borderId="8" xfId="0" applyFont="1" applyFill="1" applyBorder="1" applyAlignment="1">
      <alignment horizontal="center" vertical="center" wrapText="1"/>
    </xf>
    <xf numFmtId="2" fontId="17" fillId="26" borderId="8" xfId="0" applyNumberFormat="1" applyFont="1" applyFill="1" applyBorder="1"/>
    <xf numFmtId="2" fontId="47" fillId="26" borderId="0" xfId="61" applyFill="1" applyBorder="1"/>
    <xf numFmtId="171" fontId="0" fillId="0" borderId="0" xfId="0" applyNumberFormat="1" applyBorder="1"/>
    <xf numFmtId="0" fontId="0" fillId="26" borderId="115" xfId="0" applyFill="1" applyBorder="1"/>
    <xf numFmtId="2" fontId="46" fillId="26" borderId="115" xfId="39" applyNumberFormat="1" applyFill="1" applyBorder="1"/>
    <xf numFmtId="0" fontId="0" fillId="26" borderId="0" xfId="1" applyFont="1" applyFill="1" applyBorder="1"/>
    <xf numFmtId="0" fontId="15" fillId="22" borderId="3" xfId="0" applyFont="1" applyFill="1" applyBorder="1"/>
    <xf numFmtId="0" fontId="15" fillId="26" borderId="0" xfId="0" applyFont="1" applyFill="1" applyBorder="1"/>
    <xf numFmtId="0" fontId="17" fillId="26" borderId="0" xfId="0" applyFont="1" applyFill="1" applyBorder="1" applyAlignment="1">
      <alignment wrapText="1"/>
    </xf>
    <xf numFmtId="171" fontId="13" fillId="26" borderId="0" xfId="16" applyNumberFormat="1" applyFill="1" applyBorder="1" applyAlignment="1">
      <alignment vertical="center" wrapText="1"/>
    </xf>
    <xf numFmtId="0" fontId="14" fillId="17" borderId="72" xfId="0" applyFont="1" applyFill="1" applyBorder="1"/>
    <xf numFmtId="0" fontId="17" fillId="17" borderId="102" xfId="0" applyFont="1" applyFill="1" applyBorder="1" applyAlignment="1">
      <alignment wrapText="1"/>
    </xf>
    <xf numFmtId="0" fontId="17" fillId="17" borderId="79" xfId="0" applyFont="1" applyFill="1" applyBorder="1" applyAlignment="1">
      <alignment vertical="top" wrapText="1"/>
    </xf>
    <xf numFmtId="0" fontId="0" fillId="26" borderId="44" xfId="0" applyFill="1" applyBorder="1"/>
    <xf numFmtId="0" fontId="17" fillId="17" borderId="102" xfId="0" applyFont="1" applyFill="1" applyBorder="1" applyAlignment="1">
      <alignment horizontal="left" wrapText="1"/>
    </xf>
    <xf numFmtId="0" fontId="17" fillId="17" borderId="102" xfId="0" applyFont="1" applyFill="1" applyBorder="1" applyAlignment="1">
      <alignment vertical="top" wrapText="1"/>
    </xf>
    <xf numFmtId="0" fontId="0" fillId="17" borderId="102" xfId="0" applyFill="1" applyBorder="1" applyAlignment="1">
      <alignment wrapText="1"/>
    </xf>
    <xf numFmtId="0" fontId="44" fillId="17" borderId="102" xfId="0" applyFont="1" applyFill="1" applyBorder="1"/>
    <xf numFmtId="0" fontId="46" fillId="26" borderId="0" xfId="39" applyFill="1" applyBorder="1"/>
    <xf numFmtId="2" fontId="15" fillId="26" borderId="0" xfId="11" applyNumberFormat="1" applyFont="1" applyFill="1" applyBorder="1"/>
    <xf numFmtId="0" fontId="0" fillId="26" borderId="0" xfId="0" applyFill="1" applyAlignment="1">
      <alignment vertical="top"/>
    </xf>
    <xf numFmtId="0" fontId="0" fillId="26" borderId="0" xfId="0" applyFill="1" applyAlignment="1">
      <alignment horizontal="left" vertical="center"/>
    </xf>
    <xf numFmtId="0" fontId="0" fillId="26" borderId="53" xfId="0" applyFill="1" applyBorder="1"/>
    <xf numFmtId="0" fontId="0" fillId="26" borderId="53" xfId="0" applyFill="1" applyBorder="1" applyAlignment="1">
      <alignment horizontal="left" vertical="center" wrapText="1"/>
    </xf>
    <xf numFmtId="174" fontId="0" fillId="26" borderId="0" xfId="0" applyNumberFormat="1" applyFill="1"/>
    <xf numFmtId="9" fontId="0" fillId="26" borderId="0" xfId="17" applyFont="1" applyFill="1"/>
    <xf numFmtId="0" fontId="43" fillId="3" borderId="31" xfId="0" applyFont="1" applyFill="1" applyBorder="1"/>
    <xf numFmtId="0" fontId="0" fillId="19" borderId="113" xfId="0" applyFont="1" applyFill="1" applyBorder="1"/>
    <xf numFmtId="0" fontId="0" fillId="20" borderId="116" xfId="0" applyFont="1" applyFill="1" applyBorder="1"/>
    <xf numFmtId="0" fontId="0" fillId="19" borderId="116" xfId="0" applyFont="1" applyFill="1" applyBorder="1"/>
    <xf numFmtId="0" fontId="0" fillId="19" borderId="117" xfId="0" applyFont="1" applyFill="1" applyBorder="1"/>
    <xf numFmtId="0" fontId="10" fillId="4" borderId="99" xfId="0" applyFont="1" applyFill="1" applyBorder="1"/>
    <xf numFmtId="0" fontId="58" fillId="29" borderId="57" xfId="0" applyFont="1" applyFill="1" applyBorder="1"/>
    <xf numFmtId="0" fontId="15" fillId="21" borderId="57" xfId="0" applyFont="1" applyFill="1" applyBorder="1"/>
    <xf numFmtId="0" fontId="15" fillId="22" borderId="57" xfId="0" applyFont="1" applyFill="1" applyBorder="1"/>
    <xf numFmtId="0" fontId="15" fillId="21" borderId="3" xfId="0" applyFont="1" applyFill="1" applyBorder="1"/>
    <xf numFmtId="0" fontId="0" fillId="26" borderId="0" xfId="0" applyFill="1" applyBorder="1" applyAlignment="1">
      <alignment wrapText="1"/>
    </xf>
    <xf numFmtId="0" fontId="51" fillId="26" borderId="0" xfId="63" applyFill="1" applyBorder="1" applyAlignment="1">
      <alignment vertical="center"/>
    </xf>
    <xf numFmtId="2" fontId="47" fillId="26" borderId="0" xfId="61" applyFill="1" applyBorder="1" applyAlignment="1">
      <alignment horizontal="center"/>
    </xf>
    <xf numFmtId="2" fontId="47" fillId="26" borderId="0" xfId="61" applyFill="1" applyBorder="1" applyAlignment="1">
      <alignment horizontal="center" vertical="center"/>
    </xf>
    <xf numFmtId="9" fontId="50" fillId="26" borderId="0" xfId="17" applyFont="1" applyFill="1" applyBorder="1" applyAlignment="1">
      <alignment vertical="center"/>
    </xf>
    <xf numFmtId="2" fontId="48" fillId="23" borderId="108" xfId="61" applyFont="1" applyBorder="1" applyAlignment="1">
      <alignment horizontal="center"/>
    </xf>
    <xf numFmtId="0" fontId="17" fillId="17" borderId="10" xfId="0" applyFont="1" applyFill="1" applyBorder="1" applyAlignment="1">
      <alignment wrapText="1"/>
    </xf>
    <xf numFmtId="0" fontId="17" fillId="26" borderId="0" xfId="0" applyFont="1" applyFill="1" applyBorder="1" applyAlignment="1">
      <alignment horizontal="center" vertical="center" textRotation="90" wrapText="1"/>
    </xf>
    <xf numFmtId="9" fontId="47" fillId="26" borderId="0" xfId="17" applyFont="1" applyFill="1" applyBorder="1"/>
    <xf numFmtId="0" fontId="0" fillId="26" borderId="0" xfId="0" applyFill="1" applyBorder="1" applyAlignment="1"/>
    <xf numFmtId="11" fontId="47" fillId="26" borderId="0" xfId="61" applyNumberFormat="1" applyFill="1" applyBorder="1"/>
    <xf numFmtId="10" fontId="13" fillId="26" borderId="0" xfId="16" applyNumberFormat="1" applyFill="1" applyBorder="1" applyAlignment="1">
      <alignment wrapText="1"/>
    </xf>
    <xf numFmtId="0" fontId="17" fillId="26" borderId="0" xfId="0" applyFont="1" applyFill="1" applyBorder="1" applyAlignment="1">
      <alignment vertical="center" textRotation="90" wrapText="1"/>
    </xf>
    <xf numFmtId="0" fontId="0" fillId="26" borderId="102" xfId="0" applyFill="1" applyBorder="1"/>
    <xf numFmtId="2" fontId="48" fillId="23" borderId="61" xfId="61" applyFont="1" applyBorder="1" applyAlignment="1">
      <alignment horizontal="center"/>
    </xf>
    <xf numFmtId="0" fontId="54" fillId="0" borderId="84" xfId="2" applyFont="1" applyBorder="1" applyAlignment="1">
      <alignment vertical="center" wrapText="1"/>
    </xf>
    <xf numFmtId="0" fontId="17" fillId="26" borderId="0" xfId="0" applyFont="1" applyFill="1" applyAlignment="1">
      <alignment horizontal="left" vertical="top"/>
    </xf>
    <xf numFmtId="0" fontId="17" fillId="26" borderId="0" xfId="0" applyFont="1" applyFill="1" applyAlignment="1">
      <alignment vertical="top"/>
    </xf>
    <xf numFmtId="0" fontId="0" fillId="26" borderId="125" xfId="0" applyFill="1" applyBorder="1"/>
    <xf numFmtId="0" fontId="0" fillId="26" borderId="127" xfId="0" applyFill="1" applyBorder="1"/>
    <xf numFmtId="2" fontId="0" fillId="26" borderId="127" xfId="0" applyNumberFormat="1" applyFill="1" applyBorder="1"/>
    <xf numFmtId="0" fontId="0" fillId="26" borderId="128" xfId="0" applyFill="1" applyBorder="1"/>
    <xf numFmtId="0" fontId="17" fillId="26" borderId="0" xfId="0" applyFont="1" applyFill="1" applyBorder="1" applyAlignment="1">
      <alignment horizontal="left" vertical="top"/>
    </xf>
    <xf numFmtId="0" fontId="17" fillId="26" borderId="0" xfId="0" applyFont="1" applyFill="1" applyBorder="1" applyAlignment="1">
      <alignment horizontal="center" vertical="center" wrapText="1"/>
    </xf>
    <xf numFmtId="0" fontId="17" fillId="26" borderId="0" xfId="0" applyFont="1" applyFill="1" applyBorder="1" applyAlignment="1">
      <alignment horizontal="left"/>
    </xf>
    <xf numFmtId="0" fontId="17" fillId="26" borderId="102" xfId="0" applyFont="1" applyFill="1" applyBorder="1"/>
    <xf numFmtId="0" fontId="18" fillId="26" borderId="0" xfId="0" applyFont="1" applyFill="1"/>
    <xf numFmtId="0" fontId="0" fillId="26" borderId="102" xfId="0" applyFill="1" applyBorder="1" applyAlignment="1">
      <alignment vertical="top"/>
    </xf>
    <xf numFmtId="0" fontId="0" fillId="26" borderId="0" xfId="0" quotePrefix="1" applyFill="1"/>
    <xf numFmtId="0" fontId="0" fillId="26" borderId="0" xfId="0" applyFill="1" applyBorder="1" applyAlignment="1">
      <alignment vertical="top"/>
    </xf>
    <xf numFmtId="1" fontId="0" fillId="26" borderId="0" xfId="0" applyNumberFormat="1" applyFill="1"/>
    <xf numFmtId="0" fontId="14" fillId="17" borderId="8" xfId="0" applyFont="1" applyFill="1" applyBorder="1" applyAlignment="1">
      <alignment horizontal="left" wrapText="1"/>
    </xf>
    <xf numFmtId="0" fontId="0" fillId="26" borderId="0" xfId="18" applyFont="1" applyFill="1"/>
    <xf numFmtId="0" fontId="14" fillId="17" borderId="124" xfId="0" applyFont="1" applyFill="1" applyBorder="1" applyAlignment="1">
      <alignment horizontal="left"/>
    </xf>
    <xf numFmtId="1" fontId="13" fillId="26" borderId="132" xfId="16" applyNumberFormat="1" applyFill="1" applyBorder="1"/>
    <xf numFmtId="0" fontId="17" fillId="17" borderId="126" xfId="0" applyFont="1" applyFill="1" applyBorder="1" applyAlignment="1">
      <alignment vertical="top" wrapText="1"/>
    </xf>
    <xf numFmtId="9" fontId="13" fillId="26" borderId="132" xfId="17" applyFont="1" applyFill="1" applyBorder="1"/>
    <xf numFmtId="0" fontId="0" fillId="26" borderId="0" xfId="18" applyFont="1" applyFill="1" applyBorder="1"/>
    <xf numFmtId="0" fontId="20" fillId="26" borderId="0" xfId="44" applyFont="1" applyFill="1"/>
    <xf numFmtId="0" fontId="18" fillId="26" borderId="0" xfId="0" applyFont="1" applyFill="1" applyBorder="1"/>
    <xf numFmtId="0" fontId="20" fillId="26" borderId="102" xfId="0" applyFont="1" applyFill="1" applyBorder="1" applyAlignment="1">
      <alignment vertical="top"/>
    </xf>
    <xf numFmtId="0" fontId="20" fillId="26" borderId="118" xfId="0" applyFont="1" applyFill="1" applyBorder="1" applyAlignment="1">
      <alignment wrapText="1"/>
    </xf>
    <xf numFmtId="173" fontId="46" fillId="26" borderId="0" xfId="39" applyNumberFormat="1" applyFill="1" applyBorder="1"/>
    <xf numFmtId="2" fontId="0" fillId="26" borderId="72" xfId="61" applyFont="1" applyFill="1" applyBorder="1"/>
    <xf numFmtId="0" fontId="14" fillId="26" borderId="114" xfId="18" applyFont="1" applyFill="1" applyBorder="1" applyAlignment="1">
      <alignment horizontal="center"/>
    </xf>
    <xf numFmtId="0" fontId="14" fillId="26" borderId="0" xfId="18" applyFont="1" applyFill="1" applyBorder="1" applyAlignment="1">
      <alignment horizontal="center"/>
    </xf>
    <xf numFmtId="0" fontId="17" fillId="26" borderId="0" xfId="18" applyFont="1" applyFill="1" applyBorder="1"/>
    <xf numFmtId="0" fontId="0" fillId="26" borderId="0" xfId="44" applyFont="1" applyFill="1" applyBorder="1"/>
    <xf numFmtId="0" fontId="2" fillId="26" borderId="0" xfId="0" applyFont="1" applyFill="1" applyBorder="1"/>
    <xf numFmtId="0" fontId="0" fillId="26" borderId="0" xfId="44" applyFont="1" applyFill="1"/>
    <xf numFmtId="0" fontId="18" fillId="26" borderId="0" xfId="44" applyFont="1" applyFill="1" applyBorder="1"/>
    <xf numFmtId="0" fontId="62" fillId="26" borderId="0" xfId="0" applyFont="1" applyFill="1" applyBorder="1"/>
    <xf numFmtId="0" fontId="2" fillId="26" borderId="0" xfId="44" applyFill="1"/>
    <xf numFmtId="176" fontId="0" fillId="26" borderId="24" xfId="17" applyNumberFormat="1" applyFont="1" applyFill="1" applyBorder="1"/>
    <xf numFmtId="164" fontId="0" fillId="26" borderId="0" xfId="0" applyNumberFormat="1" applyFill="1"/>
    <xf numFmtId="0" fontId="2" fillId="26" borderId="0" xfId="44" applyFont="1" applyFill="1" applyBorder="1"/>
    <xf numFmtId="171" fontId="17" fillId="26" borderId="24" xfId="0" applyNumberFormat="1" applyFont="1" applyFill="1" applyBorder="1"/>
    <xf numFmtId="0" fontId="14" fillId="26" borderId="0" xfId="44" applyFont="1" applyFill="1" applyBorder="1"/>
    <xf numFmtId="0" fontId="17" fillId="26" borderId="127" xfId="44" applyFont="1" applyFill="1" applyBorder="1"/>
    <xf numFmtId="171" fontId="17" fillId="26" borderId="133" xfId="0" applyNumberFormat="1" applyFont="1" applyFill="1" applyBorder="1"/>
    <xf numFmtId="171" fontId="14" fillId="26" borderId="0" xfId="44" applyNumberFormat="1" applyFont="1" applyFill="1" applyBorder="1"/>
    <xf numFmtId="0" fontId="2" fillId="26" borderId="0" xfId="44" applyFill="1" applyBorder="1"/>
    <xf numFmtId="176" fontId="0" fillId="26" borderId="119" xfId="17" applyNumberFormat="1" applyFont="1" applyFill="1" applyBorder="1"/>
    <xf numFmtId="0" fontId="62" fillId="3" borderId="0" xfId="18" applyFont="1" applyFill="1" applyBorder="1"/>
    <xf numFmtId="0" fontId="62" fillId="3" borderId="0" xfId="0" applyFont="1" applyFill="1" applyBorder="1"/>
    <xf numFmtId="1" fontId="1" fillId="17" borderId="93" xfId="11" applyNumberFormat="1" applyFont="1" applyFill="1" applyBorder="1"/>
    <xf numFmtId="1" fontId="1" fillId="17" borderId="69" xfId="11" applyNumberFormat="1" applyFont="1" applyFill="1" applyBorder="1"/>
    <xf numFmtId="1" fontId="1" fillId="17" borderId="59" xfId="11" applyNumberFormat="1" applyFont="1" applyFill="1" applyBorder="1"/>
    <xf numFmtId="2" fontId="1" fillId="23" borderId="82" xfId="61" applyFont="1" applyBorder="1"/>
    <xf numFmtId="2" fontId="1" fillId="23" borderId="1" xfId="61" applyFont="1" applyBorder="1"/>
    <xf numFmtId="0" fontId="0" fillId="31" borderId="11" xfId="0" applyFont="1" applyFill="1" applyBorder="1" applyAlignment="1">
      <alignment wrapText="1"/>
    </xf>
    <xf numFmtId="0" fontId="0" fillId="31" borderId="50" xfId="0" applyFont="1" applyFill="1" applyBorder="1"/>
    <xf numFmtId="0" fontId="0" fillId="26" borderId="0" xfId="0" applyFont="1" applyFill="1"/>
    <xf numFmtId="0" fontId="17" fillId="17" borderId="72" xfId="0" applyFont="1" applyFill="1" applyBorder="1" applyAlignment="1">
      <alignment wrapText="1"/>
    </xf>
    <xf numFmtId="0" fontId="0" fillId="26" borderId="35" xfId="0" applyFont="1" applyFill="1" applyBorder="1"/>
    <xf numFmtId="0" fontId="0" fillId="26" borderId="36" xfId="0" applyFont="1" applyFill="1" applyBorder="1"/>
    <xf numFmtId="0" fontId="0" fillId="26" borderId="37" xfId="0" applyFont="1" applyFill="1" applyBorder="1"/>
    <xf numFmtId="0" fontId="17" fillId="23" borderId="104" xfId="16" applyFont="1" applyBorder="1" applyAlignment="1">
      <alignment vertical="center"/>
    </xf>
    <xf numFmtId="0" fontId="17" fillId="23" borderId="72" xfId="16" applyFont="1" applyBorder="1" applyAlignment="1">
      <alignment vertical="center"/>
    </xf>
    <xf numFmtId="0" fontId="0" fillId="0" borderId="83" xfId="0" applyFont="1" applyBorder="1"/>
    <xf numFmtId="0" fontId="0" fillId="0" borderId="104" xfId="0" applyFont="1" applyBorder="1" applyAlignment="1">
      <alignment wrapText="1"/>
    </xf>
    <xf numFmtId="0" fontId="0" fillId="0" borderId="72" xfId="0" applyFont="1" applyBorder="1" applyAlignment="1">
      <alignment wrapText="1"/>
    </xf>
    <xf numFmtId="0" fontId="0" fillId="21" borderId="87" xfId="0" applyFont="1" applyFill="1" applyBorder="1"/>
    <xf numFmtId="173" fontId="17" fillId="23" borderId="101" xfId="16" applyNumberFormat="1" applyFont="1" applyBorder="1"/>
    <xf numFmtId="0" fontId="0" fillId="22" borderId="87" xfId="0" applyFont="1" applyFill="1" applyBorder="1"/>
    <xf numFmtId="173" fontId="17" fillId="23" borderId="83" xfId="16" applyNumberFormat="1" applyFont="1" applyBorder="1"/>
    <xf numFmtId="0" fontId="0" fillId="26" borderId="0" xfId="0" applyFont="1" applyFill="1" applyBorder="1" applyAlignment="1">
      <alignment wrapText="1"/>
    </xf>
    <xf numFmtId="0" fontId="0" fillId="22" borderId="88" xfId="0" applyFont="1" applyFill="1" applyBorder="1"/>
    <xf numFmtId="173" fontId="17" fillId="23" borderId="56" xfId="16" applyNumberFormat="1" applyFont="1" applyBorder="1"/>
    <xf numFmtId="0" fontId="17" fillId="26" borderId="106" xfId="0" applyFont="1" applyFill="1" applyBorder="1" applyAlignment="1"/>
    <xf numFmtId="0" fontId="17" fillId="26" borderId="98" xfId="0" applyFont="1" applyFill="1" applyBorder="1" applyAlignment="1"/>
    <xf numFmtId="0" fontId="17" fillId="26" borderId="107" xfId="0" applyFont="1" applyFill="1" applyBorder="1" applyAlignment="1"/>
    <xf numFmtId="0" fontId="1" fillId="26" borderId="0" xfId="0" applyFont="1" applyFill="1" applyBorder="1"/>
    <xf numFmtId="2" fontId="13" fillId="26" borderId="0" xfId="16" applyNumberFormat="1" applyFill="1" applyBorder="1"/>
    <xf numFmtId="0" fontId="0" fillId="26" borderId="0" xfId="1" applyFont="1" applyFill="1" applyBorder="1" applyAlignment="1">
      <alignment vertical="center"/>
    </xf>
    <xf numFmtId="168" fontId="0" fillId="26" borderId="0" xfId="0" applyNumberFormat="1" applyFill="1" applyBorder="1"/>
    <xf numFmtId="0" fontId="17" fillId="17" borderId="133" xfId="0" applyFont="1" applyFill="1" applyBorder="1" applyAlignment="1">
      <alignment wrapText="1"/>
    </xf>
    <xf numFmtId="1" fontId="1" fillId="17" borderId="91" xfId="16" applyNumberFormat="1" applyFont="1" applyFill="1" applyBorder="1"/>
    <xf numFmtId="1" fontId="1" fillId="17" borderId="92" xfId="16" applyNumberFormat="1" applyFont="1" applyFill="1" applyBorder="1"/>
    <xf numFmtId="0" fontId="64" fillId="26" borderId="0" xfId="2" applyFont="1" applyFill="1" applyBorder="1"/>
    <xf numFmtId="0" fontId="56" fillId="26" borderId="0" xfId="39" applyFont="1" applyFill="1" applyBorder="1"/>
    <xf numFmtId="171" fontId="0" fillId="26" borderId="0" xfId="62" applyNumberFormat="1" applyFont="1" applyFill="1" applyBorder="1"/>
    <xf numFmtId="0" fontId="65" fillId="26" borderId="0" xfId="57" applyFont="1" applyFill="1" applyBorder="1"/>
    <xf numFmtId="2" fontId="0" fillId="26" borderId="119" xfId="0" applyNumberFormat="1" applyFill="1" applyBorder="1"/>
    <xf numFmtId="0" fontId="17" fillId="26" borderId="0" xfId="0" applyFont="1" applyFill="1" applyBorder="1" applyAlignment="1">
      <alignment horizontal="left" wrapText="1"/>
    </xf>
    <xf numFmtId="0" fontId="17" fillId="26" borderId="0" xfId="0" applyFont="1" applyFill="1" applyBorder="1" applyAlignment="1">
      <alignment horizontal="right"/>
    </xf>
    <xf numFmtId="2" fontId="17" fillId="26" borderId="0" xfId="0" applyNumberFormat="1" applyFont="1" applyFill="1" applyBorder="1" applyAlignment="1">
      <alignment horizontal="left"/>
    </xf>
    <xf numFmtId="2" fontId="0" fillId="26" borderId="0" xfId="0" applyNumberFormat="1" applyFill="1" applyBorder="1" applyAlignment="1">
      <alignment horizontal="right"/>
    </xf>
    <xf numFmtId="0" fontId="17" fillId="26" borderId="0" xfId="0" applyFont="1" applyFill="1" applyBorder="1" applyAlignment="1">
      <alignment horizontal="right" vertical="top"/>
    </xf>
    <xf numFmtId="0" fontId="17" fillId="26" borderId="0" xfId="0" applyFont="1" applyFill="1" applyBorder="1" applyAlignment="1">
      <alignment horizontal="center" vertical="center"/>
    </xf>
    <xf numFmtId="0" fontId="20" fillId="26" borderId="0" xfId="0" applyFont="1" applyFill="1"/>
    <xf numFmtId="0" fontId="45" fillId="26" borderId="9" xfId="16" applyFont="1" applyFill="1"/>
    <xf numFmtId="176" fontId="0" fillId="26" borderId="0" xfId="17" applyNumberFormat="1" applyFont="1" applyFill="1" applyBorder="1"/>
    <xf numFmtId="10" fontId="0" fillId="26" borderId="119" xfId="0" applyNumberFormat="1" applyFill="1" applyBorder="1"/>
    <xf numFmtId="0" fontId="0" fillId="26" borderId="0" xfId="0" applyFill="1" applyAlignment="1">
      <alignment horizontal="right" vertical="top"/>
    </xf>
    <xf numFmtId="0" fontId="66" fillId="26" borderId="0" xfId="0" applyFont="1" applyFill="1" applyBorder="1"/>
    <xf numFmtId="174" fontId="45" fillId="26" borderId="9" xfId="16" applyNumberFormat="1" applyFont="1" applyFill="1"/>
    <xf numFmtId="2" fontId="0" fillId="26" borderId="4" xfId="0" applyNumberFormat="1" applyFill="1" applyBorder="1"/>
    <xf numFmtId="0" fontId="20" fillId="26" borderId="0" xfId="44" applyFont="1" applyFill="1" applyBorder="1"/>
    <xf numFmtId="171" fontId="0" fillId="26" borderId="0" xfId="0" applyNumberFormat="1" applyFont="1" applyFill="1" applyBorder="1"/>
    <xf numFmtId="0" fontId="0" fillId="0" borderId="0" xfId="0" applyFont="1" applyFill="1" applyBorder="1"/>
    <xf numFmtId="0" fontId="0" fillId="0" borderId="0" xfId="0" applyFont="1" applyFill="1"/>
    <xf numFmtId="171" fontId="0" fillId="26" borderId="133" xfId="0" applyNumberFormat="1" applyFill="1" applyBorder="1"/>
    <xf numFmtId="171" fontId="0" fillId="17" borderId="133" xfId="0" applyNumberFormat="1" applyFill="1" applyBorder="1"/>
    <xf numFmtId="171" fontId="17" fillId="17" borderId="133" xfId="0" applyNumberFormat="1" applyFont="1" applyFill="1" applyBorder="1"/>
    <xf numFmtId="0" fontId="44" fillId="4" borderId="81" xfId="0" applyFont="1" applyFill="1" applyBorder="1" applyAlignment="1">
      <alignment wrapText="1"/>
    </xf>
    <xf numFmtId="171" fontId="17" fillId="23" borderId="4" xfId="16" applyNumberFormat="1" applyFont="1" applyFill="1" applyBorder="1"/>
    <xf numFmtId="171" fontId="17" fillId="23" borderId="134" xfId="16" applyNumberFormat="1" applyFont="1" applyFill="1" applyBorder="1"/>
    <xf numFmtId="171" fontId="17" fillId="23" borderId="135" xfId="16" applyNumberFormat="1" applyFont="1" applyFill="1" applyBorder="1"/>
    <xf numFmtId="171" fontId="17" fillId="23" borderId="136" xfId="16" applyNumberFormat="1" applyFont="1" applyFill="1" applyBorder="1"/>
    <xf numFmtId="171" fontId="17" fillId="17" borderId="4" xfId="0" applyNumberFormat="1" applyFont="1" applyFill="1" applyBorder="1"/>
    <xf numFmtId="171" fontId="17" fillId="17" borderId="3" xfId="0" applyNumberFormat="1" applyFont="1" applyFill="1" applyBorder="1"/>
    <xf numFmtId="0" fontId="44" fillId="4" borderId="0" xfId="0" applyFont="1" applyFill="1" applyBorder="1" applyAlignment="1">
      <alignment wrapText="1"/>
    </xf>
    <xf numFmtId="171" fontId="0" fillId="26" borderId="76" xfId="0" applyNumberFormat="1" applyFill="1" applyBorder="1"/>
    <xf numFmtId="171" fontId="0" fillId="26" borderId="124" xfId="0" applyNumberFormat="1" applyFill="1" applyBorder="1"/>
    <xf numFmtId="171" fontId="17" fillId="8" borderId="124" xfId="0" applyNumberFormat="1" applyFont="1" applyFill="1" applyBorder="1"/>
    <xf numFmtId="171" fontId="17" fillId="8" borderId="133" xfId="0" applyNumberFormat="1" applyFont="1" applyFill="1" applyBorder="1"/>
    <xf numFmtId="171" fontId="17" fillId="26" borderId="129" xfId="0" applyNumberFormat="1" applyFont="1" applyFill="1" applyBorder="1"/>
    <xf numFmtId="0" fontId="43" fillId="26" borderId="129" xfId="44" applyFont="1" applyFill="1" applyBorder="1"/>
    <xf numFmtId="0" fontId="43" fillId="8" borderId="129" xfId="44" applyFont="1" applyFill="1" applyBorder="1"/>
    <xf numFmtId="171" fontId="67" fillId="17" borderId="133" xfId="0" applyNumberFormat="1" applyFont="1" applyFill="1" applyBorder="1"/>
    <xf numFmtId="171" fontId="67" fillId="26" borderId="133" xfId="0" applyNumberFormat="1" applyFont="1" applyFill="1" applyBorder="1"/>
    <xf numFmtId="0" fontId="14" fillId="17" borderId="125" xfId="0" applyFont="1" applyFill="1" applyBorder="1" applyAlignment="1">
      <alignment wrapText="1"/>
    </xf>
    <xf numFmtId="2" fontId="17" fillId="26" borderId="125" xfId="0" applyNumberFormat="1" applyFont="1" applyFill="1" applyBorder="1"/>
    <xf numFmtId="0" fontId="14" fillId="26" borderId="121" xfId="0" applyFont="1" applyFill="1" applyBorder="1" applyAlignment="1">
      <alignment wrapText="1"/>
    </xf>
    <xf numFmtId="2" fontId="17" fillId="26" borderId="121" xfId="0" applyNumberFormat="1" applyFont="1" applyFill="1" applyBorder="1"/>
    <xf numFmtId="166" fontId="0" fillId="26" borderId="0" xfId="64" applyFont="1" applyFill="1"/>
    <xf numFmtId="1" fontId="17" fillId="26" borderId="0" xfId="0" applyNumberFormat="1" applyFont="1" applyFill="1"/>
    <xf numFmtId="9" fontId="0" fillId="26" borderId="0" xfId="0" applyNumberFormat="1" applyFill="1"/>
    <xf numFmtId="171" fontId="13" fillId="26" borderId="0" xfId="16" applyNumberFormat="1" applyFill="1" applyBorder="1"/>
    <xf numFmtId="0" fontId="71" fillId="26" borderId="0" xfId="18" applyFont="1" applyFill="1" applyBorder="1" applyAlignment="1">
      <alignment horizontal="center"/>
    </xf>
    <xf numFmtId="1" fontId="20" fillId="17" borderId="69" xfId="11" applyNumberFormat="1" applyFont="1" applyFill="1" applyBorder="1"/>
    <xf numFmtId="171" fontId="0" fillId="0" borderId="0" xfId="0" applyNumberFormat="1" applyFont="1" applyFill="1" applyBorder="1"/>
    <xf numFmtId="166" fontId="0" fillId="17" borderId="29" xfId="64" applyFont="1" applyFill="1" applyBorder="1" applyAlignment="1"/>
    <xf numFmtId="0" fontId="20" fillId="26" borderId="0" xfId="11" applyFont="1" applyFill="1" applyBorder="1"/>
    <xf numFmtId="1" fontId="12" fillId="26" borderId="0" xfId="11" applyNumberFormat="1" applyFill="1" applyBorder="1"/>
    <xf numFmtId="0" fontId="0" fillId="27" borderId="28" xfId="1" applyFont="1" applyFill="1" applyBorder="1"/>
    <xf numFmtId="172" fontId="13" fillId="26" borderId="0" xfId="16" applyNumberFormat="1" applyFill="1" applyBorder="1"/>
    <xf numFmtId="175" fontId="13" fillId="26" borderId="0" xfId="16" applyNumberFormat="1" applyFill="1" applyBorder="1"/>
    <xf numFmtId="173" fontId="12" fillId="26" borderId="0" xfId="11" applyNumberFormat="1" applyFill="1" applyBorder="1"/>
    <xf numFmtId="0" fontId="18" fillId="26" borderId="0" xfId="0" applyFont="1" applyFill="1" applyBorder="1" applyAlignment="1">
      <alignment vertical="top" wrapText="1"/>
    </xf>
    <xf numFmtId="0" fontId="17" fillId="17" borderId="42" xfId="0" applyFont="1" applyFill="1" applyBorder="1" applyAlignment="1">
      <alignment wrapText="1"/>
    </xf>
    <xf numFmtId="0" fontId="17" fillId="17" borderId="86" xfId="0" applyFont="1" applyFill="1" applyBorder="1"/>
    <xf numFmtId="2" fontId="1" fillId="23" borderId="141" xfId="61" applyFont="1" applyBorder="1"/>
    <xf numFmtId="2" fontId="1" fillId="23" borderId="45" xfId="61" applyFont="1" applyBorder="1"/>
    <xf numFmtId="0" fontId="0" fillId="31" borderId="105" xfId="0" applyFont="1" applyFill="1" applyBorder="1"/>
    <xf numFmtId="171" fontId="17" fillId="17" borderId="114" xfId="0" applyNumberFormat="1" applyFont="1" applyFill="1" applyBorder="1"/>
    <xf numFmtId="0" fontId="17" fillId="22" borderId="31" xfId="0" applyFont="1" applyFill="1" applyBorder="1" applyAlignment="1">
      <alignment wrapText="1"/>
    </xf>
    <xf numFmtId="0" fontId="17" fillId="0" borderId="54" xfId="0" applyFont="1" applyBorder="1" applyAlignment="1">
      <alignment wrapText="1"/>
    </xf>
    <xf numFmtId="171" fontId="0" fillId="17" borderId="148" xfId="0" applyNumberFormat="1" applyFill="1" applyBorder="1"/>
    <xf numFmtId="0" fontId="17" fillId="26" borderId="33" xfId="0" applyFont="1" applyFill="1" applyBorder="1"/>
    <xf numFmtId="0" fontId="20" fillId="26" borderId="0" xfId="0" applyFont="1" applyFill="1" applyBorder="1"/>
    <xf numFmtId="9" fontId="20" fillId="26" borderId="0" xfId="17" applyFont="1" applyFill="1" applyBorder="1"/>
    <xf numFmtId="0" fontId="43" fillId="26" borderId="0" xfId="0" applyFont="1" applyFill="1" applyBorder="1"/>
    <xf numFmtId="171" fontId="20" fillId="26" borderId="0" xfId="0" applyNumberFormat="1" applyFont="1" applyFill="1" applyBorder="1"/>
    <xf numFmtId="2" fontId="20" fillId="26" borderId="0" xfId="0" applyNumberFormat="1" applyFont="1" applyFill="1" applyBorder="1"/>
    <xf numFmtId="2" fontId="72" fillId="26" borderId="0" xfId="61" applyFont="1" applyFill="1" applyBorder="1"/>
    <xf numFmtId="179" fontId="0" fillId="26" borderId="0" xfId="0" applyNumberFormat="1" applyFill="1" applyBorder="1"/>
    <xf numFmtId="177" fontId="0" fillId="26" borderId="0" xfId="0" applyNumberFormat="1" applyFill="1" applyBorder="1"/>
    <xf numFmtId="180" fontId="0" fillId="26" borderId="0" xfId="0" applyNumberFormat="1" applyFill="1" applyBorder="1"/>
    <xf numFmtId="173" fontId="0" fillId="26" borderId="0" xfId="0" applyNumberFormat="1" applyFill="1"/>
    <xf numFmtId="170" fontId="0" fillId="26" borderId="0" xfId="0" applyNumberFormat="1" applyFill="1"/>
    <xf numFmtId="174" fontId="17" fillId="26" borderId="0" xfId="59" applyNumberFormat="1" applyFont="1" applyFill="1" applyBorder="1"/>
    <xf numFmtId="173" fontId="13" fillId="24" borderId="9" xfId="16" applyNumberFormat="1" applyFill="1"/>
    <xf numFmtId="170" fontId="13" fillId="26" borderId="0" xfId="16" applyNumberFormat="1" applyFill="1" applyBorder="1"/>
    <xf numFmtId="0" fontId="41" fillId="26" borderId="0" xfId="1" applyFont="1" applyFill="1" applyBorder="1"/>
    <xf numFmtId="0" fontId="41" fillId="26" borderId="0" xfId="0" applyFont="1" applyFill="1" applyBorder="1"/>
    <xf numFmtId="0" fontId="17" fillId="26" borderId="0" xfId="0" applyFont="1" applyFill="1" applyBorder="1" applyAlignment="1">
      <alignment horizontal="left" vertical="top" wrapText="1"/>
    </xf>
    <xf numFmtId="0" fontId="20" fillId="26" borderId="0" xfId="0" applyFont="1" applyFill="1" applyBorder="1" applyAlignment="1">
      <alignment vertical="top"/>
    </xf>
    <xf numFmtId="2" fontId="20" fillId="17" borderId="148" xfId="11" applyNumberFormat="1" applyFont="1" applyFill="1" applyBorder="1" applyAlignment="1">
      <alignment vertical="top"/>
    </xf>
    <xf numFmtId="0" fontId="0" fillId="26" borderId="0" xfId="0" applyFill="1" applyAlignment="1">
      <alignment wrapText="1"/>
    </xf>
    <xf numFmtId="0" fontId="20" fillId="26" borderId="0" xfId="11" applyFont="1" applyFill="1" applyBorder="1" applyAlignment="1">
      <alignment vertical="top"/>
    </xf>
    <xf numFmtId="0" fontId="62" fillId="17" borderId="0" xfId="0" applyFont="1" applyFill="1" applyBorder="1"/>
    <xf numFmtId="0" fontId="0" fillId="26" borderId="0" xfId="0" applyFill="1" applyAlignment="1">
      <alignment horizontal="left" vertical="top"/>
    </xf>
    <xf numFmtId="0" fontId="0" fillId="26" borderId="0" xfId="0" applyFill="1" applyAlignment="1">
      <alignment vertical="top" wrapText="1"/>
    </xf>
    <xf numFmtId="0" fontId="17" fillId="3" borderId="0" xfId="0" applyFont="1" applyFill="1" applyBorder="1"/>
    <xf numFmtId="0" fontId="0" fillId="26" borderId="0" xfId="0" applyFill="1" applyAlignment="1">
      <alignment horizontal="left" vertical="top" wrapText="1"/>
    </xf>
    <xf numFmtId="0" fontId="60" fillId="26" borderId="0" xfId="39" applyFont="1" applyFill="1" applyBorder="1"/>
    <xf numFmtId="0" fontId="17" fillId="26" borderId="119" xfId="0" applyFont="1" applyFill="1" applyBorder="1" applyAlignment="1">
      <alignment vertical="top"/>
    </xf>
    <xf numFmtId="0" fontId="17" fillId="26" borderId="102" xfId="0" applyFont="1" applyFill="1" applyBorder="1" applyAlignment="1">
      <alignment vertical="top"/>
    </xf>
    <xf numFmtId="0" fontId="17" fillId="26" borderId="119" xfId="0" applyFont="1" applyFill="1" applyBorder="1" applyAlignment="1">
      <alignment horizontal="center" vertical="top"/>
    </xf>
    <xf numFmtId="171" fontId="20" fillId="17" borderId="148" xfId="0" applyNumberFormat="1" applyFont="1" applyFill="1" applyBorder="1"/>
    <xf numFmtId="0" fontId="20" fillId="17" borderId="148" xfId="0" applyFont="1" applyFill="1" applyBorder="1"/>
    <xf numFmtId="0" fontId="60" fillId="26" borderId="76" xfId="39" applyFont="1" applyFill="1" applyBorder="1"/>
    <xf numFmtId="0" fontId="60" fillId="26" borderId="76" xfId="39" applyFont="1" applyFill="1" applyBorder="1" applyAlignment="1">
      <alignment vertical="top" wrapText="1"/>
    </xf>
    <xf numFmtId="0" fontId="0" fillId="0" borderId="0" xfId="0" applyBorder="1" applyAlignment="1">
      <alignment horizontal="left" vertical="center" wrapText="1"/>
    </xf>
    <xf numFmtId="0" fontId="43" fillId="26" borderId="0" xfId="0" applyFont="1" applyFill="1" applyBorder="1" applyAlignment="1">
      <alignment horizontal="center" vertical="center" wrapText="1"/>
    </xf>
    <xf numFmtId="0" fontId="60" fillId="26" borderId="0" xfId="39" applyFont="1" applyFill="1" applyBorder="1" applyAlignment="1">
      <alignment wrapText="1"/>
    </xf>
    <xf numFmtId="0" fontId="60" fillId="17" borderId="148" xfId="39" applyFont="1" applyFill="1" applyBorder="1"/>
    <xf numFmtId="2" fontId="20" fillId="17" borderId="148" xfId="11" applyNumberFormat="1" applyFont="1" applyFill="1" applyBorder="1"/>
    <xf numFmtId="10" fontId="60" fillId="17" borderId="148" xfId="17" applyNumberFormat="1" applyFont="1" applyFill="1" applyBorder="1"/>
    <xf numFmtId="176" fontId="20" fillId="17" borderId="157" xfId="0" applyNumberFormat="1" applyFont="1" applyFill="1" applyBorder="1" applyAlignment="1">
      <alignment horizontal="right" vertical="center"/>
    </xf>
    <xf numFmtId="2" fontId="20" fillId="17" borderId="102" xfId="0" applyNumberFormat="1" applyFont="1" applyFill="1" applyBorder="1" applyAlignment="1">
      <alignment horizontal="right" vertical="top" wrapText="1"/>
    </xf>
    <xf numFmtId="173" fontId="20" fillId="17" borderId="102" xfId="0" applyNumberFormat="1" applyFont="1" applyFill="1" applyBorder="1" applyAlignment="1">
      <alignment horizontal="right" vertical="top" wrapText="1"/>
    </xf>
    <xf numFmtId="174" fontId="20" fillId="17" borderId="102" xfId="0" applyNumberFormat="1" applyFont="1" applyFill="1" applyBorder="1" applyAlignment="1">
      <alignment horizontal="right" vertical="top"/>
    </xf>
    <xf numFmtId="0" fontId="20" fillId="26" borderId="0" xfId="11" applyFont="1" applyFill="1" applyBorder="1" applyAlignment="1">
      <alignment vertical="top" wrapText="1"/>
    </xf>
    <xf numFmtId="0" fontId="17" fillId="3" borderId="148" xfId="0" applyFont="1" applyFill="1" applyBorder="1" applyAlignment="1">
      <alignment horizontal="left" vertical="top" wrapText="1"/>
    </xf>
    <xf numFmtId="0" fontId="17" fillId="3" borderId="148" xfId="0" applyFont="1" applyFill="1" applyBorder="1"/>
    <xf numFmtId="0" fontId="60" fillId="26" borderId="0" xfId="39" applyFont="1" applyFill="1" applyBorder="1" applyAlignment="1">
      <alignment vertical="top"/>
    </xf>
    <xf numFmtId="0" fontId="73" fillId="17" borderId="8" xfId="0" applyFont="1" applyFill="1" applyBorder="1" applyAlignment="1">
      <alignment wrapText="1"/>
    </xf>
    <xf numFmtId="170" fontId="1" fillId="26" borderId="126" xfId="11" applyNumberFormat="1" applyFont="1" applyFill="1" applyBorder="1"/>
    <xf numFmtId="170" fontId="20" fillId="26" borderId="126" xfId="11" applyNumberFormat="1" applyFont="1" applyFill="1" applyBorder="1"/>
    <xf numFmtId="0" fontId="20" fillId="26" borderId="0" xfId="44" applyFont="1" applyFill="1" applyBorder="1" applyAlignment="1">
      <alignment vertical="top"/>
    </xf>
    <xf numFmtId="0" fontId="60" fillId="26" borderId="0" xfId="39" applyFont="1" applyFill="1" applyBorder="1" applyAlignment="1">
      <alignment vertical="top" wrapText="1"/>
    </xf>
    <xf numFmtId="0" fontId="17" fillId="3" borderId="0" xfId="0" applyFont="1" applyFill="1"/>
    <xf numFmtId="0" fontId="0" fillId="17" borderId="0" xfId="0" applyFill="1"/>
    <xf numFmtId="0" fontId="62" fillId="17" borderId="0" xfId="0" applyFont="1" applyFill="1"/>
    <xf numFmtId="0" fontId="20" fillId="26" borderId="148" xfId="0" applyFont="1" applyFill="1" applyBorder="1"/>
    <xf numFmtId="2" fontId="17" fillId="26" borderId="102" xfId="0" applyNumberFormat="1" applyFont="1" applyFill="1" applyBorder="1"/>
    <xf numFmtId="170" fontId="56" fillId="26" borderId="72" xfId="40" applyNumberFormat="1" applyFont="1" applyFill="1" applyBorder="1"/>
    <xf numFmtId="171" fontId="20" fillId="17" borderId="133" xfId="0" applyNumberFormat="1" applyFont="1" applyFill="1" applyBorder="1"/>
    <xf numFmtId="2" fontId="0" fillId="26" borderId="148" xfId="0" applyNumberFormat="1" applyFill="1" applyBorder="1"/>
    <xf numFmtId="176" fontId="20" fillId="0" borderId="0" xfId="0" applyNumberFormat="1" applyFont="1" applyBorder="1" applyAlignment="1">
      <alignment horizontal="left" vertical="top"/>
    </xf>
    <xf numFmtId="176" fontId="20" fillId="17" borderId="157" xfId="0" applyNumberFormat="1" applyFont="1" applyFill="1" applyBorder="1" applyAlignment="1">
      <alignment horizontal="right"/>
    </xf>
    <xf numFmtId="0" fontId="18" fillId="26" borderId="0" xfId="0" applyFont="1" applyFill="1" applyBorder="1" applyAlignment="1">
      <alignment horizontal="left" vertical="top"/>
    </xf>
    <xf numFmtId="0" fontId="0" fillId="17" borderId="148" xfId="0" applyFill="1" applyBorder="1" applyAlignment="1"/>
    <xf numFmtId="166" fontId="0" fillId="17" borderId="148" xfId="64" applyFont="1" applyFill="1" applyBorder="1" applyAlignment="1"/>
    <xf numFmtId="9" fontId="47" fillId="23" borderId="34" xfId="17" applyFont="1" applyFill="1" applyBorder="1" applyAlignment="1">
      <alignment horizontal="center" vertical="center"/>
    </xf>
    <xf numFmtId="0" fontId="17" fillId="26" borderId="36" xfId="0" applyFont="1" applyFill="1" applyBorder="1"/>
    <xf numFmtId="171" fontId="0" fillId="26" borderId="165" xfId="0" applyNumberFormat="1" applyFill="1" applyBorder="1"/>
    <xf numFmtId="171" fontId="0" fillId="26" borderId="36" xfId="0" applyNumberFormat="1" applyFill="1" applyBorder="1"/>
    <xf numFmtId="0" fontId="17" fillId="26" borderId="166" xfId="0" applyFont="1" applyFill="1" applyBorder="1"/>
    <xf numFmtId="171" fontId="0" fillId="26" borderId="119" xfId="0" applyNumberFormat="1" applyFill="1" applyBorder="1"/>
    <xf numFmtId="171" fontId="0" fillId="26" borderId="89" xfId="0" applyNumberFormat="1" applyFill="1" applyBorder="1"/>
    <xf numFmtId="171" fontId="0" fillId="26" borderId="121" xfId="0" applyNumberFormat="1" applyFill="1" applyBorder="1"/>
    <xf numFmtId="0" fontId="0" fillId="26" borderId="166" xfId="0" applyFill="1" applyBorder="1"/>
    <xf numFmtId="9" fontId="0" fillId="26" borderId="36" xfId="17" applyFont="1" applyFill="1" applyBorder="1"/>
    <xf numFmtId="171" fontId="67" fillId="26" borderId="0" xfId="0" applyNumberFormat="1" applyFont="1" applyFill="1" applyBorder="1"/>
    <xf numFmtId="181" fontId="0" fillId="26" borderId="0" xfId="0" applyNumberFormat="1" applyFill="1" applyBorder="1"/>
    <xf numFmtId="171" fontId="17" fillId="8" borderId="159" xfId="0" applyNumberFormat="1" applyFont="1" applyFill="1" applyBorder="1"/>
    <xf numFmtId="176" fontId="0" fillId="26" borderId="121" xfId="17" applyNumberFormat="1" applyFont="1" applyFill="1" applyBorder="1"/>
    <xf numFmtId="171" fontId="17" fillId="26" borderId="0" xfId="0" applyNumberFormat="1" applyFont="1" applyFill="1" applyBorder="1"/>
    <xf numFmtId="171" fontId="17" fillId="8" borderId="123" xfId="0" applyNumberFormat="1" applyFont="1" applyFill="1" applyBorder="1"/>
    <xf numFmtId="171" fontId="0" fillId="26" borderId="123" xfId="0" applyNumberFormat="1" applyFill="1" applyBorder="1"/>
    <xf numFmtId="171" fontId="17" fillId="26" borderId="167" xfId="0" applyNumberFormat="1" applyFont="1" applyFill="1" applyBorder="1"/>
    <xf numFmtId="171" fontId="59" fillId="26" borderId="0" xfId="0" applyNumberFormat="1" applyFont="1" applyFill="1" applyBorder="1"/>
    <xf numFmtId="0" fontId="0" fillId="3" borderId="0" xfId="0" applyFont="1" applyFill="1"/>
    <xf numFmtId="0" fontId="0" fillId="3" borderId="0" xfId="0" applyFill="1" applyBorder="1" applyAlignment="1">
      <alignment vertical="top"/>
    </xf>
    <xf numFmtId="0" fontId="0" fillId="3" borderId="0" xfId="0" applyFill="1" applyBorder="1"/>
    <xf numFmtId="176" fontId="0" fillId="3" borderId="0" xfId="17" applyNumberFormat="1" applyFont="1" applyFill="1"/>
    <xf numFmtId="171" fontId="0" fillId="3" borderId="0" xfId="0" applyNumberFormat="1" applyFill="1" applyBorder="1"/>
    <xf numFmtId="0" fontId="0" fillId="3" borderId="0" xfId="0" applyFill="1" applyBorder="1" applyAlignment="1"/>
    <xf numFmtId="0" fontId="0" fillId="3" borderId="0" xfId="0" applyFont="1" applyFill="1" applyBorder="1"/>
    <xf numFmtId="9" fontId="0" fillId="3" borderId="0" xfId="0" applyNumberFormat="1" applyFill="1" applyBorder="1"/>
    <xf numFmtId="10" fontId="0" fillId="3" borderId="0" xfId="0" applyNumberFormat="1" applyFill="1" applyBorder="1"/>
    <xf numFmtId="0" fontId="0" fillId="26" borderId="0" xfId="0" applyFill="1" applyAlignment="1">
      <alignment horizontal="left" vertical="top" wrapText="1"/>
    </xf>
    <xf numFmtId="0" fontId="3" fillId="3" borderId="0" xfId="0" applyFont="1" applyFill="1"/>
    <xf numFmtId="0" fontId="62" fillId="33" borderId="0" xfId="0" applyFont="1" applyFill="1"/>
    <xf numFmtId="0" fontId="17" fillId="33" borderId="0" xfId="0" applyFont="1" applyFill="1"/>
    <xf numFmtId="0" fontId="0" fillId="33" borderId="0" xfId="0" applyFill="1"/>
    <xf numFmtId="0" fontId="20" fillId="26" borderId="36" xfId="44" applyFont="1" applyFill="1" applyBorder="1"/>
    <xf numFmtId="0" fontId="20" fillId="26" borderId="0" xfId="0" applyFont="1" applyFill="1" applyBorder="1" applyAlignment="1">
      <alignment wrapText="1"/>
    </xf>
    <xf numFmtId="2" fontId="20" fillId="26" borderId="0" xfId="0" applyNumberFormat="1" applyFont="1" applyFill="1" applyBorder="1" applyAlignment="1">
      <alignment horizontal="right" vertical="top" wrapText="1"/>
    </xf>
    <xf numFmtId="176" fontId="20" fillId="26" borderId="126" xfId="17" applyNumberFormat="1" applyFont="1" applyFill="1" applyBorder="1"/>
    <xf numFmtId="176" fontId="17" fillId="26" borderId="102" xfId="0" applyNumberFormat="1" applyFont="1" applyFill="1" applyBorder="1"/>
    <xf numFmtId="0" fontId="0" fillId="26" borderId="0" xfId="0" applyFill="1" applyBorder="1" applyAlignment="1">
      <alignment horizontal="left" vertical="top"/>
    </xf>
    <xf numFmtId="0" fontId="0" fillId="26" borderId="0" xfId="0" applyFill="1" applyBorder="1" applyAlignment="1">
      <alignment horizontal="left" vertical="top" wrapText="1"/>
    </xf>
    <xf numFmtId="0" fontId="10" fillId="4" borderId="54" xfId="0" applyFont="1" applyFill="1" applyBorder="1" applyAlignment="1">
      <alignment wrapText="1"/>
    </xf>
    <xf numFmtId="0" fontId="17" fillId="26" borderId="121" xfId="0" applyFont="1" applyFill="1" applyBorder="1"/>
    <xf numFmtId="1" fontId="1" fillId="17" borderId="71" xfId="11" applyNumberFormat="1" applyFont="1" applyFill="1" applyBorder="1"/>
    <xf numFmtId="0" fontId="1" fillId="23" borderId="148" xfId="16" applyFont="1" applyBorder="1" applyAlignment="1">
      <alignment vertical="top"/>
    </xf>
    <xf numFmtId="171" fontId="20" fillId="17" borderId="148" xfId="0" applyNumberFormat="1" applyFont="1" applyFill="1" applyBorder="1" applyAlignment="1">
      <alignment vertical="top"/>
    </xf>
    <xf numFmtId="0" fontId="0" fillId="26" borderId="0" xfId="0" applyFill="1" applyBorder="1" applyAlignment="1">
      <alignment horizontal="left"/>
    </xf>
    <xf numFmtId="0" fontId="0" fillId="26" borderId="162" xfId="0" applyFill="1" applyBorder="1"/>
    <xf numFmtId="0" fontId="0" fillId="26" borderId="170" xfId="0" applyFill="1" applyBorder="1"/>
    <xf numFmtId="0" fontId="0" fillId="26" borderId="160" xfId="0" applyFill="1" applyBorder="1"/>
    <xf numFmtId="0" fontId="0" fillId="26" borderId="121" xfId="0" applyFill="1" applyBorder="1"/>
    <xf numFmtId="0" fontId="0" fillId="26" borderId="161" xfId="0" applyFill="1" applyBorder="1"/>
    <xf numFmtId="1" fontId="0" fillId="26" borderId="162" xfId="0" applyNumberFormat="1" applyFill="1" applyBorder="1"/>
    <xf numFmtId="9" fontId="0" fillId="26" borderId="162" xfId="17" applyFont="1" applyFill="1" applyBorder="1"/>
    <xf numFmtId="9" fontId="0" fillId="26" borderId="162" xfId="0" applyNumberFormat="1" applyFill="1" applyBorder="1"/>
    <xf numFmtId="0" fontId="52" fillId="26" borderId="170" xfId="0" applyFont="1" applyFill="1" applyBorder="1"/>
    <xf numFmtId="0" fontId="52" fillId="26" borderId="160" xfId="0" applyFont="1" applyFill="1" applyBorder="1"/>
    <xf numFmtId="0" fontId="17" fillId="26" borderId="159" xfId="0" applyFont="1" applyFill="1" applyBorder="1"/>
    <xf numFmtId="0" fontId="17" fillId="26" borderId="168" xfId="0" applyFont="1" applyFill="1" applyBorder="1"/>
    <xf numFmtId="0" fontId="17" fillId="26" borderId="156" xfId="0" applyFont="1" applyFill="1" applyBorder="1"/>
    <xf numFmtId="173" fontId="0" fillId="26" borderId="0" xfId="0" applyNumberFormat="1" applyFill="1" applyBorder="1"/>
    <xf numFmtId="2" fontId="0" fillId="26" borderId="162" xfId="0" applyNumberFormat="1" applyFill="1" applyBorder="1"/>
    <xf numFmtId="0" fontId="17" fillId="26" borderId="170" xfId="0" applyFont="1" applyFill="1" applyBorder="1"/>
    <xf numFmtId="0" fontId="0" fillId="26" borderId="168" xfId="0" applyFill="1" applyBorder="1"/>
    <xf numFmtId="0" fontId="0" fillId="26" borderId="156" xfId="0" applyFill="1" applyBorder="1"/>
    <xf numFmtId="0" fontId="17" fillId="26" borderId="0" xfId="0" applyFont="1" applyFill="1" applyBorder="1" applyAlignment="1">
      <alignment vertical="top"/>
    </xf>
    <xf numFmtId="174" fontId="0" fillId="26" borderId="0" xfId="0" applyNumberFormat="1" applyFill="1" applyBorder="1"/>
    <xf numFmtId="174" fontId="0" fillId="26" borderId="162" xfId="0" applyNumberFormat="1" applyFill="1" applyBorder="1"/>
    <xf numFmtId="0" fontId="17" fillId="26" borderId="79" xfId="0" applyFont="1" applyFill="1" applyBorder="1"/>
    <xf numFmtId="173" fontId="0" fillId="26" borderId="162" xfId="0" applyNumberFormat="1" applyFill="1" applyBorder="1"/>
    <xf numFmtId="174" fontId="0" fillId="26" borderId="78" xfId="0" applyNumberFormat="1" applyFill="1" applyBorder="1"/>
    <xf numFmtId="173" fontId="0" fillId="26" borderId="78" xfId="0" applyNumberFormat="1" applyFill="1" applyBorder="1"/>
    <xf numFmtId="9" fontId="0" fillId="26" borderId="0" xfId="17" quotePrefix="1" applyFont="1" applyFill="1" applyBorder="1"/>
    <xf numFmtId="0" fontId="17" fillId="32" borderId="73" xfId="0" applyFont="1" applyFill="1" applyBorder="1"/>
    <xf numFmtId="0" fontId="0" fillId="32" borderId="67" xfId="0" applyFill="1" applyBorder="1"/>
    <xf numFmtId="0" fontId="0" fillId="32" borderId="70" xfId="0" applyFill="1" applyBorder="1"/>
    <xf numFmtId="0" fontId="17" fillId="32" borderId="159" xfId="0" applyFont="1" applyFill="1" applyBorder="1"/>
    <xf numFmtId="0" fontId="0" fillId="32" borderId="168" xfId="0" applyFill="1" applyBorder="1"/>
    <xf numFmtId="0" fontId="0" fillId="32" borderId="156" xfId="0" applyFill="1" applyBorder="1"/>
    <xf numFmtId="0" fontId="13" fillId="23" borderId="96" xfId="16" applyBorder="1"/>
    <xf numFmtId="0" fontId="17" fillId="0" borderId="171" xfId="0" applyFont="1" applyBorder="1"/>
    <xf numFmtId="0" fontId="0" fillId="26" borderId="0" xfId="0" applyFont="1" applyFill="1" applyAlignment="1">
      <alignment vertical="top"/>
    </xf>
    <xf numFmtId="0" fontId="0" fillId="26" borderId="0" xfId="0" quotePrefix="1" applyFont="1" applyFill="1"/>
    <xf numFmtId="0" fontId="17" fillId="17" borderId="0" xfId="0" applyFont="1" applyFill="1"/>
    <xf numFmtId="0" fontId="74" fillId="26" borderId="0" xfId="0" applyFont="1" applyFill="1"/>
    <xf numFmtId="0" fontId="62" fillId="32" borderId="0" xfId="0" applyFont="1" applyFill="1" applyBorder="1"/>
    <xf numFmtId="0" fontId="42" fillId="32" borderId="0" xfId="1" applyFont="1" applyFill="1" applyBorder="1" applyAlignment="1">
      <alignment vertical="center"/>
    </xf>
    <xf numFmtId="0" fontId="0" fillId="32" borderId="0" xfId="0" applyFill="1" applyBorder="1"/>
    <xf numFmtId="0" fontId="0" fillId="17" borderId="0" xfId="0" applyFill="1" applyBorder="1"/>
    <xf numFmtId="0" fontId="20" fillId="17" borderId="0" xfId="0" applyFont="1" applyFill="1" applyBorder="1" applyAlignment="1">
      <alignment wrapText="1"/>
    </xf>
    <xf numFmtId="2" fontId="20" fillId="17" borderId="0" xfId="0" applyNumberFormat="1" applyFont="1" applyFill="1" applyBorder="1" applyAlignment="1">
      <alignment horizontal="right" vertical="top" wrapText="1"/>
    </xf>
    <xf numFmtId="0" fontId="20" fillId="17" borderId="0" xfId="0" applyFont="1" applyFill="1" applyBorder="1" applyAlignment="1">
      <alignment vertical="top"/>
    </xf>
    <xf numFmtId="0" fontId="0" fillId="26" borderId="33" xfId="0" applyFont="1" applyFill="1" applyBorder="1"/>
    <xf numFmtId="1" fontId="0" fillId="26" borderId="0" xfId="0" applyNumberFormat="1" applyFont="1" applyFill="1"/>
    <xf numFmtId="0" fontId="0" fillId="26" borderId="34" xfId="0" applyFont="1" applyFill="1" applyBorder="1"/>
    <xf numFmtId="0" fontId="62" fillId="17" borderId="31" xfId="0" applyFont="1" applyFill="1" applyBorder="1"/>
    <xf numFmtId="0" fontId="0" fillId="17" borderId="4" xfId="0" applyFont="1" applyFill="1" applyBorder="1"/>
    <xf numFmtId="0" fontId="0" fillId="17" borderId="32" xfId="0" applyFont="1" applyFill="1" applyBorder="1"/>
    <xf numFmtId="0" fontId="53" fillId="17" borderId="31" xfId="0" applyFont="1" applyFill="1" applyBorder="1"/>
    <xf numFmtId="9" fontId="0" fillId="17" borderId="4" xfId="17" applyFont="1" applyFill="1" applyBorder="1" applyAlignment="1">
      <alignment vertical="center"/>
    </xf>
    <xf numFmtId="0" fontId="0" fillId="17" borderId="4" xfId="1" applyFont="1" applyFill="1" applyBorder="1" applyAlignment="1">
      <alignment vertical="center"/>
    </xf>
    <xf numFmtId="0" fontId="53" fillId="17" borderId="0" xfId="0" applyFont="1" applyFill="1"/>
    <xf numFmtId="0" fontId="52" fillId="26" borderId="0" xfId="0" applyFont="1" applyFill="1"/>
    <xf numFmtId="171" fontId="17" fillId="17" borderId="102" xfId="0" applyNumberFormat="1" applyFont="1" applyFill="1" applyBorder="1"/>
    <xf numFmtId="0" fontId="20" fillId="26" borderId="0" xfId="0" applyFont="1" applyFill="1" applyBorder="1" applyAlignment="1"/>
    <xf numFmtId="9" fontId="72" fillId="26" borderId="0" xfId="17" applyFont="1" applyFill="1" applyBorder="1"/>
    <xf numFmtId="0" fontId="0" fillId="0" borderId="159" xfId="0" applyFill="1" applyBorder="1"/>
    <xf numFmtId="1" fontId="68" fillId="34" borderId="0" xfId="0" applyNumberFormat="1" applyFont="1" applyFill="1" applyBorder="1"/>
    <xf numFmtId="0" fontId="70" fillId="26" borderId="0" xfId="0" applyFont="1" applyFill="1" applyBorder="1"/>
    <xf numFmtId="9" fontId="68" fillId="35" borderId="0" xfId="0" applyNumberFormat="1" applyFont="1" applyFill="1" applyBorder="1"/>
    <xf numFmtId="0" fontId="69" fillId="26" borderId="0" xfId="0" applyFont="1" applyFill="1" applyBorder="1"/>
    <xf numFmtId="1" fontId="68" fillId="26" borderId="0" xfId="0" applyNumberFormat="1" applyFont="1" applyFill="1" applyBorder="1"/>
    <xf numFmtId="173" fontId="68" fillId="26" borderId="0" xfId="0" applyNumberFormat="1" applyFont="1" applyFill="1" applyBorder="1"/>
    <xf numFmtId="0" fontId="0" fillId="0" borderId="158" xfId="0" applyBorder="1"/>
    <xf numFmtId="0" fontId="0" fillId="0" borderId="148" xfId="0" applyBorder="1" applyAlignment="1">
      <alignment wrapText="1"/>
    </xf>
    <xf numFmtId="0" fontId="0" fillId="0" borderId="148" xfId="0" applyFill="1" applyBorder="1" applyAlignment="1">
      <alignment wrapText="1"/>
    </xf>
    <xf numFmtId="0" fontId="0" fillId="0" borderId="159" xfId="0" applyBorder="1"/>
    <xf numFmtId="9" fontId="0" fillId="26" borderId="170" xfId="0" applyNumberFormat="1" applyFill="1" applyBorder="1"/>
    <xf numFmtId="166" fontId="0" fillId="26" borderId="79" xfId="0" applyNumberFormat="1" applyFill="1" applyBorder="1"/>
    <xf numFmtId="177" fontId="13" fillId="26" borderId="159" xfId="16" applyNumberFormat="1" applyFill="1" applyBorder="1"/>
    <xf numFmtId="2" fontId="13" fillId="26" borderId="158" xfId="16" applyNumberFormat="1" applyFill="1" applyBorder="1"/>
    <xf numFmtId="0" fontId="0" fillId="0" borderId="148" xfId="0" applyFill="1" applyBorder="1"/>
    <xf numFmtId="0" fontId="0" fillId="0" borderId="177" xfId="0" applyBorder="1"/>
    <xf numFmtId="2" fontId="47" fillId="23" borderId="152" xfId="61" applyBorder="1" applyAlignment="1">
      <alignment horizontal="center" vertical="center"/>
    </xf>
    <xf numFmtId="0" fontId="17" fillId="26" borderId="55" xfId="0" applyFont="1" applyFill="1" applyBorder="1" applyAlignment="1">
      <alignment horizontal="center" vertical="center" wrapText="1"/>
    </xf>
    <xf numFmtId="0" fontId="5" fillId="3" borderId="31" xfId="0" applyFont="1" applyFill="1" applyBorder="1" applyAlignment="1">
      <alignment vertical="center"/>
    </xf>
    <xf numFmtId="0" fontId="5" fillId="3" borderId="4" xfId="0" applyFont="1" applyFill="1" applyBorder="1" applyAlignment="1">
      <alignment vertical="center"/>
    </xf>
    <xf numFmtId="0" fontId="5" fillId="3" borderId="32" xfId="0" applyFont="1" applyFill="1" applyBorder="1" applyAlignment="1">
      <alignment vertical="center"/>
    </xf>
    <xf numFmtId="0" fontId="0" fillId="17" borderId="189" xfId="0" applyFill="1" applyBorder="1" applyAlignment="1">
      <alignment horizontal="left" wrapText="1"/>
    </xf>
    <xf numFmtId="0" fontId="0" fillId="17" borderId="186" xfId="0" applyFill="1" applyBorder="1" applyAlignment="1">
      <alignment horizontal="left" wrapText="1"/>
    </xf>
    <xf numFmtId="9" fontId="47" fillId="23" borderId="69" xfId="17" applyFont="1" applyFill="1" applyBorder="1"/>
    <xf numFmtId="2" fontId="47" fillId="23" borderId="69" xfId="17" applyNumberFormat="1" applyFont="1" applyFill="1" applyBorder="1"/>
    <xf numFmtId="11" fontId="47" fillId="23" borderId="69" xfId="17" applyNumberFormat="1" applyFont="1" applyFill="1" applyBorder="1"/>
    <xf numFmtId="0" fontId="0" fillId="17" borderId="190" xfId="0" applyFill="1" applyBorder="1" applyAlignment="1">
      <alignment horizontal="left" wrapText="1"/>
    </xf>
    <xf numFmtId="0" fontId="0" fillId="17" borderId="187" xfId="0" applyFill="1" applyBorder="1" applyAlignment="1">
      <alignment horizontal="left" wrapText="1"/>
    </xf>
    <xf numFmtId="9" fontId="47" fillId="23" borderId="174" xfId="17" applyFont="1" applyFill="1" applyBorder="1"/>
    <xf numFmtId="9" fontId="47" fillId="23" borderId="191" xfId="17" applyFont="1" applyFill="1" applyBorder="1"/>
    <xf numFmtId="0" fontId="0" fillId="26" borderId="0" xfId="1" applyFont="1" applyFill="1" applyBorder="1" applyAlignment="1"/>
    <xf numFmtId="0" fontId="0" fillId="0" borderId="182" xfId="0" applyBorder="1"/>
    <xf numFmtId="9" fontId="13" fillId="23" borderId="194" xfId="16" applyNumberFormat="1" applyBorder="1"/>
    <xf numFmtId="0" fontId="0" fillId="26" borderId="137" xfId="0" applyFont="1" applyFill="1" applyBorder="1" applyAlignment="1">
      <alignment vertical="center"/>
    </xf>
    <xf numFmtId="0" fontId="0" fillId="26" borderId="137" xfId="0" applyFont="1" applyFill="1" applyBorder="1" applyAlignment="1">
      <alignment vertical="center" wrapText="1"/>
    </xf>
    <xf numFmtId="0" fontId="0" fillId="26" borderId="137" xfId="0" applyFont="1" applyFill="1" applyBorder="1"/>
    <xf numFmtId="173" fontId="13" fillId="24" borderId="194" xfId="16" applyNumberFormat="1" applyFill="1" applyBorder="1"/>
    <xf numFmtId="174" fontId="13" fillId="24" borderId="194" xfId="16" applyNumberFormat="1" applyFill="1" applyBorder="1"/>
    <xf numFmtId="0" fontId="0" fillId="33" borderId="177" xfId="0" applyFill="1" applyBorder="1" applyAlignment="1">
      <alignment wrapText="1"/>
    </xf>
    <xf numFmtId="0" fontId="0" fillId="33" borderId="102" xfId="0" applyFill="1" applyBorder="1" applyAlignment="1">
      <alignment wrapText="1"/>
    </xf>
    <xf numFmtId="0" fontId="0" fillId="33" borderId="182" xfId="0" applyFill="1" applyBorder="1" applyAlignment="1">
      <alignment wrapText="1"/>
    </xf>
    <xf numFmtId="0" fontId="0" fillId="33" borderId="186" xfId="0" applyFill="1" applyBorder="1" applyAlignment="1"/>
    <xf numFmtId="0" fontId="20" fillId="33" borderId="0" xfId="0" applyFont="1" applyFill="1" applyBorder="1" applyAlignment="1"/>
    <xf numFmtId="0" fontId="0" fillId="33" borderId="187" xfId="0" applyFill="1" applyBorder="1" applyAlignment="1"/>
    <xf numFmtId="0" fontId="0" fillId="33" borderId="148" xfId="0" applyFill="1" applyBorder="1" applyAlignment="1">
      <alignment wrapText="1"/>
    </xf>
    <xf numFmtId="0" fontId="0" fillId="33" borderId="68" xfId="0" applyFill="1" applyBorder="1" applyAlignment="1">
      <alignment wrapText="1"/>
    </xf>
    <xf numFmtId="0" fontId="0" fillId="33" borderId="55" xfId="0" applyFill="1" applyBorder="1" applyAlignment="1">
      <alignment wrapText="1"/>
    </xf>
    <xf numFmtId="0" fontId="0" fillId="17" borderId="0" xfId="0" applyFont="1" applyFill="1"/>
    <xf numFmtId="1" fontId="0" fillId="17" borderId="0" xfId="0" applyNumberFormat="1" applyFont="1" applyFill="1"/>
    <xf numFmtId="0" fontId="0" fillId="17" borderId="0" xfId="0" applyFont="1" applyFill="1" applyBorder="1"/>
    <xf numFmtId="1" fontId="0" fillId="26" borderId="0" xfId="0" applyNumberFormat="1" applyFont="1" applyFill="1" applyBorder="1"/>
    <xf numFmtId="0" fontId="56" fillId="26" borderId="0" xfId="39" applyFont="1" applyFill="1" applyBorder="1" applyAlignment="1">
      <alignment horizontal="left"/>
    </xf>
    <xf numFmtId="0" fontId="0" fillId="26" borderId="130" xfId="0" applyFont="1" applyFill="1" applyBorder="1" applyAlignment="1">
      <alignment horizontal="left" vertical="top" wrapText="1"/>
    </xf>
    <xf numFmtId="0" fontId="0" fillId="26" borderId="0" xfId="0" applyFont="1" applyFill="1" applyBorder="1" applyAlignment="1">
      <alignment horizontal="center"/>
    </xf>
    <xf numFmtId="0" fontId="0" fillId="26" borderId="33" xfId="0" applyFont="1" applyFill="1" applyBorder="1" applyAlignment="1">
      <alignment vertical="top"/>
    </xf>
    <xf numFmtId="0" fontId="0" fillId="26" borderId="52" xfId="0" applyFont="1" applyFill="1" applyBorder="1" applyAlignment="1">
      <alignment horizontal="center" wrapText="1"/>
    </xf>
    <xf numFmtId="1" fontId="0" fillId="26" borderId="149" xfId="0" applyNumberFormat="1" applyFont="1" applyFill="1" applyBorder="1" applyAlignment="1">
      <alignment horizontal="left" vertical="top" wrapText="1"/>
    </xf>
    <xf numFmtId="0" fontId="0" fillId="26" borderId="3" xfId="0" applyFont="1" applyFill="1" applyBorder="1" applyAlignment="1"/>
    <xf numFmtId="0" fontId="0" fillId="26" borderId="149" xfId="0" applyFont="1" applyFill="1" applyBorder="1" applyAlignment="1"/>
    <xf numFmtId="0" fontId="0" fillId="26" borderId="52" xfId="0" applyFont="1" applyFill="1" applyBorder="1" applyAlignment="1"/>
    <xf numFmtId="0" fontId="0" fillId="26" borderId="139" xfId="0" applyFont="1" applyFill="1" applyBorder="1" applyAlignment="1"/>
    <xf numFmtId="0" fontId="0" fillId="26" borderId="36" xfId="0" applyFont="1" applyFill="1" applyBorder="1" applyAlignment="1">
      <alignment wrapText="1"/>
    </xf>
    <xf numFmtId="0" fontId="0" fillId="26" borderId="155" xfId="0" applyFont="1" applyFill="1" applyBorder="1"/>
    <xf numFmtId="0" fontId="0" fillId="0" borderId="42" xfId="0" applyFont="1" applyBorder="1"/>
    <xf numFmtId="0" fontId="0" fillId="0" borderId="85" xfId="0" applyFont="1" applyBorder="1" applyAlignment="1">
      <alignment wrapText="1"/>
    </xf>
    <xf numFmtId="0" fontId="0" fillId="0" borderId="100" xfId="0" applyFont="1" applyBorder="1" applyAlignment="1">
      <alignment wrapText="1"/>
    </xf>
    <xf numFmtId="1" fontId="0" fillId="0" borderId="100" xfId="0" applyNumberFormat="1" applyFont="1" applyBorder="1" applyAlignment="1">
      <alignment wrapText="1"/>
    </xf>
    <xf numFmtId="0" fontId="0" fillId="0" borderId="151" xfId="0" applyFont="1" applyBorder="1" applyAlignment="1">
      <alignment wrapText="1"/>
    </xf>
    <xf numFmtId="0" fontId="0" fillId="0" borderId="151" xfId="0" applyFont="1" applyBorder="1"/>
    <xf numFmtId="0" fontId="0" fillId="0" borderId="89" xfId="0" applyFont="1" applyBorder="1" applyAlignment="1">
      <alignment wrapText="1"/>
    </xf>
    <xf numFmtId="0" fontId="0" fillId="0" borderId="169" xfId="0" applyFont="1" applyBorder="1" applyAlignment="1">
      <alignment wrapText="1"/>
    </xf>
    <xf numFmtId="0" fontId="0" fillId="0" borderId="4" xfId="0" applyFont="1" applyBorder="1" applyAlignment="1">
      <alignment wrapText="1"/>
    </xf>
    <xf numFmtId="0" fontId="0" fillId="23" borderId="39" xfId="16" applyFont="1" applyBorder="1" applyAlignment="1">
      <alignment vertical="center"/>
    </xf>
    <xf numFmtId="0" fontId="0" fillId="23" borderId="131" xfId="16" applyFont="1" applyBorder="1" applyAlignment="1">
      <alignment vertical="center"/>
    </xf>
    <xf numFmtId="0" fontId="0" fillId="0" borderId="38" xfId="0" applyFont="1" applyBorder="1" applyAlignment="1">
      <alignment horizontal="center" vertical="center"/>
    </xf>
    <xf numFmtId="0" fontId="0" fillId="21" borderId="150" xfId="0" applyFont="1" applyFill="1" applyBorder="1"/>
    <xf numFmtId="0" fontId="0" fillId="17" borderId="140" xfId="0" applyFont="1" applyFill="1" applyBorder="1"/>
    <xf numFmtId="0" fontId="0" fillId="17" borderId="148" xfId="11" applyFont="1" applyFill="1" applyBorder="1"/>
    <xf numFmtId="0" fontId="0" fillId="17" borderId="102" xfId="11" applyNumberFormat="1" applyFont="1" applyFill="1" applyBorder="1"/>
    <xf numFmtId="1" fontId="0" fillId="17" borderId="148" xfId="11" applyNumberFormat="1" applyFont="1" applyFill="1" applyBorder="1"/>
    <xf numFmtId="1" fontId="0" fillId="17" borderId="23" xfId="11" applyNumberFormat="1" applyFont="1" applyFill="1" applyBorder="1"/>
    <xf numFmtId="0" fontId="0" fillId="17" borderId="23" xfId="11" applyFont="1" applyFill="1" applyBorder="1"/>
    <xf numFmtId="0" fontId="0" fillId="17" borderId="102" xfId="11" applyFont="1" applyFill="1" applyBorder="1"/>
    <xf numFmtId="2" fontId="0" fillId="17" borderId="148" xfId="11" applyNumberFormat="1" applyFont="1" applyFill="1" applyBorder="1"/>
    <xf numFmtId="43" fontId="0" fillId="17" borderId="148" xfId="11" applyNumberFormat="1" applyFont="1" applyFill="1" applyBorder="1"/>
    <xf numFmtId="171" fontId="0" fillId="17" borderId="148" xfId="0" applyNumberFormat="1" applyFont="1" applyFill="1" applyBorder="1"/>
    <xf numFmtId="0" fontId="0" fillId="17" borderId="66" xfId="11" applyFont="1" applyFill="1" applyBorder="1"/>
    <xf numFmtId="9" fontId="0" fillId="17" borderId="140" xfId="11" applyNumberFormat="1" applyFont="1" applyFill="1" applyBorder="1"/>
    <xf numFmtId="9" fontId="0" fillId="17" borderId="148" xfId="11" applyNumberFormat="1" applyFont="1" applyFill="1" applyBorder="1"/>
    <xf numFmtId="9" fontId="17" fillId="23" borderId="152" xfId="16" applyNumberFormat="1" applyFont="1" applyBorder="1"/>
    <xf numFmtId="0" fontId="0" fillId="22" borderId="150" xfId="0" applyFont="1" applyFill="1" applyBorder="1"/>
    <xf numFmtId="0" fontId="0" fillId="17" borderId="148" xfId="11" applyNumberFormat="1" applyFont="1" applyFill="1" applyBorder="1"/>
    <xf numFmtId="1" fontId="0" fillId="17" borderId="52" xfId="11" applyNumberFormat="1" applyFont="1" applyFill="1" applyBorder="1"/>
    <xf numFmtId="0" fontId="0" fillId="17" borderId="52" xfId="11" applyFont="1" applyFill="1" applyBorder="1"/>
    <xf numFmtId="3" fontId="0" fillId="17" borderId="148" xfId="11" applyNumberFormat="1" applyFont="1" applyFill="1" applyBorder="1"/>
    <xf numFmtId="0" fontId="0" fillId="17" borderId="152" xfId="11" applyFont="1" applyFill="1" applyBorder="1"/>
    <xf numFmtId="0" fontId="0" fillId="17" borderId="168" xfId="11" applyFont="1" applyFill="1" applyBorder="1"/>
    <xf numFmtId="1" fontId="0" fillId="17" borderId="147" xfId="11" applyNumberFormat="1" applyFont="1" applyFill="1" applyBorder="1"/>
    <xf numFmtId="0" fontId="0" fillId="17" borderId="147" xfId="11" applyFont="1" applyFill="1" applyBorder="1"/>
    <xf numFmtId="171" fontId="0" fillId="17" borderId="147" xfId="0" applyNumberFormat="1" applyFont="1" applyFill="1" applyBorder="1"/>
    <xf numFmtId="9" fontId="17" fillId="23" borderId="56" xfId="16" applyNumberFormat="1" applyFont="1" applyBorder="1"/>
    <xf numFmtId="0" fontId="17" fillId="0" borderId="85" xfId="0" applyFont="1" applyBorder="1" applyAlignment="1">
      <alignment wrapText="1"/>
    </xf>
    <xf numFmtId="0" fontId="17" fillId="26" borderId="162" xfId="0" applyFont="1" applyFill="1" applyBorder="1"/>
    <xf numFmtId="0" fontId="62" fillId="26" borderId="0" xfId="0" applyFont="1" applyFill="1" applyAlignment="1"/>
    <xf numFmtId="0" fontId="0" fillId="26" borderId="0" xfId="0" quotePrefix="1" applyFill="1" applyAlignment="1">
      <alignment horizontal="left" vertical="top"/>
    </xf>
    <xf numFmtId="0" fontId="18" fillId="3" borderId="0" xfId="0" applyFont="1" applyFill="1"/>
    <xf numFmtId="0" fontId="0" fillId="26" borderId="0" xfId="0" applyFill="1" applyAlignment="1">
      <alignment vertical="top" wrapText="1"/>
    </xf>
    <xf numFmtId="9" fontId="13" fillId="17" borderId="66" xfId="16" applyNumberFormat="1" applyFont="1" applyFill="1" applyBorder="1" applyAlignment="1">
      <alignment vertical="center"/>
    </xf>
    <xf numFmtId="9" fontId="13" fillId="17" borderId="58" xfId="16" applyNumberFormat="1" applyFont="1" applyFill="1" applyBorder="1" applyAlignment="1">
      <alignment vertical="center"/>
    </xf>
    <xf numFmtId="9" fontId="57" fillId="17" borderId="69" xfId="17" applyNumberFormat="1" applyFont="1" applyFill="1" applyBorder="1"/>
    <xf numFmtId="9" fontId="46" fillId="17" borderId="122" xfId="39" applyNumberFormat="1" applyFont="1" applyFill="1" applyBorder="1" applyAlignment="1">
      <alignment vertical="center"/>
    </xf>
    <xf numFmtId="9" fontId="46" fillId="17" borderId="179" xfId="39" applyNumberFormat="1" applyFont="1" applyFill="1" applyBorder="1" applyAlignment="1">
      <alignment vertical="center"/>
    </xf>
    <xf numFmtId="1" fontId="46" fillId="17" borderId="181" xfId="39" applyNumberFormat="1" applyFont="1" applyFill="1" applyBorder="1" applyAlignment="1">
      <alignment vertical="center"/>
    </xf>
    <xf numFmtId="9" fontId="46" fillId="17" borderId="181" xfId="39" applyNumberFormat="1" applyFont="1" applyFill="1" applyBorder="1" applyAlignment="1">
      <alignment vertical="center"/>
    </xf>
    <xf numFmtId="11" fontId="46" fillId="17" borderId="181" xfId="39" applyNumberFormat="1" applyFont="1" applyFill="1" applyBorder="1" applyAlignment="1">
      <alignment vertical="center"/>
    </xf>
    <xf numFmtId="11" fontId="46" fillId="17" borderId="183" xfId="39" applyNumberFormat="1" applyFont="1" applyFill="1" applyBorder="1" applyAlignment="1">
      <alignment vertical="center"/>
    </xf>
    <xf numFmtId="9" fontId="46" fillId="17" borderId="56" xfId="39" applyNumberFormat="1" applyFont="1" applyFill="1" applyBorder="1" applyAlignment="1">
      <alignment vertical="center"/>
    </xf>
    <xf numFmtId="9" fontId="60" fillId="17" borderId="184" xfId="39" applyNumberFormat="1" applyFont="1" applyFill="1" applyBorder="1" applyAlignment="1">
      <alignment vertical="center"/>
    </xf>
    <xf numFmtId="0" fontId="60" fillId="17" borderId="181" xfId="39" applyFont="1" applyFill="1" applyBorder="1" applyAlignment="1">
      <alignment vertical="center"/>
    </xf>
    <xf numFmtId="9" fontId="60" fillId="17" borderId="181" xfId="39" applyNumberFormat="1" applyFont="1" applyFill="1" applyBorder="1" applyAlignment="1">
      <alignment vertical="center"/>
    </xf>
    <xf numFmtId="2" fontId="60" fillId="17" borderId="181" xfId="39" applyNumberFormat="1" applyFont="1" applyFill="1" applyBorder="1" applyAlignment="1">
      <alignment vertical="center"/>
    </xf>
    <xf numFmtId="0" fontId="46" fillId="17" borderId="181" xfId="39" applyFont="1" applyFill="1" applyBorder="1" applyAlignment="1">
      <alignment vertical="center"/>
    </xf>
    <xf numFmtId="0" fontId="0" fillId="17" borderId="102" xfId="0" applyFont="1" applyFill="1" applyBorder="1" applyAlignment="1">
      <alignment wrapText="1"/>
    </xf>
    <xf numFmtId="9" fontId="57" fillId="17" borderId="69" xfId="17" applyFont="1" applyFill="1" applyBorder="1"/>
    <xf numFmtId="9" fontId="20" fillId="17" borderId="0" xfId="17" applyFont="1" applyFill="1" applyBorder="1"/>
    <xf numFmtId="9" fontId="57" fillId="17" borderId="59" xfId="17" applyFont="1" applyFill="1" applyBorder="1"/>
    <xf numFmtId="2" fontId="0" fillId="17" borderId="182" xfId="0" applyNumberFormat="1" applyFont="1" applyFill="1" applyBorder="1"/>
    <xf numFmtId="9" fontId="0" fillId="17" borderId="182" xfId="17" applyFont="1" applyFill="1" applyBorder="1"/>
    <xf numFmtId="171" fontId="17" fillId="17" borderId="182" xfId="0" applyNumberFormat="1" applyFont="1" applyFill="1" applyBorder="1"/>
    <xf numFmtId="2" fontId="20" fillId="17" borderId="182" xfId="11" applyNumberFormat="1" applyFont="1" applyFill="1" applyBorder="1" applyAlignment="1">
      <alignment vertical="top"/>
    </xf>
    <xf numFmtId="173" fontId="13" fillId="26" borderId="0" xfId="16" applyNumberFormat="1" applyFill="1" applyBorder="1"/>
    <xf numFmtId="0" fontId="0" fillId="0" borderId="182" xfId="0" applyFill="1" applyBorder="1" applyAlignment="1">
      <alignment wrapText="1"/>
    </xf>
    <xf numFmtId="0" fontId="0" fillId="0" borderId="102" xfId="0" applyFill="1" applyBorder="1" applyAlignment="1">
      <alignment wrapText="1"/>
    </xf>
    <xf numFmtId="2" fontId="13" fillId="23" borderId="198" xfId="16" applyNumberFormat="1" applyBorder="1"/>
    <xf numFmtId="174" fontId="43" fillId="26" borderId="0" xfId="59" applyNumberFormat="1" applyFont="1" applyFill="1" applyBorder="1"/>
    <xf numFmtId="174" fontId="13" fillId="26" borderId="0" xfId="16" applyNumberFormat="1" applyFill="1" applyBorder="1"/>
    <xf numFmtId="178" fontId="13" fillId="26" borderId="0" xfId="16" applyNumberFormat="1" applyFill="1" applyBorder="1"/>
    <xf numFmtId="0" fontId="0" fillId="0" borderId="182" xfId="0" applyFont="1" applyBorder="1" applyAlignment="1">
      <alignment wrapText="1"/>
    </xf>
    <xf numFmtId="2" fontId="57" fillId="23" borderId="196" xfId="61" applyFont="1" applyBorder="1"/>
    <xf numFmtId="2" fontId="57" fillId="23" borderId="197" xfId="61" applyFont="1" applyBorder="1"/>
    <xf numFmtId="2" fontId="45" fillId="23" borderId="182" xfId="16" applyNumberFormat="1" applyFont="1" applyBorder="1"/>
    <xf numFmtId="173" fontId="45" fillId="23" borderId="182" xfId="16" applyNumberFormat="1" applyFont="1" applyBorder="1"/>
    <xf numFmtId="179" fontId="45" fillId="23" borderId="102" xfId="16" applyNumberFormat="1" applyFont="1" applyBorder="1"/>
    <xf numFmtId="174" fontId="45" fillId="23" borderId="173" xfId="16" applyNumberFormat="1" applyFont="1" applyBorder="1"/>
    <xf numFmtId="174" fontId="45" fillId="23" borderId="182" xfId="16" applyNumberFormat="1" applyFont="1" applyBorder="1"/>
    <xf numFmtId="2" fontId="20" fillId="23" borderId="195" xfId="16" applyNumberFormat="1" applyFont="1" applyBorder="1"/>
    <xf numFmtId="0" fontId="20" fillId="23" borderId="195" xfId="16" applyFont="1" applyBorder="1"/>
    <xf numFmtId="173" fontId="20" fillId="23" borderId="195" xfId="16" applyNumberFormat="1" applyFont="1" applyBorder="1"/>
    <xf numFmtId="0" fontId="20" fillId="0" borderId="195" xfId="0" applyFont="1" applyBorder="1"/>
    <xf numFmtId="2" fontId="20" fillId="23" borderId="199" xfId="16" applyNumberFormat="1" applyFont="1" applyBorder="1"/>
    <xf numFmtId="2" fontId="20" fillId="23" borderId="200" xfId="16" applyNumberFormat="1" applyFont="1" applyBorder="1"/>
    <xf numFmtId="174" fontId="20" fillId="17" borderId="159" xfId="59" applyNumberFormat="1" applyFont="1" applyFill="1" applyBorder="1"/>
    <xf numFmtId="174" fontId="20" fillId="17" borderId="182" xfId="59" applyNumberFormat="1" applyFont="1" applyFill="1" applyBorder="1"/>
    <xf numFmtId="174" fontId="45" fillId="23" borderId="148" xfId="16" applyNumberFormat="1" applyFont="1" applyBorder="1"/>
    <xf numFmtId="0" fontId="0" fillId="0" borderId="173" xfId="0" applyFont="1" applyBorder="1"/>
    <xf numFmtId="2" fontId="57" fillId="23" borderId="201" xfId="61" applyNumberFormat="1" applyFont="1" applyBorder="1"/>
    <xf numFmtId="2" fontId="45" fillId="23" borderId="192" xfId="16" applyNumberFormat="1" applyFont="1" applyBorder="1"/>
    <xf numFmtId="2" fontId="47" fillId="23" borderId="182" xfId="61" applyFont="1" applyBorder="1"/>
    <xf numFmtId="2" fontId="45" fillId="23" borderId="175" xfId="16" applyNumberFormat="1" applyFont="1" applyBorder="1"/>
    <xf numFmtId="173" fontId="45" fillId="26" borderId="173" xfId="16" applyNumberFormat="1" applyFont="1" applyFill="1" applyBorder="1"/>
    <xf numFmtId="2" fontId="45" fillId="23" borderId="176" xfId="16" applyNumberFormat="1" applyFont="1" applyBorder="1"/>
    <xf numFmtId="2" fontId="45" fillId="26" borderId="102" xfId="16" applyNumberFormat="1" applyFont="1" applyFill="1" applyBorder="1"/>
    <xf numFmtId="0" fontId="20" fillId="26" borderId="156" xfId="0" applyFont="1" applyFill="1" applyBorder="1" applyAlignment="1">
      <alignment vertical="top" wrapText="1"/>
    </xf>
    <xf numFmtId="0" fontId="20" fillId="26" borderId="156" xfId="0" applyFont="1" applyFill="1" applyBorder="1" applyAlignment="1">
      <alignment horizontal="left" vertical="top" wrapText="1"/>
    </xf>
    <xf numFmtId="0" fontId="17" fillId="26" borderId="173" xfId="0" applyFont="1" applyFill="1" applyBorder="1" applyAlignment="1">
      <alignment vertical="top"/>
    </xf>
    <xf numFmtId="0" fontId="20" fillId="26" borderId="161" xfId="0" applyFont="1" applyFill="1" applyBorder="1" applyAlignment="1">
      <alignment horizontal="left" vertical="top" wrapText="1"/>
    </xf>
    <xf numFmtId="0" fontId="20" fillId="26" borderId="156" xfId="0" applyFont="1" applyFill="1" applyBorder="1" applyAlignment="1">
      <alignment wrapText="1"/>
    </xf>
    <xf numFmtId="0" fontId="17" fillId="26" borderId="173" xfId="0" applyFont="1" applyFill="1" applyBorder="1"/>
    <xf numFmtId="0" fontId="17" fillId="26" borderId="119" xfId="0" applyFont="1" applyFill="1" applyBorder="1" applyAlignment="1"/>
    <xf numFmtId="0" fontId="17" fillId="26" borderId="0" xfId="0" applyFont="1" applyFill="1" applyAlignment="1">
      <alignment vertical="top" wrapText="1"/>
    </xf>
    <xf numFmtId="171" fontId="0" fillId="17" borderId="182" xfId="0" applyNumberFormat="1" applyFill="1" applyBorder="1"/>
    <xf numFmtId="43" fontId="20" fillId="26" borderId="0" xfId="62" applyNumberFormat="1" applyFont="1" applyFill="1" applyBorder="1"/>
    <xf numFmtId="0" fontId="12" fillId="17" borderId="182" xfId="11" applyFill="1" applyBorder="1"/>
    <xf numFmtId="0" fontId="18" fillId="26" borderId="0" xfId="11" applyFont="1" applyFill="1" applyBorder="1" applyAlignment="1">
      <alignment wrapText="1"/>
    </xf>
    <xf numFmtId="0" fontId="0" fillId="31" borderId="7" xfId="0" applyFont="1" applyFill="1" applyBorder="1"/>
    <xf numFmtId="0" fontId="0" fillId="17" borderId="103" xfId="11" applyFont="1" applyFill="1" applyBorder="1"/>
    <xf numFmtId="43" fontId="0" fillId="17" borderId="23" xfId="11" applyNumberFormat="1" applyFont="1" applyFill="1" applyBorder="1"/>
    <xf numFmtId="0" fontId="0" fillId="17" borderId="79" xfId="11" applyFont="1" applyFill="1" applyBorder="1"/>
    <xf numFmtId="173" fontId="0" fillId="17" borderId="105" xfId="11" applyNumberFormat="1" applyFont="1" applyFill="1" applyBorder="1"/>
    <xf numFmtId="173" fontId="0" fillId="17" borderId="6" xfId="11" applyNumberFormat="1" applyFont="1" applyFill="1" applyBorder="1"/>
    <xf numFmtId="1" fontId="0" fillId="17" borderId="168" xfId="11" applyNumberFormat="1" applyFont="1" applyFill="1" applyBorder="1"/>
    <xf numFmtId="2" fontId="18" fillId="26" borderId="182" xfId="11" applyNumberFormat="1" applyFont="1" applyFill="1" applyBorder="1" applyAlignment="1">
      <alignment horizontal="center"/>
    </xf>
    <xf numFmtId="171" fontId="18" fillId="26" borderId="23" xfId="11" applyNumberFormat="1" applyFont="1" applyFill="1" applyBorder="1"/>
    <xf numFmtId="2" fontId="20" fillId="17" borderId="182" xfId="11" applyNumberFormat="1" applyFont="1" applyFill="1" applyBorder="1"/>
    <xf numFmtId="2" fontId="20" fillId="17" borderId="182" xfId="17" applyNumberFormat="1" applyFont="1" applyFill="1" applyBorder="1"/>
    <xf numFmtId="0" fontId="20" fillId="26" borderId="0" xfId="0" quotePrefix="1" applyFont="1" applyFill="1"/>
    <xf numFmtId="181" fontId="0" fillId="26" borderId="0" xfId="0" applyNumberFormat="1" applyFill="1"/>
    <xf numFmtId="170" fontId="20" fillId="17" borderId="182" xfId="11" applyNumberFormat="1" applyFont="1" applyFill="1" applyBorder="1"/>
    <xf numFmtId="0" fontId="43" fillId="33" borderId="0" xfId="0" applyFont="1" applyFill="1"/>
    <xf numFmtId="43" fontId="0" fillId="17" borderId="182" xfId="0" applyNumberFormat="1" applyFont="1" applyFill="1" applyBorder="1"/>
    <xf numFmtId="43" fontId="17" fillId="17" borderId="182" xfId="0" applyNumberFormat="1" applyFont="1" applyFill="1" applyBorder="1"/>
    <xf numFmtId="181" fontId="17" fillId="17" borderId="182" xfId="0" applyNumberFormat="1" applyFont="1" applyFill="1" applyBorder="1"/>
    <xf numFmtId="0" fontId="0" fillId="31" borderId="204" xfId="0" applyFont="1" applyFill="1" applyBorder="1"/>
    <xf numFmtId="9" fontId="1" fillId="26" borderId="0" xfId="17" applyFont="1" applyFill="1" applyBorder="1"/>
    <xf numFmtId="0" fontId="0" fillId="26" borderId="0" xfId="0" quotePrefix="1" applyFill="1" applyBorder="1"/>
    <xf numFmtId="0" fontId="20" fillId="17" borderId="148" xfId="11" applyFont="1" applyFill="1" applyBorder="1"/>
    <xf numFmtId="173" fontId="43" fillId="24" borderId="194" xfId="16" applyNumberFormat="1" applyFont="1" applyFill="1" applyBorder="1"/>
    <xf numFmtId="0" fontId="0" fillId="26" borderId="0" xfId="0" quotePrefix="1" applyFill="1" applyAlignment="1">
      <alignment horizontal="left" vertical="top" wrapText="1"/>
    </xf>
    <xf numFmtId="0" fontId="4" fillId="26" borderId="0" xfId="2" applyFill="1" applyAlignment="1">
      <alignment horizontal="left" vertical="top" wrapText="1"/>
    </xf>
    <xf numFmtId="0" fontId="75" fillId="26" borderId="0" xfId="0" applyFont="1" applyFill="1"/>
    <xf numFmtId="0" fontId="0" fillId="32" borderId="0" xfId="0" applyFill="1"/>
    <xf numFmtId="0" fontId="0" fillId="17" borderId="186" xfId="0" applyFill="1" applyBorder="1" applyAlignment="1">
      <alignment horizontal="left" vertical="top" wrapText="1"/>
    </xf>
    <xf numFmtId="0" fontId="0" fillId="26" borderId="102" xfId="0" applyFont="1" applyFill="1" applyBorder="1" applyAlignment="1">
      <alignment vertical="center"/>
    </xf>
    <xf numFmtId="0" fontId="0" fillId="26" borderId="161" xfId="0" applyFont="1" applyFill="1" applyBorder="1" applyAlignment="1"/>
    <xf numFmtId="0" fontId="0" fillId="26" borderId="0" xfId="0" applyFill="1" applyBorder="1" applyAlignment="1">
      <alignment horizontal="left" vertical="center"/>
    </xf>
    <xf numFmtId="0" fontId="0" fillId="26" borderId="202" xfId="0" applyFill="1" applyBorder="1" applyAlignment="1">
      <alignment horizontal="left" vertical="center"/>
    </xf>
    <xf numFmtId="0" fontId="0" fillId="17" borderId="203" xfId="0" applyFill="1" applyBorder="1" applyAlignment="1">
      <alignment horizontal="left" vertical="top" wrapText="1"/>
    </xf>
    <xf numFmtId="171" fontId="20" fillId="6" borderId="148" xfId="11" applyNumberFormat="1" applyFont="1" applyFill="1" applyBorder="1" applyProtection="1">
      <protection locked="0"/>
    </xf>
    <xf numFmtId="2" fontId="20" fillId="6" borderId="182" xfId="11" applyNumberFormat="1" applyFont="1" applyBorder="1" applyProtection="1">
      <protection locked="0"/>
    </xf>
    <xf numFmtId="2" fontId="20" fillId="6" borderId="72" xfId="11" applyNumberFormat="1" applyFont="1" applyFill="1" applyBorder="1" applyAlignment="1" applyProtection="1">
      <alignment horizontal="center" vertical="top"/>
      <protection locked="0"/>
    </xf>
    <xf numFmtId="9" fontId="20" fillId="6" borderId="148" xfId="17" applyFont="1" applyFill="1" applyBorder="1" applyProtection="1">
      <protection locked="0"/>
    </xf>
    <xf numFmtId="9" fontId="20" fillId="6" borderId="148" xfId="17" applyFont="1" applyFill="1" applyBorder="1" applyAlignment="1" applyProtection="1">
      <alignment vertical="top"/>
      <protection locked="0"/>
    </xf>
    <xf numFmtId="171" fontId="20" fillId="6" borderId="72" xfId="11" applyNumberFormat="1" applyFont="1" applyFill="1" applyBorder="1" applyAlignment="1" applyProtection="1">
      <alignment vertical="top" wrapText="1"/>
      <protection locked="0"/>
    </xf>
    <xf numFmtId="43" fontId="20" fillId="30" borderId="182" xfId="62" applyNumberFormat="1" applyFont="1" applyFill="1" applyBorder="1" applyProtection="1">
      <protection locked="0"/>
    </xf>
    <xf numFmtId="43" fontId="20" fillId="30" borderId="148" xfId="62" applyNumberFormat="1" applyFont="1" applyFill="1" applyBorder="1" applyProtection="1">
      <protection locked="0"/>
    </xf>
    <xf numFmtId="2" fontId="20" fillId="6" borderId="182" xfId="11" applyNumberFormat="1" applyFont="1" applyFill="1" applyBorder="1" applyAlignment="1" applyProtection="1">
      <alignment horizontal="center" vertical="top"/>
      <protection locked="0"/>
    </xf>
    <xf numFmtId="9" fontId="20" fillId="6" borderId="156" xfId="17" applyFont="1" applyFill="1" applyBorder="1" applyProtection="1">
      <protection locked="0"/>
    </xf>
    <xf numFmtId="2" fontId="20" fillId="6" borderId="148" xfId="11" applyNumberFormat="1" applyFont="1" applyBorder="1" applyAlignment="1" applyProtection="1">
      <alignment vertical="top"/>
      <protection locked="0"/>
    </xf>
    <xf numFmtId="176" fontId="20" fillId="6" borderId="148" xfId="17" applyNumberFormat="1" applyFont="1" applyFill="1" applyBorder="1" applyProtection="1">
      <protection locked="0"/>
    </xf>
    <xf numFmtId="2" fontId="20" fillId="6" borderId="148" xfId="11" applyNumberFormat="1" applyFont="1" applyFill="1" applyBorder="1" applyProtection="1">
      <protection locked="0"/>
    </xf>
    <xf numFmtId="2" fontId="20" fillId="6" borderId="148" xfId="11" applyNumberFormat="1" applyFont="1" applyFill="1" applyBorder="1" applyAlignment="1" applyProtection="1">
      <alignment vertical="top"/>
      <protection locked="0"/>
    </xf>
    <xf numFmtId="176" fontId="20" fillId="30" borderId="148" xfId="17" applyNumberFormat="1" applyFont="1" applyFill="1" applyBorder="1" applyAlignment="1" applyProtection="1">
      <protection locked="0"/>
    </xf>
    <xf numFmtId="176" fontId="20" fillId="30" borderId="157" xfId="0" applyNumberFormat="1" applyFont="1" applyFill="1" applyBorder="1" applyAlignment="1" applyProtection="1">
      <alignment horizontal="right" vertical="top"/>
      <protection locked="0"/>
    </xf>
    <xf numFmtId="176" fontId="20" fillId="30" borderId="148" xfId="17" applyNumberFormat="1" applyFont="1" applyFill="1" applyBorder="1" applyAlignment="1" applyProtection="1">
      <alignment vertical="top"/>
      <protection locked="0"/>
    </xf>
    <xf numFmtId="0" fontId="0" fillId="6" borderId="104" xfId="11" applyFont="1" applyBorder="1" applyProtection="1">
      <protection locked="0"/>
    </xf>
    <xf numFmtId="0" fontId="0" fillId="6" borderId="72" xfId="11" applyFont="1" applyBorder="1" applyProtection="1">
      <protection locked="0"/>
    </xf>
    <xf numFmtId="0" fontId="0" fillId="6" borderId="102" xfId="11" applyFont="1" applyBorder="1" applyProtection="1">
      <protection locked="0"/>
    </xf>
    <xf numFmtId="43" fontId="0" fillId="6" borderId="72" xfId="11" applyNumberFormat="1" applyFont="1" applyFill="1" applyBorder="1" applyProtection="1">
      <protection locked="0"/>
    </xf>
    <xf numFmtId="43" fontId="20" fillId="6" borderId="72" xfId="11" applyNumberFormat="1" applyFont="1" applyFill="1" applyBorder="1" applyProtection="1">
      <protection locked="0"/>
    </xf>
    <xf numFmtId="0" fontId="0" fillId="6" borderId="55" xfId="11" applyFont="1" applyBorder="1" applyProtection="1">
      <protection locked="0"/>
    </xf>
    <xf numFmtId="0" fontId="0" fillId="6" borderId="111" xfId="11" applyFont="1" applyBorder="1" applyProtection="1">
      <protection locked="0"/>
    </xf>
    <xf numFmtId="43" fontId="0" fillId="6" borderId="111" xfId="11" applyNumberFormat="1" applyFont="1" applyFill="1" applyBorder="1" applyProtection="1">
      <protection locked="0"/>
    </xf>
    <xf numFmtId="0" fontId="0" fillId="6" borderId="73" xfId="11" applyFont="1" applyBorder="1" applyProtection="1">
      <protection locked="0"/>
    </xf>
    <xf numFmtId="173" fontId="0" fillId="6" borderId="45" xfId="11" applyNumberFormat="1" applyFont="1" applyBorder="1" applyProtection="1">
      <protection locked="0"/>
    </xf>
    <xf numFmtId="173" fontId="0" fillId="6" borderId="1" xfId="11" applyNumberFormat="1" applyFont="1" applyBorder="1" applyProtection="1">
      <protection locked="0"/>
    </xf>
    <xf numFmtId="0" fontId="20" fillId="6" borderId="72" xfId="11" applyFont="1" applyBorder="1" applyProtection="1">
      <protection locked="0"/>
    </xf>
    <xf numFmtId="0" fontId="0" fillId="6" borderId="56" xfId="11" applyFont="1" applyBorder="1" applyProtection="1">
      <protection locked="0"/>
    </xf>
    <xf numFmtId="173" fontId="0" fillId="6" borderId="47" xfId="11" applyNumberFormat="1" applyFont="1" applyBorder="1" applyProtection="1">
      <protection locked="0"/>
    </xf>
    <xf numFmtId="173" fontId="0" fillId="6" borderId="48" xfId="11" applyNumberFormat="1" applyFont="1" applyBorder="1" applyProtection="1">
      <protection locked="0"/>
    </xf>
    <xf numFmtId="0" fontId="0" fillId="17" borderId="153" xfId="0" applyFont="1" applyFill="1" applyBorder="1"/>
    <xf numFmtId="0" fontId="0" fillId="17" borderId="109" xfId="0" applyFont="1" applyFill="1" applyBorder="1"/>
    <xf numFmtId="0" fontId="0" fillId="0" borderId="109" xfId="0" applyFont="1" applyBorder="1" applyProtection="1">
      <protection locked="0"/>
    </xf>
    <xf numFmtId="0" fontId="0" fillId="6" borderId="148" xfId="11" applyFont="1" applyBorder="1" applyProtection="1">
      <protection locked="0"/>
    </xf>
    <xf numFmtId="0" fontId="0" fillId="6" borderId="148" xfId="11" applyNumberFormat="1" applyFont="1" applyBorder="1" applyProtection="1">
      <protection locked="0"/>
    </xf>
    <xf numFmtId="0" fontId="20" fillId="0" borderId="109" xfId="0" applyFont="1" applyBorder="1" applyProtection="1">
      <protection locked="0"/>
    </xf>
    <xf numFmtId="0" fontId="20" fillId="6" borderId="148" xfId="11" applyFont="1" applyBorder="1" applyProtection="1">
      <protection locked="0"/>
    </xf>
    <xf numFmtId="0" fontId="0" fillId="0" borderId="140" xfId="0" applyFont="1" applyBorder="1" applyProtection="1">
      <protection locked="0"/>
    </xf>
    <xf numFmtId="0" fontId="0" fillId="0" borderId="55" xfId="0" applyFont="1" applyBorder="1" applyProtection="1">
      <protection locked="0"/>
    </xf>
    <xf numFmtId="0" fontId="0" fillId="6" borderId="147" xfId="11" applyFont="1" applyBorder="1" applyProtection="1">
      <protection locked="0"/>
    </xf>
    <xf numFmtId="0" fontId="0" fillId="6" borderId="147" xfId="11" applyNumberFormat="1" applyFont="1" applyBorder="1" applyProtection="1">
      <protection locked="0"/>
    </xf>
    <xf numFmtId="0" fontId="0" fillId="6" borderId="102" xfId="11" applyNumberFormat="1" applyFont="1" applyBorder="1" applyProtection="1">
      <protection locked="0"/>
    </xf>
    <xf numFmtId="1" fontId="0" fillId="6" borderId="52" xfId="11" applyNumberFormat="1" applyFont="1" applyBorder="1" applyProtection="1">
      <protection locked="0"/>
    </xf>
    <xf numFmtId="1" fontId="0" fillId="6" borderId="112" xfId="11" applyNumberFormat="1" applyFont="1" applyBorder="1" applyProtection="1">
      <protection locked="0"/>
    </xf>
    <xf numFmtId="0" fontId="0" fillId="6" borderId="52" xfId="11" applyFont="1" applyBorder="1" applyProtection="1">
      <protection locked="0"/>
    </xf>
    <xf numFmtId="2" fontId="0" fillId="6" borderId="52" xfId="11" applyNumberFormat="1" applyFont="1" applyBorder="1" applyProtection="1">
      <protection locked="0"/>
    </xf>
    <xf numFmtId="174" fontId="0" fillId="6" borderId="52" xfId="11" applyNumberFormat="1" applyFont="1" applyBorder="1" applyProtection="1">
      <protection locked="0"/>
    </xf>
    <xf numFmtId="174" fontId="0" fillId="6" borderId="148" xfId="11" applyNumberFormat="1" applyFont="1" applyBorder="1" applyProtection="1">
      <protection locked="0"/>
    </xf>
    <xf numFmtId="2" fontId="20" fillId="6" borderId="52" xfId="11" applyNumberFormat="1" applyFont="1" applyBorder="1" applyProtection="1">
      <protection locked="0"/>
    </xf>
    <xf numFmtId="2" fontId="0" fillId="6" borderId="148" xfId="11" applyNumberFormat="1" applyFont="1" applyBorder="1" applyProtection="1">
      <protection locked="0"/>
    </xf>
    <xf numFmtId="43" fontId="0" fillId="6" borderId="23" xfId="11" applyNumberFormat="1" applyFont="1" applyFill="1" applyBorder="1" applyProtection="1">
      <protection locked="0"/>
    </xf>
    <xf numFmtId="43" fontId="0" fillId="6" borderId="52" xfId="11" applyNumberFormat="1" applyFont="1" applyFill="1" applyBorder="1" applyProtection="1">
      <protection locked="0"/>
    </xf>
    <xf numFmtId="43" fontId="0" fillId="6" borderId="148" xfId="11" applyNumberFormat="1" applyFont="1" applyFill="1" applyBorder="1" applyProtection="1">
      <protection locked="0"/>
    </xf>
    <xf numFmtId="0" fontId="0" fillId="6" borderId="89" xfId="11" applyFont="1" applyBorder="1" applyProtection="1">
      <protection locked="0"/>
    </xf>
    <xf numFmtId="43" fontId="0" fillId="6" borderId="147" xfId="11" applyNumberFormat="1" applyFont="1" applyFill="1" applyBorder="1" applyProtection="1">
      <protection locked="0"/>
    </xf>
    <xf numFmtId="3" fontId="0" fillId="6" borderId="102" xfId="11" applyNumberFormat="1" applyFont="1" applyBorder="1" applyProtection="1">
      <protection locked="0"/>
    </xf>
    <xf numFmtId="3" fontId="0" fillId="6" borderId="148" xfId="11" applyNumberFormat="1" applyFont="1" applyBorder="1" applyProtection="1">
      <protection locked="0"/>
    </xf>
    <xf numFmtId="3" fontId="0" fillId="6" borderId="100" xfId="11" applyNumberFormat="1" applyFont="1" applyBorder="1" applyProtection="1">
      <protection locked="0"/>
    </xf>
    <xf numFmtId="0" fontId="0" fillId="6" borderId="152" xfId="11" applyFont="1" applyBorder="1" applyProtection="1">
      <protection locked="0"/>
    </xf>
    <xf numFmtId="0" fontId="0" fillId="6" borderId="154" xfId="11" applyFont="1" applyBorder="1" applyProtection="1">
      <protection locked="0"/>
    </xf>
    <xf numFmtId="9" fontId="0" fillId="6" borderId="140" xfId="11" applyNumberFormat="1" applyFont="1" applyBorder="1" applyProtection="1">
      <protection locked="0"/>
    </xf>
    <xf numFmtId="9" fontId="0" fillId="6" borderId="148" xfId="11" applyNumberFormat="1" applyFont="1" applyBorder="1" applyProtection="1">
      <protection locked="0"/>
    </xf>
    <xf numFmtId="9" fontId="0" fillId="6" borderId="55" xfId="11" applyNumberFormat="1" applyFont="1" applyBorder="1" applyProtection="1">
      <protection locked="0"/>
    </xf>
    <xf numFmtId="9" fontId="0" fillId="6" borderId="147" xfId="11" applyNumberFormat="1" applyFont="1" applyBorder="1" applyProtection="1">
      <protection locked="0"/>
    </xf>
    <xf numFmtId="9" fontId="56" fillId="30" borderId="63" xfId="39" applyNumberFormat="1" applyFont="1" applyFill="1" applyBorder="1" applyProtection="1">
      <protection locked="0"/>
    </xf>
    <xf numFmtId="9" fontId="56" fillId="30" borderId="64" xfId="39" applyNumberFormat="1" applyFont="1" applyFill="1" applyBorder="1" applyProtection="1">
      <protection locked="0"/>
    </xf>
    <xf numFmtId="9" fontId="56" fillId="30" borderId="65" xfId="39" applyNumberFormat="1" applyFont="1" applyFill="1" applyBorder="1" applyProtection="1">
      <protection locked="0"/>
    </xf>
    <xf numFmtId="9" fontId="56" fillId="30" borderId="60" xfId="39" applyNumberFormat="1" applyFont="1" applyFill="1" applyBorder="1" applyProtection="1">
      <protection locked="0"/>
    </xf>
    <xf numFmtId="9" fontId="1" fillId="30" borderId="45" xfId="11" applyNumberFormat="1" applyFont="1" applyFill="1" applyBorder="1" applyProtection="1">
      <protection locked="0"/>
    </xf>
    <xf numFmtId="9" fontId="1" fillId="30" borderId="1" xfId="11" applyNumberFormat="1" applyFont="1" applyFill="1" applyBorder="1" applyProtection="1">
      <protection locked="0"/>
    </xf>
    <xf numFmtId="9" fontId="1" fillId="6" borderId="45" xfId="11" applyNumberFormat="1" applyFont="1" applyBorder="1" applyProtection="1">
      <protection locked="0"/>
    </xf>
    <xf numFmtId="9" fontId="1" fillId="6" borderId="1" xfId="11" applyNumberFormat="1" applyFont="1" applyBorder="1" applyProtection="1">
      <protection locked="0"/>
    </xf>
    <xf numFmtId="9" fontId="1" fillId="6" borderId="47" xfId="11" applyNumberFormat="1" applyFont="1" applyBorder="1" applyProtection="1">
      <protection locked="0"/>
    </xf>
    <xf numFmtId="9" fontId="1" fillId="6" borderId="48" xfId="11" applyNumberFormat="1" applyFont="1" applyBorder="1" applyProtection="1">
      <protection locked="0"/>
    </xf>
    <xf numFmtId="1" fontId="1" fillId="6" borderId="143" xfId="11" applyNumberFormat="1" applyFont="1" applyBorder="1" applyProtection="1">
      <protection locked="0"/>
    </xf>
    <xf numFmtId="1" fontId="1" fillId="6" borderId="145" xfId="11" applyNumberFormat="1" applyFont="1" applyBorder="1" applyProtection="1">
      <protection locked="0"/>
    </xf>
    <xf numFmtId="1" fontId="1" fillId="6" borderId="146" xfId="11" applyNumberFormat="1" applyFont="1" applyBorder="1" applyProtection="1">
      <protection locked="0"/>
    </xf>
    <xf numFmtId="9" fontId="56" fillId="30" borderId="142" xfId="39" applyNumberFormat="1" applyFont="1" applyFill="1" applyBorder="1" applyProtection="1">
      <protection locked="0"/>
    </xf>
    <xf numFmtId="9" fontId="56" fillId="30" borderId="144" xfId="39" applyNumberFormat="1" applyFont="1" applyFill="1" applyBorder="1" applyProtection="1">
      <protection locked="0"/>
    </xf>
    <xf numFmtId="43" fontId="0" fillId="5" borderId="82" xfId="0" applyNumberFormat="1" applyFont="1" applyFill="1" applyBorder="1" applyProtection="1">
      <protection locked="0"/>
    </xf>
    <xf numFmtId="43" fontId="0" fillId="5" borderId="90" xfId="0" applyNumberFormat="1" applyFont="1" applyFill="1" applyBorder="1" applyProtection="1">
      <protection locked="0"/>
    </xf>
    <xf numFmtId="43" fontId="0" fillId="5" borderId="6" xfId="0" applyNumberFormat="1" applyFont="1" applyFill="1" applyBorder="1" applyProtection="1">
      <protection locked="0"/>
    </xf>
    <xf numFmtId="43" fontId="0" fillId="5" borderId="5" xfId="0" applyNumberFormat="1" applyFont="1" applyFill="1" applyBorder="1" applyProtection="1">
      <protection locked="0"/>
    </xf>
    <xf numFmtId="43" fontId="0" fillId="5" borderId="7" xfId="0" applyNumberFormat="1" applyFont="1" applyFill="1" applyBorder="1" applyProtection="1">
      <protection locked="0"/>
    </xf>
    <xf numFmtId="43" fontId="0" fillId="5" borderId="94" xfId="0" applyNumberFormat="1" applyFont="1" applyFill="1" applyBorder="1" applyProtection="1">
      <protection locked="0"/>
    </xf>
    <xf numFmtId="43" fontId="0" fillId="5" borderId="95" xfId="0" applyNumberFormat="1" applyFont="1" applyFill="1" applyBorder="1" applyProtection="1">
      <protection locked="0"/>
    </xf>
    <xf numFmtId="0" fontId="0" fillId="5" borderId="105" xfId="0" applyFont="1" applyFill="1" applyBorder="1" applyProtection="1">
      <protection locked="0"/>
    </xf>
    <xf numFmtId="0" fontId="0" fillId="5" borderId="50" xfId="0" applyFont="1" applyFill="1" applyBorder="1" applyProtection="1">
      <protection locked="0"/>
    </xf>
    <xf numFmtId="0" fontId="1" fillId="6" borderId="45" xfId="11" applyFont="1" applyBorder="1" applyProtection="1">
      <protection locked="0"/>
    </xf>
    <xf numFmtId="0" fontId="1" fillId="6" borderId="51" xfId="11" applyFont="1" applyFill="1" applyBorder="1" applyProtection="1">
      <protection locked="0"/>
    </xf>
    <xf numFmtId="0" fontId="0" fillId="5" borderId="50" xfId="0" applyFont="1" applyFill="1" applyBorder="1" applyAlignment="1" applyProtection="1">
      <alignment wrapText="1"/>
      <protection locked="0"/>
    </xf>
    <xf numFmtId="0" fontId="1" fillId="6" borderId="47" xfId="11" applyFont="1" applyBorder="1" applyProtection="1">
      <protection locked="0"/>
    </xf>
    <xf numFmtId="0" fontId="1" fillId="6" borderId="48" xfId="11" applyFont="1" applyFill="1" applyBorder="1" applyProtection="1">
      <protection locked="0"/>
    </xf>
    <xf numFmtId="2" fontId="20" fillId="30" borderId="182" xfId="11" applyNumberFormat="1" applyFont="1" applyFill="1" applyBorder="1" applyProtection="1">
      <protection locked="0"/>
    </xf>
    <xf numFmtId="43" fontId="20" fillId="30" borderId="182" xfId="11" applyNumberFormat="1" applyFont="1" applyFill="1" applyBorder="1" applyProtection="1">
      <protection locked="0"/>
    </xf>
    <xf numFmtId="9" fontId="20" fillId="30" borderId="119" xfId="17" applyFont="1" applyFill="1" applyBorder="1" applyProtection="1">
      <protection locked="0"/>
    </xf>
    <xf numFmtId="43" fontId="20" fillId="30" borderId="203" xfId="11" applyNumberFormat="1" applyFont="1" applyFill="1" applyBorder="1" applyProtection="1">
      <protection locked="0"/>
    </xf>
    <xf numFmtId="176" fontId="20" fillId="30" borderId="182" xfId="17" applyNumberFormat="1" applyFont="1" applyFill="1" applyBorder="1" applyProtection="1">
      <protection locked="0"/>
    </xf>
    <xf numFmtId="176" fontId="20" fillId="30" borderId="202" xfId="17" applyNumberFormat="1" applyFont="1" applyFill="1" applyBorder="1" applyProtection="1">
      <protection locked="0"/>
    </xf>
    <xf numFmtId="9" fontId="20" fillId="30" borderId="182" xfId="17" applyFont="1" applyFill="1" applyBorder="1" applyProtection="1">
      <protection locked="0"/>
    </xf>
    <xf numFmtId="2" fontId="0" fillId="30" borderId="182" xfId="11" applyNumberFormat="1" applyFont="1" applyFill="1" applyBorder="1" applyProtection="1">
      <protection locked="0"/>
    </xf>
    <xf numFmtId="9" fontId="0" fillId="30" borderId="182" xfId="17" applyFont="1" applyFill="1" applyBorder="1" applyProtection="1">
      <protection locked="0"/>
    </xf>
    <xf numFmtId="0" fontId="55" fillId="25" borderId="86" xfId="62" applyFont="1" applyBorder="1" applyAlignment="1" applyProtection="1">
      <alignment horizontal="center" vertical="center"/>
      <protection locked="0"/>
    </xf>
    <xf numFmtId="2" fontId="47" fillId="30" borderId="178" xfId="61" applyFill="1" applyBorder="1" applyAlignment="1" applyProtection="1">
      <alignment horizontal="center" vertical="center"/>
      <protection locked="0"/>
    </xf>
    <xf numFmtId="2" fontId="47" fillId="30" borderId="164" xfId="61" applyFill="1" applyBorder="1" applyAlignment="1" applyProtection="1">
      <alignment horizontal="center" vertical="center"/>
      <protection locked="0"/>
    </xf>
    <xf numFmtId="9" fontId="57" fillId="30" borderId="62" xfId="17" applyFont="1" applyFill="1" applyBorder="1" applyProtection="1">
      <protection locked="0"/>
    </xf>
    <xf numFmtId="2" fontId="57" fillId="30" borderId="62" xfId="17" applyNumberFormat="1" applyFont="1" applyFill="1" applyBorder="1" applyProtection="1">
      <protection locked="0"/>
    </xf>
    <xf numFmtId="9" fontId="57" fillId="30" borderId="71" xfId="17" applyFont="1" applyFill="1" applyBorder="1" applyProtection="1">
      <protection locked="0"/>
    </xf>
    <xf numFmtId="9" fontId="57" fillId="30" borderId="61" xfId="17" applyFont="1" applyFill="1" applyBorder="1" applyProtection="1">
      <protection locked="0"/>
    </xf>
    <xf numFmtId="173" fontId="46" fillId="30" borderId="60" xfId="39" applyNumberFormat="1" applyFill="1" applyBorder="1" applyProtection="1">
      <protection locked="0"/>
    </xf>
    <xf numFmtId="173" fontId="46" fillId="30" borderId="193" xfId="39" applyNumberFormat="1" applyFill="1" applyBorder="1" applyProtection="1">
      <protection locked="0"/>
    </xf>
    <xf numFmtId="1" fontId="46" fillId="30" borderId="202" xfId="39" applyNumberFormat="1" applyFill="1" applyBorder="1" applyProtection="1">
      <protection locked="0"/>
    </xf>
    <xf numFmtId="1" fontId="46" fillId="30" borderId="60" xfId="39" applyNumberFormat="1" applyFill="1" applyBorder="1" applyProtection="1">
      <protection locked="0"/>
    </xf>
    <xf numFmtId="9" fontId="46" fillId="30" borderId="202" xfId="39" applyNumberFormat="1" applyFill="1" applyBorder="1" applyProtection="1">
      <protection locked="0"/>
    </xf>
    <xf numFmtId="0" fontId="0" fillId="30" borderId="0" xfId="0" applyFont="1" applyFill="1" applyBorder="1" applyProtection="1">
      <protection locked="0"/>
    </xf>
    <xf numFmtId="0" fontId="0" fillId="30" borderId="0" xfId="0" applyFont="1" applyFill="1" applyProtection="1">
      <protection locked="0"/>
    </xf>
    <xf numFmtId="0" fontId="0" fillId="30" borderId="0" xfId="1" applyFont="1" applyFill="1" applyBorder="1" applyAlignment="1" applyProtection="1">
      <alignment horizontal="left" vertical="top" wrapText="1"/>
      <protection locked="0"/>
    </xf>
    <xf numFmtId="0" fontId="0" fillId="30" borderId="0" xfId="0" applyFill="1" applyProtection="1">
      <protection locked="0"/>
    </xf>
    <xf numFmtId="171" fontId="67" fillId="17" borderId="102" xfId="0" applyNumberFormat="1" applyFont="1" applyFill="1" applyBorder="1"/>
    <xf numFmtId="0" fontId="4" fillId="26" borderId="0" xfId="2" applyFill="1" applyBorder="1"/>
    <xf numFmtId="0" fontId="17" fillId="17" borderId="202" xfId="0" applyFont="1" applyFill="1" applyBorder="1"/>
    <xf numFmtId="2" fontId="47" fillId="26" borderId="202" xfId="61" applyFill="1" applyBorder="1"/>
    <xf numFmtId="0" fontId="56" fillId="26" borderId="202" xfId="40" applyFont="1" applyFill="1" applyBorder="1"/>
    <xf numFmtId="0" fontId="5" fillId="3" borderId="0" xfId="0" applyFont="1" applyFill="1" applyBorder="1"/>
    <xf numFmtId="2" fontId="56" fillId="26" borderId="0" xfId="40" applyNumberFormat="1" applyFont="1" applyFill="1" applyBorder="1"/>
    <xf numFmtId="2" fontId="56" fillId="26" borderId="202" xfId="40" applyNumberFormat="1" applyFont="1" applyFill="1" applyBorder="1"/>
    <xf numFmtId="0" fontId="76" fillId="26" borderId="0" xfId="0" applyFont="1" applyFill="1"/>
    <xf numFmtId="0" fontId="58" fillId="26" borderId="0" xfId="0" applyFont="1" applyFill="1"/>
    <xf numFmtId="0" fontId="76" fillId="26" borderId="0" xfId="0" applyFont="1" applyFill="1" applyBorder="1"/>
    <xf numFmtId="171" fontId="76" fillId="26" borderId="0" xfId="0" applyNumberFormat="1" applyFont="1" applyFill="1" applyBorder="1"/>
    <xf numFmtId="0" fontId="62" fillId="36" borderId="0" xfId="0" applyFont="1" applyFill="1" applyAlignment="1">
      <alignment horizontal="left"/>
    </xf>
    <xf numFmtId="0" fontId="5" fillId="36" borderId="0" xfId="0" applyFont="1" applyFill="1" applyAlignment="1">
      <alignment horizontal="left"/>
    </xf>
    <xf numFmtId="0" fontId="0" fillId="26" borderId="0" xfId="0" quotePrefix="1" applyFill="1" applyAlignment="1">
      <alignment horizontal="left" vertical="top" wrapText="1"/>
    </xf>
    <xf numFmtId="0" fontId="0" fillId="26" borderId="0" xfId="0" quotePrefix="1" applyFill="1" applyAlignment="1">
      <alignment horizontal="left" wrapText="1"/>
    </xf>
    <xf numFmtId="0" fontId="0" fillId="26" borderId="0" xfId="0" applyFill="1" applyAlignment="1">
      <alignment vertical="top" wrapText="1"/>
    </xf>
    <xf numFmtId="0" fontId="0" fillId="26" borderId="0" xfId="0" quotePrefix="1" applyFont="1" applyFill="1" applyAlignment="1">
      <alignment horizontal="left" vertical="top" wrapText="1"/>
    </xf>
    <xf numFmtId="0" fontId="0" fillId="26" borderId="0" xfId="0" applyFont="1" applyFill="1" applyAlignment="1">
      <alignment horizontal="left" vertical="top" wrapText="1"/>
    </xf>
    <xf numFmtId="0" fontId="0" fillId="26" borderId="0" xfId="0" applyFill="1" applyAlignment="1">
      <alignment horizontal="left" vertical="top" wrapText="1"/>
    </xf>
    <xf numFmtId="0" fontId="43" fillId="26" borderId="0" xfId="0" applyFont="1" applyFill="1" applyBorder="1" applyAlignment="1">
      <alignment horizontal="center" vertical="center" wrapText="1"/>
    </xf>
    <xf numFmtId="0" fontId="17" fillId="26" borderId="0" xfId="0" applyFont="1" applyFill="1" applyAlignment="1">
      <alignment horizontal="left" vertical="top" wrapText="1"/>
    </xf>
    <xf numFmtId="0" fontId="0" fillId="26" borderId="0" xfId="1" applyFont="1" applyFill="1" applyBorder="1" applyAlignment="1">
      <alignment horizontal="center" vertical="center"/>
    </xf>
    <xf numFmtId="0" fontId="0" fillId="26" borderId="148" xfId="0" applyFont="1" applyFill="1" applyBorder="1" applyAlignment="1">
      <alignment horizontal="center" vertical="top" wrapText="1"/>
    </xf>
    <xf numFmtId="0" fontId="0" fillId="26" borderId="139" xfId="0" applyFont="1" applyFill="1" applyBorder="1" applyAlignment="1">
      <alignment horizontal="center" wrapText="1"/>
    </xf>
    <xf numFmtId="0" fontId="0" fillId="26" borderId="23" xfId="0" applyFont="1" applyFill="1" applyBorder="1" applyAlignment="1">
      <alignment horizontal="center" wrapText="1"/>
    </xf>
    <xf numFmtId="0" fontId="0" fillId="26" borderId="120" xfId="0" applyFont="1" applyFill="1" applyBorder="1" applyAlignment="1">
      <alignment horizontal="center"/>
    </xf>
    <xf numFmtId="0" fontId="0" fillId="26" borderId="114" xfId="0" applyFont="1" applyFill="1" applyBorder="1" applyAlignment="1">
      <alignment horizontal="center"/>
    </xf>
    <xf numFmtId="0" fontId="0" fillId="26" borderId="125" xfId="0" applyFont="1" applyFill="1" applyBorder="1" applyAlignment="1">
      <alignment horizontal="center"/>
    </xf>
    <xf numFmtId="0" fontId="0" fillId="26" borderId="127" xfId="0" applyFont="1" applyFill="1" applyBorder="1" applyAlignment="1">
      <alignment horizontal="center"/>
    </xf>
    <xf numFmtId="0" fontId="0" fillId="26" borderId="129" xfId="0" applyFont="1" applyFill="1" applyBorder="1" applyAlignment="1">
      <alignment horizontal="center"/>
    </xf>
    <xf numFmtId="0" fontId="17" fillId="26" borderId="84" xfId="0" applyFont="1" applyFill="1" applyBorder="1" applyAlignment="1">
      <alignment horizontal="center" vertical="center"/>
    </xf>
    <xf numFmtId="0" fontId="17" fillId="26" borderId="85" xfId="0" applyFont="1" applyFill="1" applyBorder="1" applyAlignment="1">
      <alignment horizontal="center" vertical="center"/>
    </xf>
    <xf numFmtId="0" fontId="17" fillId="26" borderId="86" xfId="0" applyFont="1" applyFill="1" applyBorder="1" applyAlignment="1">
      <alignment horizontal="center" vertical="center"/>
    </xf>
    <xf numFmtId="0" fontId="14" fillId="17" borderId="0" xfId="0" applyFont="1" applyFill="1" applyAlignment="1">
      <alignment horizontal="center" wrapText="1"/>
    </xf>
    <xf numFmtId="0" fontId="0" fillId="3" borderId="0" xfId="0" applyFill="1" applyBorder="1" applyAlignment="1">
      <alignment horizontal="left" vertical="top"/>
    </xf>
    <xf numFmtId="0" fontId="62" fillId="32" borderId="0" xfId="0" applyFont="1" applyFill="1" applyAlignment="1">
      <alignment horizontal="center"/>
    </xf>
    <xf numFmtId="0" fontId="14" fillId="17" borderId="0" xfId="0" applyFont="1" applyFill="1" applyAlignment="1">
      <alignment horizontal="center"/>
    </xf>
    <xf numFmtId="0" fontId="0" fillId="3" borderId="159" xfId="0" applyFont="1" applyFill="1" applyBorder="1" applyAlignment="1">
      <alignment horizontal="center"/>
    </xf>
    <xf numFmtId="0" fontId="0" fillId="3" borderId="168" xfId="0" applyFont="1" applyFill="1" applyBorder="1" applyAlignment="1">
      <alignment horizontal="center"/>
    </xf>
    <xf numFmtId="0" fontId="0" fillId="3" borderId="158" xfId="0" applyFont="1" applyFill="1" applyBorder="1" applyAlignment="1">
      <alignment horizontal="center"/>
    </xf>
    <xf numFmtId="0" fontId="0" fillId="3" borderId="156" xfId="0" applyFont="1" applyFill="1" applyBorder="1" applyAlignment="1">
      <alignment horizontal="center"/>
    </xf>
    <xf numFmtId="0" fontId="0" fillId="3" borderId="138" xfId="0" applyFont="1" applyFill="1" applyBorder="1" applyAlignment="1">
      <alignment horizontal="center"/>
    </xf>
    <xf numFmtId="0" fontId="17" fillId="0" borderId="180" xfId="0" applyFont="1" applyBorder="1" applyAlignment="1">
      <alignment horizontal="center" vertical="center" textRotation="90" wrapText="1"/>
    </xf>
    <xf numFmtId="0" fontId="17" fillId="0" borderId="33" xfId="0" applyFont="1" applyBorder="1" applyAlignment="1">
      <alignment horizontal="center" vertical="center" textRotation="90" wrapText="1"/>
    </xf>
    <xf numFmtId="0" fontId="17" fillId="0" borderId="35" xfId="0" applyFont="1" applyBorder="1" applyAlignment="1">
      <alignment horizontal="center" vertical="center" textRotation="90" wrapText="1"/>
    </xf>
    <xf numFmtId="0" fontId="17" fillId="0" borderId="188" xfId="0" applyFont="1" applyBorder="1" applyAlignment="1">
      <alignment horizontal="center" vertical="center" textRotation="90" wrapText="1"/>
    </xf>
    <xf numFmtId="0" fontId="17" fillId="0" borderId="39" xfId="0" applyFont="1" applyBorder="1" applyAlignment="1">
      <alignment horizontal="center" vertical="center" wrapText="1"/>
    </xf>
    <xf numFmtId="0" fontId="17" fillId="0" borderId="163" xfId="0" applyFont="1" applyBorder="1" applyAlignment="1">
      <alignment horizontal="center" vertical="center" wrapText="1"/>
    </xf>
    <xf numFmtId="0" fontId="17" fillId="0" borderId="103" xfId="0" applyFont="1" applyBorder="1" applyAlignment="1">
      <alignment horizontal="center" vertical="center" wrapText="1"/>
    </xf>
    <xf numFmtId="0" fontId="17" fillId="0" borderId="103" xfId="0" applyFont="1" applyBorder="1" applyAlignment="1">
      <alignment horizontal="center" vertical="center" textRotation="90" wrapText="1"/>
    </xf>
    <xf numFmtId="0" fontId="17" fillId="0" borderId="172" xfId="0" applyFont="1" applyBorder="1" applyAlignment="1">
      <alignment horizontal="center" vertical="center" textRotation="90" wrapText="1"/>
    </xf>
    <xf numFmtId="0" fontId="0" fillId="17" borderId="203" xfId="0" applyFill="1" applyBorder="1" applyAlignment="1">
      <alignment horizontal="left" vertical="top" wrapText="1"/>
    </xf>
    <xf numFmtId="0" fontId="0" fillId="17" borderId="186" xfId="0" applyFill="1" applyBorder="1" applyAlignment="1">
      <alignment horizontal="left" vertical="top" wrapText="1"/>
    </xf>
    <xf numFmtId="0" fontId="17" fillId="26" borderId="202" xfId="0" applyFont="1" applyFill="1" applyBorder="1" applyAlignment="1">
      <alignment horizontal="center"/>
    </xf>
    <xf numFmtId="0" fontId="17" fillId="26" borderId="202" xfId="0" applyFont="1" applyFill="1" applyBorder="1" applyAlignment="1">
      <alignment horizontal="center" vertical="center" wrapText="1"/>
    </xf>
    <xf numFmtId="0" fontId="17" fillId="0" borderId="39" xfId="0" applyFont="1" applyBorder="1" applyAlignment="1">
      <alignment horizontal="center" vertical="center" textRotation="90" wrapText="1"/>
    </xf>
    <xf numFmtId="0" fontId="17" fillId="0" borderId="163" xfId="0" applyFont="1" applyBorder="1" applyAlignment="1">
      <alignment horizontal="center" vertical="center" textRotation="90" wrapText="1"/>
    </xf>
    <xf numFmtId="0" fontId="17" fillId="0" borderId="185" xfId="0" applyFont="1" applyBorder="1" applyAlignment="1">
      <alignment horizontal="center" vertical="center" textRotation="90" wrapText="1"/>
    </xf>
    <xf numFmtId="0" fontId="0" fillId="26" borderId="0" xfId="0" applyFont="1" applyFill="1" applyBorder="1" applyAlignment="1">
      <alignment horizontal="left" vertical="top" wrapText="1"/>
    </xf>
    <xf numFmtId="0" fontId="17" fillId="26" borderId="203" xfId="0" applyFont="1" applyFill="1" applyBorder="1" applyAlignment="1">
      <alignment horizontal="center" vertical="center" wrapText="1"/>
    </xf>
    <xf numFmtId="0" fontId="17" fillId="26" borderId="189" xfId="0" applyFont="1" applyFill="1" applyBorder="1" applyAlignment="1">
      <alignment horizontal="center" vertical="center" wrapText="1"/>
    </xf>
    <xf numFmtId="0" fontId="17" fillId="26" borderId="186" xfId="0" applyFont="1" applyFill="1" applyBorder="1" applyAlignment="1">
      <alignment horizontal="center" vertical="center" wrapText="1"/>
    </xf>
    <xf numFmtId="0" fontId="0" fillId="26" borderId="3" xfId="0" applyFill="1" applyBorder="1" applyAlignment="1">
      <alignment horizontal="left" vertical="top" wrapText="1"/>
    </xf>
    <xf numFmtId="2" fontId="47" fillId="26" borderId="1" xfId="61" applyFill="1"/>
    <xf numFmtId="0" fontId="0" fillId="26" borderId="8" xfId="0" applyFill="1" applyBorder="1" applyAlignment="1">
      <alignment horizontal="left"/>
    </xf>
    <xf numFmtId="0" fontId="17" fillId="17" borderId="8" xfId="0" applyFont="1" applyFill="1" applyBorder="1" applyAlignment="1">
      <alignment horizontal="left"/>
    </xf>
    <xf numFmtId="2" fontId="47" fillId="26" borderId="1" xfId="61" applyFont="1" applyFill="1"/>
    <xf numFmtId="0" fontId="0" fillId="26" borderId="36" xfId="1" applyFont="1" applyFill="1" applyBorder="1" applyAlignment="1">
      <alignment horizontal="left" vertical="top" wrapText="1"/>
    </xf>
    <xf numFmtId="0" fontId="0" fillId="27" borderId="25" xfId="1" applyFont="1" applyFill="1" applyBorder="1" applyAlignment="1">
      <alignment horizontal="left" vertical="top" wrapText="1"/>
    </xf>
    <xf numFmtId="0" fontId="0" fillId="27" borderId="26" xfId="1" applyFont="1" applyFill="1" applyBorder="1" applyAlignment="1">
      <alignment horizontal="left" vertical="top" wrapText="1"/>
    </xf>
    <xf numFmtId="0" fontId="0" fillId="27" borderId="27" xfId="1" applyFont="1" applyFill="1" applyBorder="1" applyAlignment="1">
      <alignment horizontal="left" vertical="top" wrapText="1"/>
    </xf>
    <xf numFmtId="0" fontId="0" fillId="26" borderId="0" xfId="1" applyFont="1" applyFill="1" applyBorder="1" applyAlignment="1">
      <alignment horizontal="left" vertical="center" wrapText="1"/>
    </xf>
    <xf numFmtId="0" fontId="0" fillId="27" borderId="36" xfId="1" applyFont="1" applyFill="1" applyBorder="1" applyAlignment="1">
      <alignment horizontal="left" vertical="top" wrapText="1"/>
    </xf>
    <xf numFmtId="0" fontId="0" fillId="26" borderId="0" xfId="0" applyFill="1" applyBorder="1" applyAlignment="1">
      <alignment horizontal="left"/>
    </xf>
  </cellXfs>
  <cellStyles count="65">
    <cellStyle name="20% - Accent3 2" xfId="23"/>
    <cellStyle name="40% - Accent5" xfId="59" builtinId="47"/>
    <cellStyle name="Bad 2" xfId="24"/>
    <cellStyle name="Calculation 2" xfId="25"/>
    <cellStyle name="Check Cell 2" xfId="26"/>
    <cellStyle name="Comma" xfId="64" builtinId="3"/>
    <cellStyle name="Comma 2" xfId="27"/>
    <cellStyle name="Comma 3" xfId="28"/>
    <cellStyle name="Comma 3 2" xfId="29"/>
    <cellStyle name="Comma 4" xfId="30"/>
    <cellStyle name="Comma 5" xfId="31"/>
    <cellStyle name="Comma 6" xfId="22"/>
    <cellStyle name="Currency" xfId="58" builtinId="4"/>
    <cellStyle name="Currency 2" xfId="21"/>
    <cellStyle name="Explanatory Text" xfId="2" builtinId="53"/>
    <cellStyle name="Explanatory Text 2" xfId="32"/>
    <cellStyle name="Explanatory Text 3" xfId="55"/>
    <cellStyle name="Followed Hyperlink" xfId="4" builtinId="9" hidden="1"/>
    <cellStyle name="Followed Hyperlink" xfId="6" builtinId="9" hidden="1"/>
    <cellStyle name="Followed Hyperlink" xfId="8" builtinId="9" hidden="1"/>
    <cellStyle name="Followed Hyperlink" xfId="10" builtinId="9" hidden="1"/>
    <cellStyle name="Followed Hyperlink" xfId="13" builtinId="9" hidden="1"/>
    <cellStyle name="Followed Hyperlink" xfId="15" builtinId="9" hidden="1"/>
    <cellStyle name="Good 2" xfId="33"/>
    <cellStyle name="Heading 1 2" xfId="34"/>
    <cellStyle name="Heading 2 2" xfId="35"/>
    <cellStyle name="Heading 3 2" xfId="36"/>
    <cellStyle name="Heading 4 2" xfId="37"/>
    <cellStyle name="Hyperlink" xfId="3" builtinId="8" hidden="1"/>
    <cellStyle name="Hyperlink" xfId="5" builtinId="8" hidden="1"/>
    <cellStyle name="Hyperlink" xfId="7" builtinId="8" hidden="1"/>
    <cellStyle name="Hyperlink" xfId="9" builtinId="8" hidden="1"/>
    <cellStyle name="Hyperlink" xfId="12" builtinId="8" hidden="1"/>
    <cellStyle name="Hyperlink" xfId="14" builtinId="8" hidden="1"/>
    <cellStyle name="Hyperlink" xfId="57" builtinId="8"/>
    <cellStyle name="Hyperlink 2" xfId="38"/>
    <cellStyle name="Input" xfId="11" builtinId="20"/>
    <cellStyle name="Input-default" xfId="39"/>
    <cellStyle name="Input-mandatory" xfId="62"/>
    <cellStyle name="Input-optional" xfId="63"/>
    <cellStyle name="Linked Cell" xfId="60" builtinId="24"/>
    <cellStyle name="Linked Cell 2" xfId="40"/>
    <cellStyle name="Neutral 2" xfId="41"/>
    <cellStyle name="Normal" xfId="0" builtinId="0" customBuiltin="1"/>
    <cellStyle name="Normal 2" xfId="42"/>
    <cellStyle name="Normal 2 2" xfId="43"/>
    <cellStyle name="Normal 2 3" xfId="44"/>
    <cellStyle name="Normal 3" xfId="20"/>
    <cellStyle name="Normal 3 2" xfId="45"/>
    <cellStyle name="Normal 4" xfId="46"/>
    <cellStyle name="Normal 5" xfId="47"/>
    <cellStyle name="Normal 6" xfId="18"/>
    <cellStyle name="Note" xfId="1" builtinId="10"/>
    <cellStyle name="Note 2" xfId="48"/>
    <cellStyle name="Output" xfId="16" builtinId="21" customBuiltin="1"/>
    <cellStyle name="Output 2" xfId="49"/>
    <cellStyle name="Percent" xfId="17" builtinId="5"/>
    <cellStyle name="Percent 2" xfId="50"/>
    <cellStyle name="Percent 3" xfId="19"/>
    <cellStyle name="Standard 2" xfId="51"/>
    <cellStyle name="System-info" xfId="61"/>
    <cellStyle name="Title 2" xfId="52"/>
    <cellStyle name="Total 2" xfId="53"/>
    <cellStyle name="Warning Text 2" xfId="54"/>
    <cellStyle name="Warning Text 3" xfId="56"/>
  </cellStyles>
  <dxfs count="1043">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fill>
        <patternFill patternType="darkUp">
          <fgColor theme="0" tint="-0.34998626667073579"/>
          <bgColor theme="0" tint="-4.9989318521683403E-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ont>
        <color rgb="FF9C0006"/>
      </font>
      <fill>
        <patternFill>
          <bgColor rgb="FFFFC7CE"/>
        </patternFill>
      </fill>
    </dxf>
    <dxf>
      <font>
        <color rgb="FF006100"/>
      </font>
      <fill>
        <patternFill>
          <bgColor rgb="FFC6EFCE"/>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theme="1"/>
        <name val="Calibri"/>
        <scheme val="minor"/>
      </font>
      <fill>
        <patternFill patternType="solid">
          <fgColor indexed="64"/>
          <bgColor rgb="FFFFCC99"/>
        </patternFill>
      </fill>
      <protection locked="0" hidden="0"/>
    </dxf>
    <dxf>
      <fill>
        <patternFill patternType="solid">
          <fgColor indexed="64"/>
          <bgColor rgb="FFFFCC99"/>
        </patternFill>
      </fill>
      <protection locked="0" hidden="0"/>
    </dxf>
    <dxf>
      <fill>
        <patternFill patternType="solid">
          <fgColor indexed="64"/>
          <bgColor rgb="FFFFCC99"/>
        </patternFill>
      </fill>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rgb="FF7F7F7F"/>
        </bottom>
      </border>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ont>
        <color rgb="FF9C0006"/>
      </font>
      <fill>
        <patternFill>
          <bgColor rgb="FFFFC7CE"/>
        </patternFill>
      </fill>
    </dxf>
    <dxf>
      <font>
        <color rgb="FF006100"/>
      </font>
      <fill>
        <patternFill>
          <bgColor rgb="FFC6EFCE"/>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ont>
        <b/>
        <i val="0"/>
        <strike val="0"/>
        <condense val="0"/>
        <extend val="0"/>
        <outline val="0"/>
        <shadow val="0"/>
        <u val="none"/>
        <vertAlign val="baseline"/>
        <sz val="11"/>
        <color theme="1"/>
        <name val="Calibri"/>
        <scheme val="minor"/>
      </font>
      <numFmt numFmtId="171" formatCode="_ [$IDR]\ * #,##0.00_ ;_ [$IDR]\ * \-#,##0.00_ ;_ [$IDR]\ * &quot;-&quot;??_ ;_ @_ "/>
      <fill>
        <patternFill patternType="solid">
          <fgColor indexed="64"/>
          <bgColor theme="0" tint="-0.14999847407452621"/>
        </patternFill>
      </fill>
      <border diagonalUp="0" diagonalDown="0">
        <left style="medium">
          <color indexed="64"/>
        </left>
        <right style="medium">
          <color indexed="64"/>
        </right>
        <top/>
        <bottom/>
        <vertical/>
        <horizontal/>
      </border>
    </dxf>
    <dxf>
      <border outline="0">
        <left style="thin">
          <color indexed="64"/>
        </left>
        <right style="thin">
          <color indexed="64"/>
        </right>
        <top style="medium">
          <color auto="1"/>
        </top>
        <bottom style="medium">
          <color indexed="64"/>
        </bottom>
      </border>
    </dxf>
    <dxf>
      <font>
        <b/>
        <i val="0"/>
        <strike val="0"/>
        <condense val="0"/>
        <extend val="0"/>
        <outline val="0"/>
        <shadow val="0"/>
        <u val="none"/>
        <vertAlign val="baseline"/>
        <sz val="11"/>
        <color theme="1"/>
        <name val="Calibri"/>
        <scheme val="minor"/>
      </font>
      <fill>
        <patternFill patternType="solid">
          <fgColor indexed="64"/>
          <bgColor theme="0" tint="-0.14999847407452621"/>
        </patternFill>
      </fill>
    </dxf>
    <dxf>
      <font>
        <b/>
        <i val="0"/>
        <strike val="0"/>
        <condense val="0"/>
        <extend val="0"/>
        <outline val="0"/>
        <shadow val="0"/>
        <u val="none"/>
        <vertAlign val="baseline"/>
        <sz val="12"/>
        <color rgb="FF000000"/>
        <name val="Calibri"/>
        <scheme val="minor"/>
      </font>
      <fill>
        <patternFill patternType="solid">
          <fgColor rgb="FF000000"/>
          <bgColor rgb="FFF2F2F2"/>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rgb="FF000000"/>
          <bgColor theme="0"/>
        </patternFill>
      </fill>
      <border diagonalUp="0" diagonalDown="0">
        <left style="medium">
          <color indexed="64"/>
        </left>
        <right style="medium">
          <color indexed="64"/>
        </right>
        <top style="thin">
          <color auto="1"/>
        </top>
        <bottom style="thin">
          <color auto="1"/>
        </bottom>
        <vertical style="thin">
          <color auto="1"/>
        </vertical>
        <horizontal style="thin">
          <color auto="1"/>
        </horizontal>
      </border>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theme="1"/>
        <name val="Calibri"/>
        <scheme val="minor"/>
      </font>
      <fill>
        <patternFill patternType="solid">
          <fgColor rgb="FF000000"/>
          <bgColor theme="0"/>
        </patternFill>
      </fill>
    </dxf>
    <dxf>
      <border outline="0">
        <bottom style="medium">
          <color indexed="64"/>
        </bottom>
      </border>
    </dxf>
    <dxf>
      <font>
        <b val="0"/>
        <i val="0"/>
        <strike val="0"/>
        <condense val="0"/>
        <extend val="0"/>
        <outline val="0"/>
        <shadow val="0"/>
        <u val="none"/>
        <vertAlign val="baseline"/>
        <sz val="12"/>
        <color rgb="FF000000"/>
        <name val="Calibri"/>
        <scheme val="minor"/>
      </font>
      <fill>
        <patternFill patternType="solid">
          <fgColor rgb="FF000000"/>
          <bgColor rgb="FFF2F2F2"/>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ont>
        <strike val="0"/>
        <outline val="0"/>
        <shadow val="0"/>
        <u val="none"/>
        <vertAlign val="baseline"/>
        <sz val="11"/>
        <color theme="1"/>
        <name val="Calibri"/>
        <scheme val="minor"/>
      </font>
      <fill>
        <patternFill>
          <bgColor theme="0"/>
        </patternFill>
      </fill>
      <border diagonalUp="0" diagonalDown="0" outline="0">
        <left/>
        <right/>
        <top style="medium">
          <color auto="1"/>
        </top>
        <bottom style="medium">
          <color auto="1"/>
        </bottom>
      </border>
    </dxf>
    <dxf>
      <border outline="0">
        <left style="medium">
          <color indexed="64"/>
        </left>
        <right style="thin">
          <color indexed="64"/>
        </right>
        <top style="medium">
          <color indexed="64"/>
        </top>
        <bottom style="medium">
          <color indexed="64"/>
        </bottom>
      </border>
    </dxf>
    <dxf>
      <font>
        <strike val="0"/>
        <outline val="0"/>
        <shadow val="0"/>
        <u val="none"/>
        <vertAlign val="baseline"/>
        <sz val="11"/>
        <color theme="1"/>
        <name val="Calibri"/>
        <scheme val="minor"/>
      </font>
      <fill>
        <patternFill>
          <bgColor theme="0"/>
        </patternFill>
      </fill>
    </dxf>
    <dxf>
      <border outline="0">
        <bottom style="medium">
          <color indexed="64"/>
        </bottom>
      </border>
    </dxf>
    <dxf>
      <font>
        <strike val="0"/>
        <outline val="0"/>
        <shadow val="0"/>
        <u val="none"/>
        <vertAlign val="baseline"/>
        <color theme="1"/>
        <name val="Calibri"/>
      </font>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fill>
        <patternFill>
          <bgColor theme="0" tint="-0.14996795556505021"/>
        </patternFill>
      </fill>
    </dxf>
    <dxf>
      <fill>
        <patternFill>
          <bgColor rgb="FFFFCC99"/>
        </patternFill>
      </fill>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
      <numFmt numFmtId="182" formatCode="_ [$USD]\ * #,##0.00_ ;_ [$USD]\ * \-#,##0.00_ ;_ [$USD]\ * &quot;-&quot;??_ ;_ @_ "/>
    </dxf>
    <dxf>
      <numFmt numFmtId="183" formatCode="_ [$EUR]\ * #,##0.00_ ;_ [$EUR]\ * \-#,##0.00_ ;_ [$EUR]\ * &quot;-&quot;??_ ;_ @_ "/>
    </dxf>
    <dxf>
      <numFmt numFmtId="165" formatCode="_ &quot;CHF&quot;\ * #,##0.00_ ;_ &quot;CHF&quot;\ * \-#,##0.00_ ;_ &quot;CHF&quot;\ * &quot;-&quot;??_ ;_ @_ "/>
    </dxf>
  </dxfs>
  <tableStyles count="0" defaultTableStyle="TableStyleMedium9" defaultPivotStyle="PivotStyleMedium7"/>
  <colors>
    <mruColors>
      <color rgb="FFFFCC99"/>
      <color rgb="FFF6CDA4"/>
      <color rgb="FF33CCFF"/>
      <color rgb="FF3399FF"/>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1"/>
          <c:order val="1"/>
          <c:tx>
            <c:v>Capex per year</c:v>
          </c:tx>
          <c:spPr>
            <a:solidFill>
              <a:schemeClr val="accent6">
                <a:shade val="76000"/>
              </a:schemeClr>
            </a:solidFill>
            <a:ln>
              <a:noFill/>
            </a:ln>
            <a:effectLst/>
          </c:spPr>
          <c:invertIfNegative val="0"/>
          <c:val>
            <c:numRef>
              <c:f>'5.1-Financial Analysis'!$C$97:$H$97</c:f>
              <c:numCache>
                <c:formatCode>_ [$IDR]\ * #,##0.00_ ;_ [$IDR]\ * \-#,##0.00_ ;_ [$IDR]\ * "-"??_ ;_ @_ </c:formatCode>
                <c:ptCount val="6"/>
                <c:pt idx="0">
                  <c:v>-7146.3640277520108</c:v>
                </c:pt>
                <c:pt idx="1">
                  <c:v>-215.97170983032413</c:v>
                </c:pt>
                <c:pt idx="2">
                  <c:v>-215.97170983032413</c:v>
                </c:pt>
                <c:pt idx="3">
                  <c:v>-1044.5241612154464</c:v>
                </c:pt>
                <c:pt idx="4">
                  <c:v>-215.97170983032413</c:v>
                </c:pt>
                <c:pt idx="5">
                  <c:v>0</c:v>
                </c:pt>
              </c:numCache>
            </c:numRef>
          </c:val>
          <c:extLst>
            <c:ext xmlns:c16="http://schemas.microsoft.com/office/drawing/2014/chart" uri="{C3380CC4-5D6E-409C-BE32-E72D297353CC}">
              <c16:uniqueId val="{00000001-BAD6-4A42-8D9D-2D2C7610C12A}"/>
            </c:ext>
          </c:extLst>
        </c:ser>
        <c:dLbls>
          <c:showLegendKey val="0"/>
          <c:showVal val="0"/>
          <c:showCatName val="0"/>
          <c:showSerName val="0"/>
          <c:showPercent val="0"/>
          <c:showBubbleSize val="0"/>
        </c:dLbls>
        <c:gapWidth val="219"/>
        <c:axId val="578255448"/>
        <c:axId val="578256432"/>
      </c:barChart>
      <c:lineChart>
        <c:grouping val="standard"/>
        <c:varyColors val="0"/>
        <c:ser>
          <c:idx val="0"/>
          <c:order val="0"/>
          <c:tx>
            <c:v>Cumulative Cashflow</c:v>
          </c:tx>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Analysis'!$C$103:$H$103</c:f>
              <c:numCache>
                <c:formatCode>_ [$IDR]\ * #,##0.00_ ;_ [$IDR]\ * \-#,##0.00_ ;_ [$IDR]\ * "-"??_ ;_ @_ </c:formatCode>
                <c:ptCount val="6"/>
                <c:pt idx="0">
                  <c:v>-7507.544771354198</c:v>
                </c:pt>
                <c:pt idx="1">
                  <c:v>31177.965485775774</c:v>
                </c:pt>
                <c:pt idx="2">
                  <c:v>69863.47574290575</c:v>
                </c:pt>
                <c:pt idx="3">
                  <c:v>107720.43354865059</c:v>
                </c:pt>
                <c:pt idx="4">
                  <c:v>146405.94380578055</c:v>
                </c:pt>
                <c:pt idx="5">
                  <c:v>185307.42577274085</c:v>
                </c:pt>
              </c:numCache>
            </c:numRef>
          </c:val>
          <c:smooth val="0"/>
          <c:extLst>
            <c:ext xmlns:c16="http://schemas.microsoft.com/office/drawing/2014/chart" uri="{C3380CC4-5D6E-409C-BE32-E72D297353CC}">
              <c16:uniqueId val="{00000000-BAD6-4A42-8D9D-2D2C7610C12A}"/>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5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0557004593175853"/>
          <c:y val="7.6388888888888895E-2"/>
          <c:w val="0.46992727471566048"/>
          <c:h val="0.84722222222222221"/>
        </c:manualLayout>
      </c:layout>
      <c:barChart>
        <c:barDir val="col"/>
        <c:grouping val="clustered"/>
        <c:varyColors val="0"/>
        <c:ser>
          <c:idx val="0"/>
          <c:order val="0"/>
          <c:tx>
            <c:strRef>
              <c:f>'3.2-Results Dashboard'!$N$7</c:f>
              <c:strCache>
                <c:ptCount val="1"/>
                <c:pt idx="0">
                  <c:v>Gross margin</c:v>
                </c:pt>
              </c:strCache>
            </c:strRef>
          </c:tx>
          <c:spPr>
            <a:solidFill>
              <a:schemeClr val="accent6">
                <a:tint val="54000"/>
              </a:schemeClr>
            </a:solidFill>
            <a:ln>
              <a:noFill/>
            </a:ln>
            <a:effectLst/>
          </c:spPr>
          <c:invertIfNegative val="0"/>
          <c:val>
            <c:numRef>
              <c:f>'3.2-Results Dashboard'!$O$7</c:f>
              <c:numCache>
                <c:formatCode>0.0%</c:formatCode>
                <c:ptCount val="1"/>
                <c:pt idx="0">
                  <c:v>0.8259646773085717</c:v>
                </c:pt>
              </c:numCache>
            </c:numRef>
          </c:val>
          <c:extLst>
            <c:ext xmlns:c16="http://schemas.microsoft.com/office/drawing/2014/chart" uri="{C3380CC4-5D6E-409C-BE32-E72D297353CC}">
              <c16:uniqueId val="{00000000-F1D9-4A05-8D1B-21113A5B8D31}"/>
            </c:ext>
          </c:extLst>
        </c:ser>
        <c:ser>
          <c:idx val="1"/>
          <c:order val="1"/>
          <c:tx>
            <c:strRef>
              <c:f>'3.2-Results Dashboard'!$N$8</c:f>
              <c:strCache>
                <c:ptCount val="1"/>
                <c:pt idx="0">
                  <c:v>EBITDA margin</c:v>
                </c:pt>
              </c:strCache>
            </c:strRef>
          </c:tx>
          <c:spPr>
            <a:solidFill>
              <a:schemeClr val="accent6">
                <a:tint val="77000"/>
              </a:schemeClr>
            </a:solidFill>
            <a:ln>
              <a:noFill/>
            </a:ln>
            <a:effectLst/>
          </c:spPr>
          <c:invertIfNegative val="0"/>
          <c:val>
            <c:numRef>
              <c:f>'3.2-Results Dashboard'!$O$8</c:f>
              <c:numCache>
                <c:formatCode>0.0%</c:formatCode>
                <c:ptCount val="1"/>
                <c:pt idx="0">
                  <c:v>0.85477215157258224</c:v>
                </c:pt>
              </c:numCache>
            </c:numRef>
          </c:val>
          <c:extLst>
            <c:ext xmlns:c16="http://schemas.microsoft.com/office/drawing/2014/chart" uri="{C3380CC4-5D6E-409C-BE32-E72D297353CC}">
              <c16:uniqueId val="{00000001-F1D9-4A05-8D1B-21113A5B8D31}"/>
            </c:ext>
          </c:extLst>
        </c:ser>
        <c:ser>
          <c:idx val="2"/>
          <c:order val="2"/>
          <c:tx>
            <c:strRef>
              <c:f>'3.2-Results Dashboard'!$N$9</c:f>
              <c:strCache>
                <c:ptCount val="1"/>
                <c:pt idx="0">
                  <c:v>Operating margin</c:v>
                </c:pt>
              </c:strCache>
            </c:strRef>
          </c:tx>
          <c:spPr>
            <a:solidFill>
              <a:schemeClr val="accent6"/>
            </a:solidFill>
            <a:ln>
              <a:noFill/>
            </a:ln>
            <a:effectLst/>
          </c:spPr>
          <c:invertIfNegative val="0"/>
          <c:val>
            <c:numRef>
              <c:f>'3.2-Results Dashboard'!$O$9</c:f>
              <c:numCache>
                <c:formatCode>0.0%</c:formatCode>
                <c:ptCount val="1"/>
                <c:pt idx="0">
                  <c:v>0.81790928709590882</c:v>
                </c:pt>
              </c:numCache>
            </c:numRef>
          </c:val>
          <c:extLst>
            <c:ext xmlns:c16="http://schemas.microsoft.com/office/drawing/2014/chart" uri="{C3380CC4-5D6E-409C-BE32-E72D297353CC}">
              <c16:uniqueId val="{00000002-F1D9-4A05-8D1B-21113A5B8D31}"/>
            </c:ext>
          </c:extLst>
        </c:ser>
        <c:ser>
          <c:idx val="3"/>
          <c:order val="3"/>
          <c:tx>
            <c:strRef>
              <c:f>'3.2-Results Dashboard'!$N$10</c:f>
              <c:strCache>
                <c:ptCount val="1"/>
                <c:pt idx="0">
                  <c:v>Net margin</c:v>
                </c:pt>
              </c:strCache>
            </c:strRef>
          </c:tx>
          <c:spPr>
            <a:solidFill>
              <a:schemeClr val="accent6">
                <a:shade val="76000"/>
              </a:schemeClr>
            </a:solidFill>
            <a:ln>
              <a:noFill/>
            </a:ln>
            <a:effectLst/>
          </c:spPr>
          <c:invertIfNegative val="0"/>
          <c:val>
            <c:numRef>
              <c:f>'3.2-Results Dashboard'!$O$10</c:f>
              <c:numCache>
                <c:formatCode>0.0%</c:formatCode>
                <c:ptCount val="1"/>
                <c:pt idx="0">
                  <c:v>0.6288692596753418</c:v>
                </c:pt>
              </c:numCache>
            </c:numRef>
          </c:val>
          <c:extLst>
            <c:ext xmlns:c16="http://schemas.microsoft.com/office/drawing/2014/chart" uri="{C3380CC4-5D6E-409C-BE32-E72D297353CC}">
              <c16:uniqueId val="{00000003-F1D9-4A05-8D1B-21113A5B8D31}"/>
            </c:ext>
          </c:extLst>
        </c:ser>
        <c:ser>
          <c:idx val="4"/>
          <c:order val="4"/>
          <c:tx>
            <c:strRef>
              <c:f>'3.2-Results Dashboard'!$N$11</c:f>
              <c:strCache>
                <c:ptCount val="1"/>
                <c:pt idx="0">
                  <c:v>Markup</c:v>
                </c:pt>
              </c:strCache>
            </c:strRef>
          </c:tx>
          <c:spPr>
            <a:solidFill>
              <a:schemeClr val="accent6">
                <a:shade val="53000"/>
              </a:schemeClr>
            </a:solidFill>
            <a:ln>
              <a:noFill/>
            </a:ln>
            <a:effectLst/>
          </c:spPr>
          <c:invertIfNegative val="0"/>
          <c:val>
            <c:numRef>
              <c:f>'3.2-Results Dashboard'!$O$11</c:f>
              <c:numCache>
                <c:formatCode>0.0%</c:formatCode>
                <c:ptCount val="1"/>
                <c:pt idx="0">
                  <c:v>4.7459599840719715</c:v>
                </c:pt>
              </c:numCache>
            </c:numRef>
          </c:val>
          <c:extLst>
            <c:ext xmlns:c16="http://schemas.microsoft.com/office/drawing/2014/chart" uri="{C3380CC4-5D6E-409C-BE32-E72D297353CC}">
              <c16:uniqueId val="{00000004-F1D9-4A05-8D1B-21113A5B8D31}"/>
            </c:ext>
          </c:extLst>
        </c:ser>
        <c:dLbls>
          <c:showLegendKey val="0"/>
          <c:showVal val="0"/>
          <c:showCatName val="0"/>
          <c:showSerName val="0"/>
          <c:showPercent val="0"/>
          <c:showBubbleSize val="0"/>
        </c:dLbls>
        <c:gapWidth val="219"/>
        <c:overlap val="-27"/>
        <c:axId val="607723280"/>
        <c:axId val="607721640"/>
      </c:barChart>
      <c:catAx>
        <c:axId val="607723280"/>
        <c:scaling>
          <c:orientation val="minMax"/>
        </c:scaling>
        <c:delete val="1"/>
        <c:axPos val="b"/>
        <c:numFmt formatCode="General" sourceLinked="0"/>
        <c:majorTickMark val="out"/>
        <c:minorTickMark val="none"/>
        <c:tickLblPos val="nextTo"/>
        <c:crossAx val="607721640"/>
        <c:crosses val="autoZero"/>
        <c:auto val="1"/>
        <c:lblAlgn val="ctr"/>
        <c:lblOffset val="100"/>
        <c:noMultiLvlLbl val="0"/>
      </c:catAx>
      <c:valAx>
        <c:axId val="6077216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23280"/>
        <c:crosses val="autoZero"/>
        <c:crossBetween val="between"/>
      </c:valAx>
      <c:spPr>
        <a:noFill/>
        <a:ln>
          <a:noFill/>
        </a:ln>
        <a:effectLst/>
      </c:spPr>
    </c:plotArea>
    <c:legend>
      <c:legendPos val="r"/>
      <c:layout>
        <c:manualLayout>
          <c:xMode val="edge"/>
          <c:yMode val="edge"/>
          <c:x val="0.58244176509186352"/>
          <c:y val="5.5985892388451447E-2"/>
          <c:w val="0.2921462868227897"/>
          <c:h val="0.558250682203932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SG&amp;A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820920822397201"/>
          <c:y val="7.6388888888888895E-2"/>
          <c:w val="0.48905867235345579"/>
          <c:h val="0.87847222222222221"/>
        </c:manualLayout>
      </c:layout>
      <c:barChart>
        <c:barDir val="col"/>
        <c:grouping val="stacked"/>
        <c:varyColors val="0"/>
        <c:ser>
          <c:idx val="0"/>
          <c:order val="0"/>
          <c:tx>
            <c:strRef>
              <c:f>'5.2-Cost Breakdown Analysis'!$B$60</c:f>
              <c:strCache>
                <c:ptCount val="1"/>
                <c:pt idx="0">
                  <c:v>Salaries</c:v>
                </c:pt>
              </c:strCache>
            </c:strRef>
          </c:tx>
          <c:spPr>
            <a:solidFill>
              <a:schemeClr val="accent6">
                <a:shade val="47000"/>
              </a:schemeClr>
            </a:solidFill>
            <a:ln>
              <a:noFill/>
            </a:ln>
            <a:effectLst/>
          </c:spPr>
          <c:invertIfNegative val="0"/>
          <c:dLbls>
            <c:dLbl>
              <c:idx val="0"/>
              <c:tx>
                <c:rich>
                  <a:bodyPr/>
                  <a:lstStyle/>
                  <a:p>
                    <a:fld id="{A3F2F43A-D7A3-4E44-B97A-C3A71C28D074}"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DC0-4DB6-A3D8-90815309EAE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Analysis'!$C$60</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Analysis'!$D$60</c15:f>
                <c15:dlblRangeCache>
                  <c:ptCount val="1"/>
                  <c:pt idx="0">
                    <c:v>0%</c:v>
                  </c:pt>
                </c15:dlblRangeCache>
              </c15:datalabelsRange>
            </c:ext>
            <c:ext xmlns:c16="http://schemas.microsoft.com/office/drawing/2014/chart" uri="{C3380CC4-5D6E-409C-BE32-E72D297353CC}">
              <c16:uniqueId val="{00000001-DDC0-4DB6-A3D8-90815309EAE4}"/>
            </c:ext>
          </c:extLst>
        </c:ser>
        <c:ser>
          <c:idx val="1"/>
          <c:order val="1"/>
          <c:tx>
            <c:strRef>
              <c:f>'5.2-Cost Breakdown Analysis'!$B$61</c:f>
              <c:strCache>
                <c:ptCount val="1"/>
                <c:pt idx="0">
                  <c:v>Factory rent</c:v>
                </c:pt>
              </c:strCache>
            </c:strRef>
          </c:tx>
          <c:spPr>
            <a:solidFill>
              <a:schemeClr val="accent6">
                <a:shade val="65000"/>
              </a:schemeClr>
            </a:solidFill>
            <a:ln>
              <a:noFill/>
            </a:ln>
            <a:effectLst/>
          </c:spPr>
          <c:invertIfNegative val="0"/>
          <c:dLbls>
            <c:dLbl>
              <c:idx val="0"/>
              <c:tx>
                <c:rich>
                  <a:bodyPr/>
                  <a:lstStyle/>
                  <a:p>
                    <a:fld id="{81D4EF0E-C3E8-4DDF-A93E-C6664DFF819A}"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Analysis'!$C$61</c:f>
              <c:numCache>
                <c:formatCode>_ [$IDR]\ * #,##0.00_ ;_ [$IDR]\ * \-#,##0.00_ ;_ [$IDR]\ * "-"??_ ;_ @_ </c:formatCode>
                <c:ptCount val="1"/>
                <c:pt idx="0">
                  <c:v>361.18074360218691</c:v>
                </c:pt>
              </c:numCache>
            </c:numRef>
          </c:val>
          <c:extLst>
            <c:ext xmlns:c15="http://schemas.microsoft.com/office/drawing/2012/chart" uri="{02D57815-91ED-43cb-92C2-25804820EDAC}">
              <c15:datalabelsRange>
                <c15:f>'5.2-Cost Breakdown Analysis'!$D$61</c15:f>
                <c15:dlblRangeCache>
                  <c:ptCount val="1"/>
                  <c:pt idx="0">
                    <c:v>99%</c:v>
                  </c:pt>
                </c15:dlblRangeCache>
              </c15:datalabelsRange>
            </c:ext>
            <c:ext xmlns:c16="http://schemas.microsoft.com/office/drawing/2014/chart" uri="{C3380CC4-5D6E-409C-BE32-E72D297353CC}">
              <c16:uniqueId val="{00000003-DDC0-4DB6-A3D8-90815309EAE4}"/>
            </c:ext>
          </c:extLst>
        </c:ser>
        <c:ser>
          <c:idx val="2"/>
          <c:order val="2"/>
          <c:tx>
            <c:strRef>
              <c:f>'5.2-Cost Breakdown Analysis'!$B$62</c:f>
              <c:strCache>
                <c:ptCount val="1"/>
                <c:pt idx="0">
                  <c:v>Factory building depreciation</c:v>
                </c:pt>
              </c:strCache>
            </c:strRef>
          </c:tx>
          <c:spPr>
            <a:solidFill>
              <a:schemeClr val="accent6">
                <a:shade val="82000"/>
              </a:schemeClr>
            </a:solidFill>
            <a:ln>
              <a:noFill/>
            </a:ln>
            <a:effectLst/>
          </c:spPr>
          <c:invertIfNegative val="0"/>
          <c:dLbls>
            <c:dLbl>
              <c:idx val="0"/>
              <c:tx>
                <c:rich>
                  <a:bodyPr/>
                  <a:lstStyle/>
                  <a:p>
                    <a:fld id="{63FAD8BB-B862-42B1-A5B7-745FEDA1CE36}"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Analysis'!$C$62</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Analysis'!$D$62</c15:f>
                <c15:dlblRangeCache>
                  <c:ptCount val="1"/>
                  <c:pt idx="0">
                    <c:v>0%</c:v>
                  </c:pt>
                </c15:dlblRangeCache>
              </c15:datalabelsRange>
            </c:ext>
            <c:ext xmlns:c16="http://schemas.microsoft.com/office/drawing/2014/chart" uri="{C3380CC4-5D6E-409C-BE32-E72D297353CC}">
              <c16:uniqueId val="{00000005-DDC0-4DB6-A3D8-90815309EAE4}"/>
            </c:ext>
          </c:extLst>
        </c:ser>
        <c:ser>
          <c:idx val="3"/>
          <c:order val="3"/>
          <c:tx>
            <c:strRef>
              <c:f>'5.2-Cost Breakdown Analysis'!$B$63</c:f>
              <c:strCache>
                <c:ptCount val="1"/>
                <c:pt idx="0">
                  <c:v>Office utilities</c:v>
                </c:pt>
              </c:strCache>
            </c:strRef>
          </c:tx>
          <c:spPr>
            <a:solidFill>
              <a:schemeClr val="accent6"/>
            </a:solidFill>
            <a:ln>
              <a:noFill/>
            </a:ln>
            <a:effectLst/>
          </c:spPr>
          <c:invertIfNegative val="0"/>
          <c:dLbls>
            <c:dLbl>
              <c:idx val="0"/>
              <c:tx>
                <c:rich>
                  <a:bodyPr/>
                  <a:lstStyle/>
                  <a:p>
                    <a:fld id="{D3F52FDC-A213-4FD3-AA4E-FCC97CB9CE7E}"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Analysis'!$C$63</c:f>
              <c:numCache>
                <c:formatCode>_ [$IDR]\ * #,##0.00_ ;_ [$IDR]\ * \-#,##0.00_ ;_ [$IDR]\ * "-"??_ ;_ @_ </c:formatCode>
                <c:ptCount val="1"/>
                <c:pt idx="0">
                  <c:v>5.4276169044243758</c:v>
                </c:pt>
              </c:numCache>
            </c:numRef>
          </c:val>
          <c:extLst>
            <c:ext xmlns:c15="http://schemas.microsoft.com/office/drawing/2012/chart" uri="{02D57815-91ED-43cb-92C2-25804820EDAC}">
              <c15:datalabelsRange>
                <c15:f>'5.2-Cost Breakdown Analysis'!$D$63</c15:f>
                <c15:dlblRangeCache>
                  <c:ptCount val="1"/>
                  <c:pt idx="0">
                    <c:v>1%</c:v>
                  </c:pt>
                </c15:dlblRangeCache>
              </c15:datalabelsRange>
            </c:ext>
            <c:ext xmlns:c16="http://schemas.microsoft.com/office/drawing/2014/chart" uri="{C3380CC4-5D6E-409C-BE32-E72D297353CC}">
              <c16:uniqueId val="{00000007-DDC0-4DB6-A3D8-90815309EAE4}"/>
            </c:ext>
          </c:extLst>
        </c:ser>
        <c:ser>
          <c:idx val="4"/>
          <c:order val="4"/>
          <c:tx>
            <c:strRef>
              <c:f>'5.2-Cost Breakdown Analysis'!$B$64</c:f>
              <c:strCache>
                <c:ptCount val="1"/>
                <c:pt idx="0">
                  <c:v>Office equipment</c:v>
                </c:pt>
              </c:strCache>
            </c:strRef>
          </c:tx>
          <c:spPr>
            <a:solidFill>
              <a:schemeClr val="accent6">
                <a:tint val="83000"/>
              </a:schemeClr>
            </a:solidFill>
            <a:ln>
              <a:noFill/>
            </a:ln>
            <a:effectLst/>
          </c:spPr>
          <c:invertIfNegative val="0"/>
          <c:dLbls>
            <c:dLbl>
              <c:idx val="0"/>
              <c:tx>
                <c:rich>
                  <a:bodyPr/>
                  <a:lstStyle/>
                  <a:p>
                    <a:fld id="{D43919DB-1D18-415B-81A1-C361A8C7FE3E}"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Analysis'!$C$64</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Analysis'!$D$64</c15:f>
                <c15:dlblRangeCache>
                  <c:ptCount val="1"/>
                  <c:pt idx="0">
                    <c:v>0%</c:v>
                  </c:pt>
                </c15:dlblRangeCache>
              </c15:datalabelsRange>
            </c:ext>
            <c:ext xmlns:c16="http://schemas.microsoft.com/office/drawing/2014/chart" uri="{C3380CC4-5D6E-409C-BE32-E72D297353CC}">
              <c16:uniqueId val="{00000009-DDC0-4DB6-A3D8-90815309EAE4}"/>
            </c:ext>
          </c:extLst>
        </c:ser>
        <c:ser>
          <c:idx val="5"/>
          <c:order val="5"/>
          <c:tx>
            <c:strRef>
              <c:f>'5.2-Cost Breakdown Analysis'!$B$65</c:f>
              <c:strCache>
                <c:ptCount val="1"/>
                <c:pt idx="0">
                  <c:v>Office supplies</c:v>
                </c:pt>
              </c:strCache>
            </c:strRef>
          </c:tx>
          <c:spPr>
            <a:solidFill>
              <a:schemeClr val="accent6">
                <a:tint val="65000"/>
              </a:schemeClr>
            </a:solidFill>
            <a:ln>
              <a:noFill/>
            </a:ln>
            <a:effectLst/>
          </c:spPr>
          <c:invertIfNegative val="0"/>
          <c:dLbls>
            <c:dLbl>
              <c:idx val="0"/>
              <c:tx>
                <c:rich>
                  <a:bodyPr/>
                  <a:lstStyle/>
                  <a:p>
                    <a:fld id="{54578B9C-B978-426D-8CB1-1DE5B02A98A8}"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Analysis'!$C$65</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Analysis'!$D$65</c15:f>
                <c15:dlblRangeCache>
                  <c:ptCount val="1"/>
                  <c:pt idx="0">
                    <c:v>0%</c:v>
                  </c:pt>
                </c15:dlblRangeCache>
              </c15:datalabelsRange>
            </c:ext>
            <c:ext xmlns:c16="http://schemas.microsoft.com/office/drawing/2014/chart" uri="{C3380CC4-5D6E-409C-BE32-E72D297353CC}">
              <c16:uniqueId val="{0000000B-DDC0-4DB6-A3D8-90815309EAE4}"/>
            </c:ext>
          </c:extLst>
        </c:ser>
        <c:ser>
          <c:idx val="6"/>
          <c:order val="6"/>
          <c:tx>
            <c:strRef>
              <c:f>'5.2-Cost Breakdown Analysis'!$B$66</c:f>
              <c:strCache>
                <c:ptCount val="1"/>
                <c:pt idx="0">
                  <c:v>SG&amp;A Depreciation</c:v>
                </c:pt>
              </c:strCache>
            </c:strRef>
          </c:tx>
          <c:spPr>
            <a:solidFill>
              <a:schemeClr val="accent6">
                <a:tint val="48000"/>
              </a:schemeClr>
            </a:solidFill>
            <a:ln>
              <a:noFill/>
            </a:ln>
            <a:effectLst/>
          </c:spPr>
          <c:invertIfNegative val="0"/>
          <c:dLbls>
            <c:dLbl>
              <c:idx val="0"/>
              <c:tx>
                <c:rich>
                  <a:bodyPr/>
                  <a:lstStyle/>
                  <a:p>
                    <a:fld id="{9A08C3D9-D920-4A58-BE8B-391A1B138488}"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DC0-4DB6-A3D8-90815309EA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'5.2-Cost Breakdown Analysis'!$C$66</c:f>
              <c:numCache>
                <c:formatCode>_ [$IDR]\ * #,##0.00_ ;_ [$IDR]\ * \-#,##0.00_ ;_ [$IDR]\ * "-"??_ ;_ @_ </c:formatCode>
                <c:ptCount val="1"/>
                <c:pt idx="0">
                  <c:v>0</c:v>
                </c:pt>
              </c:numCache>
            </c:numRef>
          </c:val>
          <c:extLst>
            <c:ext xmlns:c15="http://schemas.microsoft.com/office/drawing/2012/chart" uri="{02D57815-91ED-43cb-92C2-25804820EDAC}">
              <c15:datalabelsRange>
                <c15:f>'5.2-Cost Breakdown Analysis'!$D$66</c15:f>
                <c15:dlblRangeCache>
                  <c:ptCount val="1"/>
                  <c:pt idx="0">
                    <c:v>0%</c:v>
                  </c:pt>
                </c15:dlblRangeCache>
              </c15:datalabelsRange>
            </c:ext>
            <c:ext xmlns:c16="http://schemas.microsoft.com/office/drawing/2014/chart" uri="{C3380CC4-5D6E-409C-BE32-E72D297353CC}">
              <c16:uniqueId val="{0000000D-DDC0-4DB6-A3D8-90815309EAE4}"/>
            </c:ext>
          </c:extLst>
        </c:ser>
        <c:dLbls>
          <c:dLblPos val="ctr"/>
          <c:showLegendKey val="0"/>
          <c:showVal val="1"/>
          <c:showCatName val="0"/>
          <c:showSerName val="0"/>
          <c:showPercent val="0"/>
          <c:showBubbleSize val="0"/>
        </c:dLbls>
        <c:gapWidth val="150"/>
        <c:overlap val="100"/>
        <c:axId val="614343088"/>
        <c:axId val="614342432"/>
      </c:barChart>
      <c:catAx>
        <c:axId val="614343088"/>
        <c:scaling>
          <c:orientation val="minMax"/>
        </c:scaling>
        <c:delete val="1"/>
        <c:axPos val="b"/>
        <c:numFmt formatCode="General" sourceLinked="1"/>
        <c:majorTickMark val="none"/>
        <c:minorTickMark val="none"/>
        <c:tickLblPos val="nextTo"/>
        <c:crossAx val="614342432"/>
        <c:crosses val="autoZero"/>
        <c:auto val="1"/>
        <c:lblAlgn val="ctr"/>
        <c:lblOffset val="100"/>
        <c:noMultiLvlLbl val="0"/>
      </c:catAx>
      <c:valAx>
        <c:axId val="614342432"/>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43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a:t>
            </a:r>
            <a:r>
              <a:rPr lang="en-GB" baseline="0"/>
              <a:t> costs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90425415573053"/>
          <c:y val="7.9861111111111105E-2"/>
          <c:w val="0.58327837926509185"/>
          <c:h val="0.86736712598425192"/>
        </c:manualLayout>
      </c:layout>
      <c:barChart>
        <c:barDir val="col"/>
        <c:grouping val="stacked"/>
        <c:varyColors val="0"/>
        <c:ser>
          <c:idx val="0"/>
          <c:order val="0"/>
          <c:tx>
            <c:strRef>
              <c:f>'5.2-Cost Breakdown Analysis'!$B$54</c:f>
              <c:strCache>
                <c:ptCount val="1"/>
                <c:pt idx="0">
                  <c:v>COGS</c:v>
                </c:pt>
              </c:strCache>
            </c:strRef>
          </c:tx>
          <c:spPr>
            <a:solidFill>
              <a:schemeClr val="accent6">
                <a:shade val="76000"/>
              </a:schemeClr>
            </a:solidFill>
            <a:ln>
              <a:noFill/>
            </a:ln>
            <a:effectLst/>
          </c:spPr>
          <c:invertIfNegative val="0"/>
          <c:dLbls>
            <c:dLbl>
              <c:idx val="0"/>
              <c:tx>
                <c:rich>
                  <a:bodyPr/>
                  <a:lstStyle/>
                  <a:p>
                    <a:fld id="{51CD4A25-B591-4A9D-B7B3-437EE86C9C8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966-4DCD-BD3E-9D0D5CF81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Operational costs</c:v>
              </c:pt>
            </c:strLit>
          </c:cat>
          <c:val>
            <c:numRef>
              <c:f>'5.2-Cost Breakdown Analysis'!$C$54</c:f>
              <c:numCache>
                <c:formatCode>_ [$IDR]\ * #,##0.00_ ;_ [$IDR]\ * \-#,##0.00_ ;_ [$IDR]\ * "-"??_ ;_ @_ </c:formatCode>
                <c:ptCount val="1"/>
                <c:pt idx="0">
                  <c:v>7920.5106938019253</c:v>
                </c:pt>
              </c:numCache>
            </c:numRef>
          </c:val>
          <c:extLst>
            <c:ext xmlns:c15="http://schemas.microsoft.com/office/drawing/2012/chart" uri="{02D57815-91ED-43cb-92C2-25804820EDAC}">
              <c15:datalabelsRange>
                <c15:f>'5.2-Cost Breakdown Analysis'!$D$54</c15:f>
                <c15:dlblRangeCache>
                  <c:ptCount val="1"/>
                  <c:pt idx="0">
                    <c:v>96%</c:v>
                  </c:pt>
                </c15:dlblRangeCache>
              </c15:datalabelsRange>
            </c:ext>
            <c:ext xmlns:c16="http://schemas.microsoft.com/office/drawing/2014/chart" uri="{C3380CC4-5D6E-409C-BE32-E72D297353CC}">
              <c16:uniqueId val="{00000001-B966-4DCD-BD3E-9D0D5CF81483}"/>
            </c:ext>
          </c:extLst>
        </c:ser>
        <c:ser>
          <c:idx val="1"/>
          <c:order val="1"/>
          <c:tx>
            <c:strRef>
              <c:f>'5.2-Cost Breakdown Analysis'!$B$55</c:f>
              <c:strCache>
                <c:ptCount val="1"/>
                <c:pt idx="0">
                  <c:v>SG&amp;A</c:v>
                </c:pt>
              </c:strCache>
            </c:strRef>
          </c:tx>
          <c:spPr>
            <a:solidFill>
              <a:schemeClr val="accent6">
                <a:tint val="77000"/>
              </a:schemeClr>
            </a:solidFill>
            <a:ln>
              <a:noFill/>
            </a:ln>
            <a:effectLst/>
          </c:spPr>
          <c:invertIfNegative val="0"/>
          <c:dLbls>
            <c:dLbl>
              <c:idx val="0"/>
              <c:tx>
                <c:rich>
                  <a:bodyPr/>
                  <a:lstStyle/>
                  <a:p>
                    <a:fld id="{9CE805F1-B100-42D4-80A1-44EF225C033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966-4DCD-BD3E-9D0D5CF81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
              <c:pt idx="0">
                <c:v>Operational costs</c:v>
              </c:pt>
            </c:strLit>
          </c:cat>
          <c:val>
            <c:numRef>
              <c:f>'5.2-Cost Breakdown Analysis'!$C$55</c:f>
              <c:numCache>
                <c:formatCode>_ [$IDR]\ * #,##0.00_ ;_ [$IDR]\ * \-#,##0.00_ ;_ [$IDR]\ * "-"??_ ;_ @_ </c:formatCode>
                <c:ptCount val="1"/>
                <c:pt idx="0">
                  <c:v>366.60836050661129</c:v>
                </c:pt>
              </c:numCache>
            </c:numRef>
          </c:val>
          <c:extLst>
            <c:ext xmlns:c15="http://schemas.microsoft.com/office/drawing/2012/chart" uri="{02D57815-91ED-43cb-92C2-25804820EDAC}">
              <c15:datalabelsRange>
                <c15:f>'5.2-Cost Breakdown Analysis'!$D$55</c15:f>
                <c15:dlblRangeCache>
                  <c:ptCount val="1"/>
                  <c:pt idx="0">
                    <c:v>4%</c:v>
                  </c:pt>
                </c15:dlblRangeCache>
              </c15:datalabelsRange>
            </c:ext>
            <c:ext xmlns:c16="http://schemas.microsoft.com/office/drawing/2014/chart" uri="{C3380CC4-5D6E-409C-BE32-E72D297353CC}">
              <c16:uniqueId val="{00000003-B966-4DCD-BD3E-9D0D5CF81483}"/>
            </c:ext>
          </c:extLst>
        </c:ser>
        <c:dLbls>
          <c:showLegendKey val="0"/>
          <c:showVal val="0"/>
          <c:showCatName val="0"/>
          <c:showSerName val="0"/>
          <c:showPercent val="0"/>
          <c:showBubbleSize val="0"/>
        </c:dLbls>
        <c:gapWidth val="150"/>
        <c:overlap val="100"/>
        <c:axId val="614343088"/>
        <c:axId val="614342432"/>
      </c:barChart>
      <c:catAx>
        <c:axId val="614343088"/>
        <c:scaling>
          <c:orientation val="minMax"/>
        </c:scaling>
        <c:delete val="1"/>
        <c:axPos val="b"/>
        <c:numFmt formatCode="General" sourceLinked="1"/>
        <c:majorTickMark val="none"/>
        <c:minorTickMark val="none"/>
        <c:tickLblPos val="nextTo"/>
        <c:crossAx val="614342432"/>
        <c:crosses val="autoZero"/>
        <c:auto val="1"/>
        <c:lblAlgn val="ctr"/>
        <c:lblOffset val="100"/>
        <c:noMultiLvlLbl val="0"/>
      </c:catAx>
      <c:valAx>
        <c:axId val="614342432"/>
        <c:scaling>
          <c:orientation val="minMax"/>
          <c:min val="0"/>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43088"/>
        <c:crosses val="autoZero"/>
        <c:crossBetween val="between"/>
      </c:valAx>
      <c:spPr>
        <a:noFill/>
        <a:ln>
          <a:noFill/>
        </a:ln>
        <a:effectLst/>
      </c:spPr>
    </c:plotArea>
    <c:legend>
      <c:legendPos val="r"/>
      <c:layout>
        <c:manualLayout>
          <c:xMode val="edge"/>
          <c:yMode val="edge"/>
          <c:x val="0.76718203193350831"/>
          <c:y val="0.48322861986001747"/>
          <c:w val="0.12865130139982503"/>
          <c:h val="0.117188320209973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 costs breakdown</a:t>
            </a:r>
            <a:r>
              <a:rPr lang="en-GB" baseline="0"/>
              <a:t> per unit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31789487264539"/>
          <c:y val="6.9370078740157493E-2"/>
          <c:w val="0.56909978640797676"/>
          <c:h val="0.72068104768153984"/>
        </c:manualLayout>
      </c:layout>
      <c:barChart>
        <c:barDir val="col"/>
        <c:grouping val="stacked"/>
        <c:varyColors val="0"/>
        <c:ser>
          <c:idx val="0"/>
          <c:order val="0"/>
          <c:tx>
            <c:strRef>
              <c:f>'5.2-Cost Breakdown Analysis'!$C$6</c:f>
              <c:strCache>
                <c:ptCount val="1"/>
                <c:pt idx="0">
                  <c:v>Materials (direct)</c:v>
                </c:pt>
              </c:strCache>
            </c:strRef>
          </c:tx>
          <c:spPr>
            <a:solidFill>
              <a:schemeClr val="accent6">
                <a:shade val="50000"/>
              </a:schemeClr>
            </a:solidFill>
            <a:ln>
              <a:noFill/>
            </a:ln>
            <a:effectLst/>
          </c:spPr>
          <c:invertIfNegative val="0"/>
          <c:dLbls>
            <c:dLbl>
              <c:idx val="0"/>
              <c:tx>
                <c:rich>
                  <a:bodyPr/>
                  <a:lstStyle/>
                  <a:p>
                    <a:fld id="{F02FC0E7-4537-4E01-ADB6-9C6827CA912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1CF-4D71-ABEF-2F252F701693}"/>
                </c:ext>
              </c:extLst>
            </c:dLbl>
            <c:dLbl>
              <c:idx val="1"/>
              <c:tx>
                <c:rich>
                  <a:bodyPr/>
                  <a:lstStyle/>
                  <a:p>
                    <a:fld id="{C1042025-634B-4ACE-ADFB-46D104DD2D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1CF-4D71-ABEF-2F252F701693}"/>
                </c:ext>
              </c:extLst>
            </c:dLbl>
            <c:dLbl>
              <c:idx val="2"/>
              <c:tx>
                <c:rich>
                  <a:bodyPr/>
                  <a:lstStyle/>
                  <a:p>
                    <a:fld id="{541DE309-032D-4E7A-B4D3-9BE3BCAC44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CF-4D71-ABEF-2F252F701693}"/>
                </c:ext>
              </c:extLst>
            </c:dLbl>
            <c:dLbl>
              <c:idx val="3"/>
              <c:tx>
                <c:rich>
                  <a:bodyPr/>
                  <a:lstStyle/>
                  <a:p>
                    <a:fld id="{4521DDB6-3360-4632-A270-6D437C34EF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CF-4D71-ABEF-2F252F701693}"/>
                </c:ext>
              </c:extLst>
            </c:dLbl>
            <c:dLbl>
              <c:idx val="4"/>
              <c:tx>
                <c:rich>
                  <a:bodyPr/>
                  <a:lstStyle/>
                  <a:p>
                    <a:fld id="{20498CC5-D489-443A-A312-87627B9692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CF-4D71-ABEF-2F252F701693}"/>
                </c:ext>
              </c:extLst>
            </c:dLbl>
            <c:dLbl>
              <c:idx val="5"/>
              <c:tx>
                <c:rich>
                  <a:bodyPr/>
                  <a:lstStyle/>
                  <a:p>
                    <a:fld id="{27EB02D9-0772-4D2A-8058-2A4F555595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Analysis'!$C$7:$C$12</c:f>
              <c:numCache>
                <c:formatCode>_ [$IDR]\ * #,##0.00_ ;_ [$IDR]\ * \-#,##0.00_ ;_ [$IDR]\ * "-"??_ ;_ @_ </c:formatCode>
                <c:ptCount val="6"/>
                <c:pt idx="0">
                  <c:v>0</c:v>
                </c:pt>
                <c:pt idx="1">
                  <c:v>0</c:v>
                </c:pt>
                <c:pt idx="2">
                  <c:v>0</c:v>
                </c:pt>
                <c:pt idx="3">
                  <c:v>1779.0968346336483</c:v>
                </c:pt>
                <c:pt idx="4">
                  <c:v>0</c:v>
                </c:pt>
                <c:pt idx="5">
                  <c:v>0</c:v>
                </c:pt>
              </c:numCache>
            </c:numRef>
          </c:val>
          <c:extLst>
            <c:ext xmlns:c15="http://schemas.microsoft.com/office/drawing/2012/chart" uri="{02D57815-91ED-43cb-92C2-25804820EDAC}">
              <c15:datalabelsRange>
                <c15:f>'5.2-Cost Breakdown Analysis'!$C$28:$H$28</c15:f>
                <c15:dlblRangeCache>
                  <c:ptCount val="6"/>
                  <c:pt idx="0">
                    <c:v>0%</c:v>
                  </c:pt>
                  <c:pt idx="1">
                    <c:v>0%</c:v>
                  </c:pt>
                  <c:pt idx="2">
                    <c:v>0%</c:v>
                  </c:pt>
                  <c:pt idx="3">
                    <c:v>35%</c:v>
                  </c:pt>
                  <c:pt idx="4">
                    <c:v>0%</c:v>
                  </c:pt>
                  <c:pt idx="5">
                    <c:v>0%</c:v>
                  </c:pt>
                </c15:dlblRangeCache>
              </c15:datalabelsRange>
            </c:ext>
            <c:ext xmlns:c16="http://schemas.microsoft.com/office/drawing/2014/chart" uri="{C3380CC4-5D6E-409C-BE32-E72D297353CC}">
              <c16:uniqueId val="{00000006-61CF-4D71-ABEF-2F252F701693}"/>
            </c:ext>
          </c:extLst>
        </c:ser>
        <c:ser>
          <c:idx val="1"/>
          <c:order val="1"/>
          <c:tx>
            <c:strRef>
              <c:f>'5.2-Cost Breakdown Analysis'!$D$6</c:f>
              <c:strCache>
                <c:ptCount val="1"/>
                <c:pt idx="0">
                  <c:v>Labor (direct)</c:v>
                </c:pt>
              </c:strCache>
            </c:strRef>
          </c:tx>
          <c:spPr>
            <a:solidFill>
              <a:schemeClr val="accent6">
                <a:shade val="70000"/>
              </a:schemeClr>
            </a:solidFill>
            <a:ln>
              <a:noFill/>
            </a:ln>
            <a:effectLst/>
          </c:spPr>
          <c:invertIfNegative val="0"/>
          <c:dLbls>
            <c:dLbl>
              <c:idx val="0"/>
              <c:tx>
                <c:rich>
                  <a:bodyPr/>
                  <a:lstStyle/>
                  <a:p>
                    <a:fld id="{25A78954-C1D2-4C3F-AF31-DBEFC0F66CA5}"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1CF-4D71-ABEF-2F252F701693}"/>
                </c:ext>
              </c:extLst>
            </c:dLbl>
            <c:dLbl>
              <c:idx val="1"/>
              <c:tx>
                <c:rich>
                  <a:bodyPr/>
                  <a:lstStyle/>
                  <a:p>
                    <a:fld id="{498776AE-B8B9-4394-9E3E-5AFF7BEC831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CF-4D71-ABEF-2F252F701693}"/>
                </c:ext>
              </c:extLst>
            </c:dLbl>
            <c:dLbl>
              <c:idx val="2"/>
              <c:tx>
                <c:rich>
                  <a:bodyPr/>
                  <a:lstStyle/>
                  <a:p>
                    <a:fld id="{35B7AAC7-A402-4A48-870B-AF3681A41AB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CF-4D71-ABEF-2F252F701693}"/>
                </c:ext>
              </c:extLst>
            </c:dLbl>
            <c:dLbl>
              <c:idx val="3"/>
              <c:tx>
                <c:rich>
                  <a:bodyPr/>
                  <a:lstStyle/>
                  <a:p>
                    <a:fld id="{55A42A49-DB91-4ADB-8836-C0411B25A20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CF-4D71-ABEF-2F252F701693}"/>
                </c:ext>
              </c:extLst>
            </c:dLbl>
            <c:dLbl>
              <c:idx val="4"/>
              <c:tx>
                <c:rich>
                  <a:bodyPr/>
                  <a:lstStyle/>
                  <a:p>
                    <a:fld id="{218940A0-C59F-4B6E-AF57-890A0941C80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CF-4D71-ABEF-2F252F701693}"/>
                </c:ext>
              </c:extLst>
            </c:dLbl>
            <c:dLbl>
              <c:idx val="5"/>
              <c:tx>
                <c:rich>
                  <a:bodyPr/>
                  <a:lstStyle/>
                  <a:p>
                    <a:fld id="{60ACA372-72CD-4209-87A4-4FEF9462712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Analysis'!$D$7:$D$12</c:f>
              <c:numCache>
                <c:formatCode>_ [$IDR]\ * #,##0.00_ ;_ [$IDR]\ * \-#,##0.00_ ;_ [$IDR]\ * "-"??_ ;_ @_ </c:formatCode>
                <c:ptCount val="6"/>
                <c:pt idx="0">
                  <c:v>0</c:v>
                </c:pt>
                <c:pt idx="1">
                  <c:v>223.92006629158269</c:v>
                </c:pt>
                <c:pt idx="2">
                  <c:v>1475.5294536847382</c:v>
                </c:pt>
                <c:pt idx="3">
                  <c:v>2124.3118999704016</c:v>
                </c:pt>
                <c:pt idx="4">
                  <c:v>0</c:v>
                </c:pt>
                <c:pt idx="5">
                  <c:v>0</c:v>
                </c:pt>
              </c:numCache>
            </c:numRef>
          </c:val>
          <c:extLst>
            <c:ext xmlns:c15="http://schemas.microsoft.com/office/drawing/2012/chart" uri="{02D57815-91ED-43cb-92C2-25804820EDAC}">
              <c15:datalabelsRange>
                <c15:f>'5.2-Cost Breakdown Analysis'!$C$29:$H$29</c15:f>
                <c15:dlblRangeCache>
                  <c:ptCount val="6"/>
                  <c:pt idx="0">
                    <c:v>0%</c:v>
                  </c:pt>
                  <c:pt idx="1">
                    <c:v>58%</c:v>
                  </c:pt>
                  <c:pt idx="2">
                    <c:v>61%</c:v>
                  </c:pt>
                  <c:pt idx="3">
                    <c:v>42%</c:v>
                  </c:pt>
                  <c:pt idx="4">
                    <c:v>0%</c:v>
                  </c:pt>
                  <c:pt idx="5">
                    <c:v>0%</c:v>
                  </c:pt>
                </c15:dlblRangeCache>
              </c15:datalabelsRange>
            </c:ext>
            <c:ext xmlns:c16="http://schemas.microsoft.com/office/drawing/2014/chart" uri="{C3380CC4-5D6E-409C-BE32-E72D297353CC}">
              <c16:uniqueId val="{0000000D-61CF-4D71-ABEF-2F252F701693}"/>
            </c:ext>
          </c:extLst>
        </c:ser>
        <c:ser>
          <c:idx val="2"/>
          <c:order val="2"/>
          <c:tx>
            <c:strRef>
              <c:f>'5.2-Cost Breakdown Analysis'!$E$6</c:f>
              <c:strCache>
                <c:ptCount val="1"/>
                <c:pt idx="0">
                  <c:v>Labor (indirect)</c:v>
                </c:pt>
              </c:strCache>
            </c:strRef>
          </c:tx>
          <c:spPr>
            <a:solidFill>
              <a:schemeClr val="accent6">
                <a:shade val="90000"/>
              </a:schemeClr>
            </a:solidFill>
            <a:ln>
              <a:noFill/>
            </a:ln>
            <a:effectLst/>
          </c:spPr>
          <c:invertIfNegative val="0"/>
          <c:dLbls>
            <c:dLbl>
              <c:idx val="0"/>
              <c:tx>
                <c:rich>
                  <a:bodyPr/>
                  <a:lstStyle/>
                  <a:p>
                    <a:fld id="{909C42B3-C6B3-4042-8803-C488AD5E1035}"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1CF-4D71-ABEF-2F252F701693}"/>
                </c:ext>
              </c:extLst>
            </c:dLbl>
            <c:dLbl>
              <c:idx val="1"/>
              <c:tx>
                <c:rich>
                  <a:bodyPr/>
                  <a:lstStyle/>
                  <a:p>
                    <a:fld id="{3CB30BE9-B227-4972-9AD4-D2752ABC7FE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CF-4D71-ABEF-2F252F701693}"/>
                </c:ext>
              </c:extLst>
            </c:dLbl>
            <c:dLbl>
              <c:idx val="2"/>
              <c:tx>
                <c:rich>
                  <a:bodyPr/>
                  <a:lstStyle/>
                  <a:p>
                    <a:fld id="{1F3728FD-A8AE-4D3D-A91D-82D8F7D8A62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CF-4D71-ABEF-2F252F701693}"/>
                </c:ext>
              </c:extLst>
            </c:dLbl>
            <c:dLbl>
              <c:idx val="3"/>
              <c:tx>
                <c:rich>
                  <a:bodyPr/>
                  <a:lstStyle/>
                  <a:p>
                    <a:fld id="{B55821D2-840A-49F7-962B-406B7C2F424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CF-4D71-ABEF-2F252F701693}"/>
                </c:ext>
              </c:extLst>
            </c:dLbl>
            <c:dLbl>
              <c:idx val="4"/>
              <c:tx>
                <c:rich>
                  <a:bodyPr/>
                  <a:lstStyle/>
                  <a:p>
                    <a:fld id="{6195DF76-2DA3-4DD7-A402-7F5B37FD4330}"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CF-4D71-ABEF-2F252F701693}"/>
                </c:ext>
              </c:extLst>
            </c:dLbl>
            <c:dLbl>
              <c:idx val="5"/>
              <c:tx>
                <c:rich>
                  <a:bodyPr/>
                  <a:lstStyle/>
                  <a:p>
                    <a:fld id="{20F09712-B60F-4206-9FD5-889C6EF629A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Analysis'!$E$7:$E$12</c:f>
              <c:numCache>
                <c:formatCode>_ [$IDR]\ * #,##0.00_ ;_ [$IDR]\ * \-#,##0.00_ ;_ [$IDR]\ * "-"??_ ;_ @_ </c:formatCode>
                <c:ptCount val="6"/>
                <c:pt idx="0">
                  <c:v>0</c:v>
                </c:pt>
                <c:pt idx="1">
                  <c:v>0</c:v>
                </c:pt>
                <c:pt idx="2">
                  <c:v>0</c:v>
                </c:pt>
                <c:pt idx="3">
                  <c:v>0</c:v>
                </c:pt>
                <c:pt idx="4">
                  <c:v>0</c:v>
                </c:pt>
                <c:pt idx="5">
                  <c:v>0</c:v>
                </c:pt>
              </c:numCache>
            </c:numRef>
          </c:val>
          <c:extLst>
            <c:ext xmlns:c15="http://schemas.microsoft.com/office/drawing/2012/chart" uri="{02D57815-91ED-43cb-92C2-25804820EDAC}">
              <c15:datalabelsRange>
                <c15:f>'5.2-Cost Breakdown Analysis'!$C$30:$H$30</c15:f>
                <c15:dlblRangeCache>
                  <c:ptCount val="6"/>
                  <c:pt idx="0">
                    <c:v>0%</c:v>
                  </c:pt>
                  <c:pt idx="1">
                    <c:v>0%</c:v>
                  </c:pt>
                  <c:pt idx="2">
                    <c:v>0%</c:v>
                  </c:pt>
                  <c:pt idx="3">
                    <c:v>0%</c:v>
                  </c:pt>
                  <c:pt idx="4">
                    <c:v>0%</c:v>
                  </c:pt>
                  <c:pt idx="5">
                    <c:v>0%</c:v>
                  </c:pt>
                </c15:dlblRangeCache>
              </c15:datalabelsRange>
            </c:ext>
            <c:ext xmlns:c16="http://schemas.microsoft.com/office/drawing/2014/chart" uri="{C3380CC4-5D6E-409C-BE32-E72D297353CC}">
              <c16:uniqueId val="{00000014-61CF-4D71-ABEF-2F252F701693}"/>
            </c:ext>
          </c:extLst>
        </c:ser>
        <c:ser>
          <c:idx val="3"/>
          <c:order val="3"/>
          <c:tx>
            <c:strRef>
              <c:f>'5.2-Cost Breakdown Analysis'!$F$6</c:f>
              <c:strCache>
                <c:ptCount val="1"/>
                <c:pt idx="0">
                  <c:v>Equipment Depreciation</c:v>
                </c:pt>
              </c:strCache>
            </c:strRef>
          </c:tx>
          <c:spPr>
            <a:solidFill>
              <a:schemeClr val="accent6">
                <a:tint val="90000"/>
              </a:schemeClr>
            </a:solidFill>
            <a:ln>
              <a:noFill/>
            </a:ln>
            <a:effectLst/>
          </c:spPr>
          <c:invertIfNegative val="0"/>
          <c:dLbls>
            <c:dLbl>
              <c:idx val="0"/>
              <c:tx>
                <c:rich>
                  <a:bodyPr/>
                  <a:lstStyle/>
                  <a:p>
                    <a:fld id="{B733714C-22EB-484D-B27E-68B999CDF743}"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1CF-4D71-ABEF-2F252F701693}"/>
                </c:ext>
              </c:extLst>
            </c:dLbl>
            <c:dLbl>
              <c:idx val="1"/>
              <c:tx>
                <c:rich>
                  <a:bodyPr/>
                  <a:lstStyle/>
                  <a:p>
                    <a:fld id="{E2F6C38F-A3DA-4B69-AB73-C218EAC6806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CF-4D71-ABEF-2F252F701693}"/>
                </c:ext>
              </c:extLst>
            </c:dLbl>
            <c:dLbl>
              <c:idx val="2"/>
              <c:tx>
                <c:rich>
                  <a:bodyPr/>
                  <a:lstStyle/>
                  <a:p>
                    <a:fld id="{4F594A1B-DBB1-433C-933D-B81EA6D109E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CF-4D71-ABEF-2F252F701693}"/>
                </c:ext>
              </c:extLst>
            </c:dLbl>
            <c:dLbl>
              <c:idx val="3"/>
              <c:tx>
                <c:rich>
                  <a:bodyPr/>
                  <a:lstStyle/>
                  <a:p>
                    <a:fld id="{F405C7F3-6FF0-47F7-9597-CA6116EC69EC}"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CF-4D71-ABEF-2F252F701693}"/>
                </c:ext>
              </c:extLst>
            </c:dLbl>
            <c:dLbl>
              <c:idx val="4"/>
              <c:tx>
                <c:rich>
                  <a:bodyPr/>
                  <a:lstStyle/>
                  <a:p>
                    <a:fld id="{CEAA3895-2972-470D-8D06-9219DDF6E9F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CF-4D71-ABEF-2F252F701693}"/>
                </c:ext>
              </c:extLst>
            </c:dLbl>
            <c:dLbl>
              <c:idx val="5"/>
              <c:tx>
                <c:rich>
                  <a:bodyPr/>
                  <a:lstStyle/>
                  <a:p>
                    <a:fld id="{08792890-CDA9-4EF1-8E51-E8162D90EA7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Analysis'!$F$7:$F$12</c:f>
              <c:numCache>
                <c:formatCode>_ [$IDR]\ * #,##0.00_ ;_ [$IDR]\ * \-#,##0.00_ ;_ [$IDR]\ * "-"??_ ;_ @_ </c:formatCode>
                <c:ptCount val="6"/>
                <c:pt idx="0">
                  <c:v>0</c:v>
                </c:pt>
                <c:pt idx="1">
                  <c:v>130.94258551417553</c:v>
                </c:pt>
                <c:pt idx="2">
                  <c:v>772.86479510067591</c:v>
                </c:pt>
                <c:pt idx="3">
                  <c:v>702.91120423465054</c:v>
                </c:pt>
                <c:pt idx="4">
                  <c:v>70.944936419344842</c:v>
                </c:pt>
                <c:pt idx="5">
                  <c:v>0</c:v>
                </c:pt>
              </c:numCache>
            </c:numRef>
          </c:val>
          <c:extLst>
            <c:ext xmlns:c15="http://schemas.microsoft.com/office/drawing/2012/chart" uri="{02D57815-91ED-43cb-92C2-25804820EDAC}">
              <c15:datalabelsRange>
                <c15:f>'5.2-Cost Breakdown Analysis'!$C$31:$H$31</c15:f>
                <c15:dlblRangeCache>
                  <c:ptCount val="6"/>
                  <c:pt idx="0">
                    <c:v>0%</c:v>
                  </c:pt>
                  <c:pt idx="1">
                    <c:v>34%</c:v>
                  </c:pt>
                  <c:pt idx="2">
                    <c:v>32%</c:v>
                  </c:pt>
                  <c:pt idx="3">
                    <c:v>14%</c:v>
                  </c:pt>
                  <c:pt idx="4">
                    <c:v>83%</c:v>
                  </c:pt>
                  <c:pt idx="5">
                    <c:v>0%</c:v>
                  </c:pt>
                </c15:dlblRangeCache>
              </c15:datalabelsRange>
            </c:ext>
            <c:ext xmlns:c16="http://schemas.microsoft.com/office/drawing/2014/chart" uri="{C3380CC4-5D6E-409C-BE32-E72D297353CC}">
              <c16:uniqueId val="{0000001B-61CF-4D71-ABEF-2F252F701693}"/>
            </c:ext>
          </c:extLst>
        </c:ser>
        <c:ser>
          <c:idx val="4"/>
          <c:order val="4"/>
          <c:tx>
            <c:strRef>
              <c:f>'5.2-Cost Breakdown Analysis'!$G$6</c:f>
              <c:strCache>
                <c:ptCount val="1"/>
                <c:pt idx="0">
                  <c:v>Equipment O&amp;M</c:v>
                </c:pt>
              </c:strCache>
            </c:strRef>
          </c:tx>
          <c:spPr>
            <a:solidFill>
              <a:schemeClr val="accent6">
                <a:tint val="70000"/>
              </a:schemeClr>
            </a:solidFill>
            <a:ln>
              <a:noFill/>
            </a:ln>
            <a:effectLst/>
          </c:spPr>
          <c:invertIfNegative val="0"/>
          <c:dLbls>
            <c:dLbl>
              <c:idx val="0"/>
              <c:tx>
                <c:rich>
                  <a:bodyPr/>
                  <a:lstStyle/>
                  <a:p>
                    <a:fld id="{043D42B4-F7E5-46EC-939B-2C18334E8E6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61CF-4D71-ABEF-2F252F701693}"/>
                </c:ext>
              </c:extLst>
            </c:dLbl>
            <c:dLbl>
              <c:idx val="1"/>
              <c:tx>
                <c:rich>
                  <a:bodyPr/>
                  <a:lstStyle/>
                  <a:p>
                    <a:fld id="{A2D3348B-739A-4A53-BB54-247F4174F5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CF-4D71-ABEF-2F252F701693}"/>
                </c:ext>
              </c:extLst>
            </c:dLbl>
            <c:dLbl>
              <c:idx val="2"/>
              <c:tx>
                <c:rich>
                  <a:bodyPr/>
                  <a:lstStyle/>
                  <a:p>
                    <a:fld id="{08499C8F-5720-4C0A-874D-C48C844FEE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CF-4D71-ABEF-2F252F701693}"/>
                </c:ext>
              </c:extLst>
            </c:dLbl>
            <c:dLbl>
              <c:idx val="3"/>
              <c:tx>
                <c:rich>
                  <a:bodyPr/>
                  <a:lstStyle/>
                  <a:p>
                    <a:fld id="{61556B65-B649-4CAA-9BC3-D56B9061CC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CF-4D71-ABEF-2F252F701693}"/>
                </c:ext>
              </c:extLst>
            </c:dLbl>
            <c:dLbl>
              <c:idx val="4"/>
              <c:tx>
                <c:rich>
                  <a:bodyPr/>
                  <a:lstStyle/>
                  <a:p>
                    <a:fld id="{0CE007BB-267C-41E7-869C-D2200B1865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CF-4D71-ABEF-2F252F701693}"/>
                </c:ext>
              </c:extLst>
            </c:dLbl>
            <c:dLbl>
              <c:idx val="5"/>
              <c:tx>
                <c:rich>
                  <a:bodyPr/>
                  <a:lstStyle/>
                  <a:p>
                    <a:fld id="{68272BF7-E95D-449B-95C9-58A683F853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Analysis'!$G$7:$G$12</c:f>
              <c:numCache>
                <c:formatCode>_ [$IDR]\ * #,##0.00_ ;_ [$IDR]\ * \-#,##0.00_ ;_ [$IDR]\ * "-"??_ ;_ @_ </c:formatCode>
                <c:ptCount val="6"/>
                <c:pt idx="0">
                  <c:v>0</c:v>
                </c:pt>
                <c:pt idx="1">
                  <c:v>26.362710678632681</c:v>
                </c:pt>
                <c:pt idx="2">
                  <c:v>186.79605614414731</c:v>
                </c:pt>
                <c:pt idx="3">
                  <c:v>121.31945260730964</c:v>
                </c:pt>
                <c:pt idx="4">
                  <c:v>14.124903874886527</c:v>
                </c:pt>
                <c:pt idx="5">
                  <c:v>0</c:v>
                </c:pt>
              </c:numCache>
            </c:numRef>
          </c:val>
          <c:extLst>
            <c:ext xmlns:c15="http://schemas.microsoft.com/office/drawing/2012/chart" uri="{02D57815-91ED-43cb-92C2-25804820EDAC}">
              <c15:datalabelsRange>
                <c15:f>'5.2-Cost Breakdown Analysis'!$C$32:$H$32</c15:f>
                <c15:dlblRangeCache>
                  <c:ptCount val="6"/>
                  <c:pt idx="0">
                    <c:v>0%</c:v>
                  </c:pt>
                  <c:pt idx="1">
                    <c:v>7%</c:v>
                  </c:pt>
                  <c:pt idx="2">
                    <c:v>8%</c:v>
                  </c:pt>
                  <c:pt idx="3">
                    <c:v>2%</c:v>
                  </c:pt>
                  <c:pt idx="4">
                    <c:v>16%</c:v>
                  </c:pt>
                  <c:pt idx="5">
                    <c:v>0%</c:v>
                  </c:pt>
                </c15:dlblRangeCache>
              </c15:datalabelsRange>
            </c:ext>
            <c:ext xmlns:c16="http://schemas.microsoft.com/office/drawing/2014/chart" uri="{C3380CC4-5D6E-409C-BE32-E72D297353CC}">
              <c16:uniqueId val="{00000022-61CF-4D71-ABEF-2F252F701693}"/>
            </c:ext>
          </c:extLst>
        </c:ser>
        <c:ser>
          <c:idx val="5"/>
          <c:order val="5"/>
          <c:tx>
            <c:strRef>
              <c:f>'5.2-Cost Breakdown Analysis'!$H$6</c:f>
              <c:strCache>
                <c:ptCount val="1"/>
                <c:pt idx="0">
                  <c:v>Utilities</c:v>
                </c:pt>
              </c:strCache>
            </c:strRef>
          </c:tx>
          <c:spPr>
            <a:solidFill>
              <a:schemeClr val="accent6">
                <a:tint val="50000"/>
              </a:schemeClr>
            </a:solidFill>
            <a:ln>
              <a:noFill/>
            </a:ln>
            <a:effectLst/>
          </c:spPr>
          <c:invertIfNegative val="0"/>
          <c:dLbls>
            <c:dLbl>
              <c:idx val="0"/>
              <c:tx>
                <c:rich>
                  <a:bodyPr/>
                  <a:lstStyle/>
                  <a:p>
                    <a:fld id="{1E0A14B9-A901-4A53-9E48-6204386A4372}"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1CF-4D71-ABEF-2F252F701693}"/>
                </c:ext>
              </c:extLst>
            </c:dLbl>
            <c:dLbl>
              <c:idx val="1"/>
              <c:tx>
                <c:rich>
                  <a:bodyPr/>
                  <a:lstStyle/>
                  <a:p>
                    <a:fld id="{D2B3D8E6-36A6-4E49-A096-E8B6A82AD5A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1CF-4D71-ABEF-2F252F701693}"/>
                </c:ext>
              </c:extLst>
            </c:dLbl>
            <c:dLbl>
              <c:idx val="2"/>
              <c:tx>
                <c:rich>
                  <a:bodyPr/>
                  <a:lstStyle/>
                  <a:p>
                    <a:fld id="{BE5C78A6-B756-49E7-B98A-1B99DF6876E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1CF-4D71-ABEF-2F252F701693}"/>
                </c:ext>
              </c:extLst>
            </c:dLbl>
            <c:dLbl>
              <c:idx val="3"/>
              <c:tx>
                <c:rich>
                  <a:bodyPr/>
                  <a:lstStyle/>
                  <a:p>
                    <a:fld id="{5A16C3A9-45E3-45C8-B8A2-3010C76C4FB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1CF-4D71-ABEF-2F252F701693}"/>
                </c:ext>
              </c:extLst>
            </c:dLbl>
            <c:dLbl>
              <c:idx val="4"/>
              <c:tx>
                <c:rich>
                  <a:bodyPr/>
                  <a:lstStyle/>
                  <a:p>
                    <a:fld id="{26829938-D693-4CA2-9AC4-4D8DCB94BB7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1CF-4D71-ABEF-2F252F701693}"/>
                </c:ext>
              </c:extLst>
            </c:dLbl>
            <c:dLbl>
              <c:idx val="5"/>
              <c:tx>
                <c:rich>
                  <a:bodyPr/>
                  <a:lstStyle/>
                  <a:p>
                    <a:fld id="{5F0996AF-8217-4F7B-B090-5D268940C72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1CF-4D71-ABEF-2F252F7016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'5.2-Cost Breakdown Analysis'!$B$7:$B$12</c:f>
              <c:strCache>
                <c:ptCount val="6"/>
                <c:pt idx="0">
                  <c:v>Unit-W</c:v>
                </c:pt>
                <c:pt idx="1">
                  <c:v>Unit-T</c:v>
                </c:pt>
                <c:pt idx="2">
                  <c:v>Unit-H</c:v>
                </c:pt>
                <c:pt idx="3">
                  <c:v>Unit-N</c:v>
                </c:pt>
                <c:pt idx="4">
                  <c:v>Unit-P</c:v>
                </c:pt>
                <c:pt idx="5">
                  <c:v>Unit-R</c:v>
                </c:pt>
              </c:strCache>
            </c:strRef>
          </c:cat>
          <c:val>
            <c:numRef>
              <c:f>'5.2-Cost Breakdown Analysis'!$H$7:$H$12</c:f>
              <c:numCache>
                <c:formatCode>_ [$IDR]\ * #,##0.00_ ;_ [$IDR]\ * \-#,##0.00_ ;_ [$IDR]\ * "-"??_ ;_ @_ </c:formatCode>
                <c:ptCount val="6"/>
                <c:pt idx="0">
                  <c:v>0</c:v>
                </c:pt>
                <c:pt idx="1">
                  <c:v>1.6023715209884439</c:v>
                </c:pt>
                <c:pt idx="2">
                  <c:v>1.8253504700345988</c:v>
                </c:pt>
                <c:pt idx="3">
                  <c:v>287.05006212814766</c:v>
                </c:pt>
                <c:pt idx="4">
                  <c:v>0.90801052856011832</c:v>
                </c:pt>
                <c:pt idx="5">
                  <c:v>0</c:v>
                </c:pt>
              </c:numCache>
            </c:numRef>
          </c:val>
          <c:extLst>
            <c:ext xmlns:c15="http://schemas.microsoft.com/office/drawing/2012/chart" uri="{02D57815-91ED-43cb-92C2-25804820EDAC}">
              <c15:datalabelsRange>
                <c15:f>'5.2-Cost Breakdown Analysis'!$C$33:$H$33</c15:f>
                <c15:dlblRangeCache>
                  <c:ptCount val="6"/>
                  <c:pt idx="0">
                    <c:v>0%</c:v>
                  </c:pt>
                  <c:pt idx="1">
                    <c:v>0%</c:v>
                  </c:pt>
                  <c:pt idx="2">
                    <c:v>0%</c:v>
                  </c:pt>
                  <c:pt idx="3">
                    <c:v>6%</c:v>
                  </c:pt>
                  <c:pt idx="4">
                    <c:v>1%</c:v>
                  </c:pt>
                  <c:pt idx="5">
                    <c:v>0%</c:v>
                  </c:pt>
                </c15:dlblRangeCache>
              </c15:datalabelsRange>
            </c:ext>
            <c:ext xmlns:c16="http://schemas.microsoft.com/office/drawing/2014/chart" uri="{C3380CC4-5D6E-409C-BE32-E72D297353CC}">
              <c16:uniqueId val="{00000029-61CF-4D71-ABEF-2F252F701693}"/>
            </c:ext>
          </c:extLst>
        </c:ser>
        <c:dLbls>
          <c:showLegendKey val="0"/>
          <c:showVal val="0"/>
          <c:showCatName val="0"/>
          <c:showSerName val="0"/>
          <c:showPercent val="0"/>
          <c:showBubbleSize val="0"/>
        </c:dLbls>
        <c:gapWidth val="150"/>
        <c:overlap val="100"/>
        <c:axId val="607480744"/>
        <c:axId val="607481728"/>
      </c:barChart>
      <c:catAx>
        <c:axId val="60748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81728"/>
        <c:crosses val="autoZero"/>
        <c:auto val="1"/>
        <c:lblAlgn val="ctr"/>
        <c:lblOffset val="100"/>
        <c:noMultiLvlLbl val="0"/>
      </c:catAx>
      <c:valAx>
        <c:axId val="607481728"/>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80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Operational costs</a:t>
            </a:r>
            <a:r>
              <a:rPr lang="en-GB" baseline="0"/>
              <a:t> breakdown per COGS categories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31789487264539"/>
          <c:y val="6.9956255468066483E-2"/>
          <c:w val="0.56909978640797676"/>
          <c:h val="0.77435476815398074"/>
        </c:manualLayout>
      </c:layout>
      <c:barChart>
        <c:barDir val="col"/>
        <c:grouping val="stacked"/>
        <c:varyColors val="0"/>
        <c:ser>
          <c:idx val="0"/>
          <c:order val="0"/>
          <c:tx>
            <c:strRef>
              <c:f>'5.2-Cost Breakdown Analysis'!$B$7</c:f>
              <c:strCache>
                <c:ptCount val="1"/>
                <c:pt idx="0">
                  <c:v>Unit-W</c:v>
                </c:pt>
              </c:strCache>
            </c:strRef>
          </c:tx>
          <c:spPr>
            <a:solidFill>
              <a:schemeClr val="accent6">
                <a:shade val="50000"/>
              </a:schemeClr>
            </a:solidFill>
            <a:ln>
              <a:noFill/>
            </a:ln>
            <a:effectLst/>
          </c:spPr>
          <c:invertIfNegative val="0"/>
          <c:dLbls>
            <c:dLbl>
              <c:idx val="0"/>
              <c:tx>
                <c:rich>
                  <a:bodyPr/>
                  <a:lstStyle/>
                  <a:p>
                    <a:fld id="{A5210F28-CCAC-40CB-8EC1-C2E71F4A964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6DC-445A-99CF-1B7F2CFDE217}"/>
                </c:ext>
              </c:extLst>
            </c:dLbl>
            <c:dLbl>
              <c:idx val="1"/>
              <c:tx>
                <c:rich>
                  <a:bodyPr/>
                  <a:lstStyle/>
                  <a:p>
                    <a:fld id="{5C70363D-28F1-4625-8FBE-BE29A64D37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6DC-445A-99CF-1B7F2CFDE217}"/>
                </c:ext>
              </c:extLst>
            </c:dLbl>
            <c:dLbl>
              <c:idx val="2"/>
              <c:tx>
                <c:rich>
                  <a:bodyPr/>
                  <a:lstStyle/>
                  <a:p>
                    <a:fld id="{92CB4A4A-4B75-4AE8-AA1C-8E0FA9FC43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DC-445A-99CF-1B7F2CFDE217}"/>
                </c:ext>
              </c:extLst>
            </c:dLbl>
            <c:dLbl>
              <c:idx val="3"/>
              <c:tx>
                <c:rich>
                  <a:bodyPr/>
                  <a:lstStyle/>
                  <a:p>
                    <a:fld id="{F31D435F-4EBF-4826-8554-CDD1D3532F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DC-445A-99CF-1B7F2CFDE217}"/>
                </c:ext>
              </c:extLst>
            </c:dLbl>
            <c:dLbl>
              <c:idx val="4"/>
              <c:tx>
                <c:rich>
                  <a:bodyPr/>
                  <a:lstStyle/>
                  <a:p>
                    <a:fld id="{F297A77A-F161-4996-902A-26C27F18F9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DC-445A-99CF-1B7F2CFDE217}"/>
                </c:ext>
              </c:extLst>
            </c:dLbl>
            <c:dLbl>
              <c:idx val="5"/>
              <c:tx>
                <c:rich>
                  <a:bodyPr/>
                  <a:lstStyle/>
                  <a:p>
                    <a:fld id="{DC41E625-4774-45B6-89EF-2C9683AD73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Analysis'!$C$7:$H$7</c:f>
              <c:numCache>
                <c:formatCode>_ [$IDR]\ * #,##0.00_ ;_ [$IDR]\ * \-#,##0.00_ ;_ [$IDR]\ * "-"??_ ;_ @_ </c:formatCode>
                <c:ptCount val="6"/>
                <c:pt idx="0">
                  <c:v>0</c:v>
                </c:pt>
                <c:pt idx="1">
                  <c:v>0</c:v>
                </c:pt>
                <c:pt idx="2">
                  <c:v>0</c:v>
                </c:pt>
                <c:pt idx="3">
                  <c:v>0</c:v>
                </c:pt>
                <c:pt idx="4">
                  <c:v>0</c:v>
                </c:pt>
                <c:pt idx="5">
                  <c:v>0</c:v>
                </c:pt>
              </c:numCache>
            </c:numRef>
          </c:val>
          <c:extLst>
            <c:ext xmlns:c15="http://schemas.microsoft.com/office/drawing/2012/chart" uri="{02D57815-91ED-43cb-92C2-25804820EDAC}">
              <c15:datalabelsRange>
                <c15:f>'5.2-Cost Breakdown Analysis'!$C$18:$H$18</c15:f>
                <c15:dlblRangeCache>
                  <c:ptCount val="6"/>
                  <c:pt idx="0">
                    <c:v>0%</c:v>
                  </c:pt>
                  <c:pt idx="1">
                    <c:v>0%</c:v>
                  </c:pt>
                  <c:pt idx="2">
                    <c:v>#DIV/0!</c:v>
                  </c:pt>
                  <c:pt idx="3">
                    <c:v>0%</c:v>
                  </c:pt>
                  <c:pt idx="4">
                    <c:v>0%</c:v>
                  </c:pt>
                  <c:pt idx="5">
                    <c:v>0%</c:v>
                  </c:pt>
                </c15:dlblRangeCache>
              </c15:datalabelsRange>
            </c:ext>
            <c:ext xmlns:c16="http://schemas.microsoft.com/office/drawing/2014/chart" uri="{C3380CC4-5D6E-409C-BE32-E72D297353CC}">
              <c16:uniqueId val="{00000006-56DC-445A-99CF-1B7F2CFDE217}"/>
            </c:ext>
          </c:extLst>
        </c:ser>
        <c:ser>
          <c:idx val="1"/>
          <c:order val="1"/>
          <c:tx>
            <c:strRef>
              <c:f>'5.2-Cost Breakdown Analysis'!$B$8</c:f>
              <c:strCache>
                <c:ptCount val="1"/>
                <c:pt idx="0">
                  <c:v>Unit-T</c:v>
                </c:pt>
              </c:strCache>
            </c:strRef>
          </c:tx>
          <c:spPr>
            <a:solidFill>
              <a:schemeClr val="accent6">
                <a:shade val="70000"/>
              </a:schemeClr>
            </a:solidFill>
            <a:ln>
              <a:noFill/>
            </a:ln>
            <a:effectLst/>
          </c:spPr>
          <c:invertIfNegative val="0"/>
          <c:dLbls>
            <c:dLbl>
              <c:idx val="0"/>
              <c:tx>
                <c:rich>
                  <a:bodyPr/>
                  <a:lstStyle/>
                  <a:p>
                    <a:fld id="{7024AE1A-C774-4609-98E8-25B92C982F09}"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6DC-445A-99CF-1B7F2CFDE217}"/>
                </c:ext>
              </c:extLst>
            </c:dLbl>
            <c:dLbl>
              <c:idx val="1"/>
              <c:tx>
                <c:rich>
                  <a:bodyPr/>
                  <a:lstStyle/>
                  <a:p>
                    <a:fld id="{DF717402-0C0E-42D3-8F29-3983DD132B34}"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DC-445A-99CF-1B7F2CFDE217}"/>
                </c:ext>
              </c:extLst>
            </c:dLbl>
            <c:dLbl>
              <c:idx val="2"/>
              <c:tx>
                <c:rich>
                  <a:bodyPr/>
                  <a:lstStyle/>
                  <a:p>
                    <a:fld id="{45AEC0B8-67FE-41AF-B5A7-C8CEC323CD83}"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DC-445A-99CF-1B7F2CFDE217}"/>
                </c:ext>
              </c:extLst>
            </c:dLbl>
            <c:dLbl>
              <c:idx val="3"/>
              <c:tx>
                <c:rich>
                  <a:bodyPr/>
                  <a:lstStyle/>
                  <a:p>
                    <a:fld id="{96025FD6-4815-476B-916A-97E584D8868F}"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DC-445A-99CF-1B7F2CFDE217}"/>
                </c:ext>
              </c:extLst>
            </c:dLbl>
            <c:dLbl>
              <c:idx val="4"/>
              <c:tx>
                <c:rich>
                  <a:bodyPr/>
                  <a:lstStyle/>
                  <a:p>
                    <a:fld id="{5F24A24B-5A35-4990-A700-0DDA28F7005A}"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6DC-445A-99CF-1B7F2CFDE217}"/>
                </c:ext>
              </c:extLst>
            </c:dLbl>
            <c:dLbl>
              <c:idx val="5"/>
              <c:tx>
                <c:rich>
                  <a:bodyPr/>
                  <a:lstStyle/>
                  <a:p>
                    <a:fld id="{0AB9A710-7CAD-4CA0-860D-5904BC5BDEAD}"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Analysis'!$C$8:$H$8</c:f>
              <c:numCache>
                <c:formatCode>_ [$IDR]\ * #,##0.00_ ;_ [$IDR]\ * \-#,##0.00_ ;_ [$IDR]\ * "-"??_ ;_ @_ </c:formatCode>
                <c:ptCount val="6"/>
                <c:pt idx="0">
                  <c:v>0</c:v>
                </c:pt>
                <c:pt idx="1">
                  <c:v>223.92006629158269</c:v>
                </c:pt>
                <c:pt idx="2">
                  <c:v>0</c:v>
                </c:pt>
                <c:pt idx="3">
                  <c:v>130.94258551417553</c:v>
                </c:pt>
                <c:pt idx="4">
                  <c:v>26.362710678632681</c:v>
                </c:pt>
                <c:pt idx="5">
                  <c:v>1.6023715209884439</c:v>
                </c:pt>
              </c:numCache>
            </c:numRef>
          </c:val>
          <c:extLst>
            <c:ext xmlns:c15="http://schemas.microsoft.com/office/drawing/2012/chart" uri="{02D57815-91ED-43cb-92C2-25804820EDAC}">
              <c15:datalabelsRange>
                <c15:f>'5.2-Cost Breakdown Analysis'!$C$19:$H$19</c15:f>
                <c15:dlblRangeCache>
                  <c:ptCount val="6"/>
                  <c:pt idx="0">
                    <c:v>0%</c:v>
                  </c:pt>
                  <c:pt idx="1">
                    <c:v>6%</c:v>
                  </c:pt>
                  <c:pt idx="2">
                    <c:v>#DIV/0!</c:v>
                  </c:pt>
                  <c:pt idx="3">
                    <c:v>8%</c:v>
                  </c:pt>
                  <c:pt idx="4">
                    <c:v>8%</c:v>
                  </c:pt>
                  <c:pt idx="5">
                    <c:v>1%</c:v>
                  </c:pt>
                </c15:dlblRangeCache>
              </c15:datalabelsRange>
            </c:ext>
            <c:ext xmlns:c16="http://schemas.microsoft.com/office/drawing/2014/chart" uri="{C3380CC4-5D6E-409C-BE32-E72D297353CC}">
              <c16:uniqueId val="{0000000D-56DC-445A-99CF-1B7F2CFDE217}"/>
            </c:ext>
          </c:extLst>
        </c:ser>
        <c:ser>
          <c:idx val="2"/>
          <c:order val="2"/>
          <c:tx>
            <c:strRef>
              <c:f>'5.2-Cost Breakdown Analysis'!$B$9</c:f>
              <c:strCache>
                <c:ptCount val="1"/>
                <c:pt idx="0">
                  <c:v>Unit-H</c:v>
                </c:pt>
              </c:strCache>
            </c:strRef>
          </c:tx>
          <c:spPr>
            <a:solidFill>
              <a:schemeClr val="accent6">
                <a:shade val="90000"/>
              </a:schemeClr>
            </a:solidFill>
            <a:ln>
              <a:noFill/>
            </a:ln>
            <a:effectLst/>
          </c:spPr>
          <c:invertIfNegative val="0"/>
          <c:dLbls>
            <c:dLbl>
              <c:idx val="0"/>
              <c:tx>
                <c:rich>
                  <a:bodyPr/>
                  <a:lstStyle/>
                  <a:p>
                    <a:fld id="{3007B402-77ED-4B0A-818D-0770B93B57D5}"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6DC-445A-99CF-1B7F2CFDE217}"/>
                </c:ext>
              </c:extLst>
            </c:dLbl>
            <c:dLbl>
              <c:idx val="1"/>
              <c:tx>
                <c:rich>
                  <a:bodyPr/>
                  <a:lstStyle/>
                  <a:p>
                    <a:fld id="{5DBE264F-7769-48B9-852B-5E8BBBACFA2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DC-445A-99CF-1B7F2CFDE217}"/>
                </c:ext>
              </c:extLst>
            </c:dLbl>
            <c:dLbl>
              <c:idx val="2"/>
              <c:tx>
                <c:rich>
                  <a:bodyPr/>
                  <a:lstStyle/>
                  <a:p>
                    <a:fld id="{48281524-D9C2-417C-9B01-73B69C08D82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DC-445A-99CF-1B7F2CFDE217}"/>
                </c:ext>
              </c:extLst>
            </c:dLbl>
            <c:dLbl>
              <c:idx val="3"/>
              <c:tx>
                <c:rich>
                  <a:bodyPr/>
                  <a:lstStyle/>
                  <a:p>
                    <a:fld id="{F4A26FE4-4CCE-402C-BA92-FC9496FE3C78}"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6DC-445A-99CF-1B7F2CFDE217}"/>
                </c:ext>
              </c:extLst>
            </c:dLbl>
            <c:dLbl>
              <c:idx val="4"/>
              <c:tx>
                <c:rich>
                  <a:bodyPr/>
                  <a:lstStyle/>
                  <a:p>
                    <a:fld id="{49F4DA6F-2C07-4349-A52F-60C2F9C9C4C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6DC-445A-99CF-1B7F2CFDE217}"/>
                </c:ext>
              </c:extLst>
            </c:dLbl>
            <c:dLbl>
              <c:idx val="5"/>
              <c:tx>
                <c:rich>
                  <a:bodyPr/>
                  <a:lstStyle/>
                  <a:p>
                    <a:fld id="{2780357F-EE6F-4ABD-9B0B-3AB6A0B2B40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Analysis'!$C$9:$H$9</c:f>
              <c:numCache>
                <c:formatCode>_ [$IDR]\ * #,##0.00_ ;_ [$IDR]\ * \-#,##0.00_ ;_ [$IDR]\ * "-"??_ ;_ @_ </c:formatCode>
                <c:ptCount val="6"/>
                <c:pt idx="0">
                  <c:v>0</c:v>
                </c:pt>
                <c:pt idx="1">
                  <c:v>1475.5294536847382</c:v>
                </c:pt>
                <c:pt idx="2">
                  <c:v>0</c:v>
                </c:pt>
                <c:pt idx="3">
                  <c:v>772.86479510067591</c:v>
                </c:pt>
                <c:pt idx="4">
                  <c:v>186.79605614414731</c:v>
                </c:pt>
                <c:pt idx="5">
                  <c:v>1.8253504700345988</c:v>
                </c:pt>
              </c:numCache>
            </c:numRef>
          </c:val>
          <c:extLst>
            <c:ext xmlns:c15="http://schemas.microsoft.com/office/drawing/2012/chart" uri="{02D57815-91ED-43cb-92C2-25804820EDAC}">
              <c15:datalabelsRange>
                <c15:f>'5.2-Cost Breakdown Analysis'!$C$20:$H$20</c15:f>
                <c15:dlblRangeCache>
                  <c:ptCount val="6"/>
                  <c:pt idx="0">
                    <c:v>0%</c:v>
                  </c:pt>
                  <c:pt idx="1">
                    <c:v>39%</c:v>
                  </c:pt>
                  <c:pt idx="2">
                    <c:v>#DIV/0!</c:v>
                  </c:pt>
                  <c:pt idx="3">
                    <c:v>46%</c:v>
                  </c:pt>
                  <c:pt idx="4">
                    <c:v>54%</c:v>
                  </c:pt>
                  <c:pt idx="5">
                    <c:v>1%</c:v>
                  </c:pt>
                </c15:dlblRangeCache>
              </c15:datalabelsRange>
            </c:ext>
            <c:ext xmlns:c16="http://schemas.microsoft.com/office/drawing/2014/chart" uri="{C3380CC4-5D6E-409C-BE32-E72D297353CC}">
              <c16:uniqueId val="{00000014-56DC-445A-99CF-1B7F2CFDE217}"/>
            </c:ext>
          </c:extLst>
        </c:ser>
        <c:ser>
          <c:idx val="3"/>
          <c:order val="3"/>
          <c:tx>
            <c:strRef>
              <c:f>'5.2-Cost Breakdown Analysis'!$B$10</c:f>
              <c:strCache>
                <c:ptCount val="1"/>
                <c:pt idx="0">
                  <c:v>Unit-N</c:v>
                </c:pt>
              </c:strCache>
            </c:strRef>
          </c:tx>
          <c:spPr>
            <a:solidFill>
              <a:schemeClr val="accent6">
                <a:tint val="90000"/>
              </a:schemeClr>
            </a:solidFill>
            <a:ln>
              <a:noFill/>
            </a:ln>
            <a:effectLst/>
          </c:spPr>
          <c:invertIfNegative val="0"/>
          <c:dLbls>
            <c:dLbl>
              <c:idx val="0"/>
              <c:tx>
                <c:rich>
                  <a:bodyPr/>
                  <a:lstStyle/>
                  <a:p>
                    <a:fld id="{10521573-64A4-4206-87D8-E04F5659AECB}"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6DC-445A-99CF-1B7F2CFDE217}"/>
                </c:ext>
              </c:extLst>
            </c:dLbl>
            <c:dLbl>
              <c:idx val="1"/>
              <c:tx>
                <c:rich>
                  <a:bodyPr/>
                  <a:lstStyle/>
                  <a:p>
                    <a:fld id="{726755C1-3A0F-4118-8CC6-828165991028}"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6DC-445A-99CF-1B7F2CFDE217}"/>
                </c:ext>
              </c:extLst>
            </c:dLbl>
            <c:dLbl>
              <c:idx val="2"/>
              <c:tx>
                <c:rich>
                  <a:bodyPr/>
                  <a:lstStyle/>
                  <a:p>
                    <a:fld id="{441C92F7-B642-4324-890E-96532B330468}"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6DC-445A-99CF-1B7F2CFDE217}"/>
                </c:ext>
              </c:extLst>
            </c:dLbl>
            <c:dLbl>
              <c:idx val="3"/>
              <c:tx>
                <c:rich>
                  <a:bodyPr/>
                  <a:lstStyle/>
                  <a:p>
                    <a:fld id="{965F25D0-A39D-48D3-9278-2C5F0178286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6DC-445A-99CF-1B7F2CFDE217}"/>
                </c:ext>
              </c:extLst>
            </c:dLbl>
            <c:dLbl>
              <c:idx val="4"/>
              <c:tx>
                <c:rich>
                  <a:bodyPr/>
                  <a:lstStyle/>
                  <a:p>
                    <a:fld id="{83027E5B-F94C-4D4C-A8F4-8287967C380D}"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6DC-445A-99CF-1B7F2CFDE217}"/>
                </c:ext>
              </c:extLst>
            </c:dLbl>
            <c:dLbl>
              <c:idx val="5"/>
              <c:tx>
                <c:rich>
                  <a:bodyPr/>
                  <a:lstStyle/>
                  <a:p>
                    <a:fld id="{DCD01EDE-E174-4EC5-815F-34D05098B5B3}"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Analysis'!$C$10:$H$10</c:f>
              <c:numCache>
                <c:formatCode>_ [$IDR]\ * #,##0.00_ ;_ [$IDR]\ * \-#,##0.00_ ;_ [$IDR]\ * "-"??_ ;_ @_ </c:formatCode>
                <c:ptCount val="6"/>
                <c:pt idx="0">
                  <c:v>1779.0968346336483</c:v>
                </c:pt>
                <c:pt idx="1">
                  <c:v>2124.3118999704016</c:v>
                </c:pt>
                <c:pt idx="2">
                  <c:v>0</c:v>
                </c:pt>
                <c:pt idx="3">
                  <c:v>702.91120423465054</c:v>
                </c:pt>
                <c:pt idx="4">
                  <c:v>121.31945260730964</c:v>
                </c:pt>
                <c:pt idx="5">
                  <c:v>287.05006212814766</c:v>
                </c:pt>
              </c:numCache>
            </c:numRef>
          </c:val>
          <c:extLst>
            <c:ext xmlns:c15="http://schemas.microsoft.com/office/drawing/2012/chart" uri="{02D57815-91ED-43cb-92C2-25804820EDAC}">
              <c15:datalabelsRange>
                <c15:f>'5.2-Cost Breakdown Analysis'!$C$21:$H$21</c15:f>
                <c15:dlblRangeCache>
                  <c:ptCount val="6"/>
                  <c:pt idx="0">
                    <c:v>100%</c:v>
                  </c:pt>
                  <c:pt idx="1">
                    <c:v>56%</c:v>
                  </c:pt>
                  <c:pt idx="2">
                    <c:v>#DIV/0!</c:v>
                  </c:pt>
                  <c:pt idx="3">
                    <c:v>42%</c:v>
                  </c:pt>
                  <c:pt idx="4">
                    <c:v>35%</c:v>
                  </c:pt>
                  <c:pt idx="5">
                    <c:v>99%</c:v>
                  </c:pt>
                </c15:dlblRangeCache>
              </c15:datalabelsRange>
            </c:ext>
            <c:ext xmlns:c16="http://schemas.microsoft.com/office/drawing/2014/chart" uri="{C3380CC4-5D6E-409C-BE32-E72D297353CC}">
              <c16:uniqueId val="{0000001B-56DC-445A-99CF-1B7F2CFDE217}"/>
            </c:ext>
          </c:extLst>
        </c:ser>
        <c:ser>
          <c:idx val="4"/>
          <c:order val="4"/>
          <c:tx>
            <c:strRef>
              <c:f>'5.2-Cost Breakdown Analysis'!$B$11</c:f>
              <c:strCache>
                <c:ptCount val="1"/>
                <c:pt idx="0">
                  <c:v>Unit-P</c:v>
                </c:pt>
              </c:strCache>
            </c:strRef>
          </c:tx>
          <c:spPr>
            <a:solidFill>
              <a:schemeClr val="accent6">
                <a:tint val="70000"/>
              </a:schemeClr>
            </a:solidFill>
            <a:ln>
              <a:noFill/>
            </a:ln>
            <a:effectLst/>
          </c:spPr>
          <c:invertIfNegative val="0"/>
          <c:dLbls>
            <c:dLbl>
              <c:idx val="0"/>
              <c:tx>
                <c:rich>
                  <a:bodyPr/>
                  <a:lstStyle/>
                  <a:p>
                    <a:fld id="{92C55F87-2A6F-4518-84D7-0D9BB1C6940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6DC-445A-99CF-1B7F2CFDE217}"/>
                </c:ext>
              </c:extLst>
            </c:dLbl>
            <c:dLbl>
              <c:idx val="1"/>
              <c:tx>
                <c:rich>
                  <a:bodyPr/>
                  <a:lstStyle/>
                  <a:p>
                    <a:fld id="{307AB5E2-D97E-472D-8B85-B893E18F175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DC-445A-99CF-1B7F2CFDE217}"/>
                </c:ext>
              </c:extLst>
            </c:dLbl>
            <c:dLbl>
              <c:idx val="2"/>
              <c:tx>
                <c:rich>
                  <a:bodyPr/>
                  <a:lstStyle/>
                  <a:p>
                    <a:fld id="{A10BD3C2-6F9C-42D2-912F-8207DF5E62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DC-445A-99CF-1B7F2CFDE217}"/>
                </c:ext>
              </c:extLst>
            </c:dLbl>
            <c:dLbl>
              <c:idx val="3"/>
              <c:tx>
                <c:rich>
                  <a:bodyPr/>
                  <a:lstStyle/>
                  <a:p>
                    <a:fld id="{21F01715-A028-4C48-9F06-E86FDEA395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DC-445A-99CF-1B7F2CFDE217}"/>
                </c:ext>
              </c:extLst>
            </c:dLbl>
            <c:dLbl>
              <c:idx val="4"/>
              <c:tx>
                <c:rich>
                  <a:bodyPr/>
                  <a:lstStyle/>
                  <a:p>
                    <a:fld id="{68F0E256-DBD7-4435-8E26-197C151C12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DC-445A-99CF-1B7F2CFDE217}"/>
                </c:ext>
              </c:extLst>
            </c:dLbl>
            <c:dLbl>
              <c:idx val="5"/>
              <c:tx>
                <c:rich>
                  <a:bodyPr/>
                  <a:lstStyle/>
                  <a:p>
                    <a:fld id="{AE82A761-0D7B-4E19-92EB-67DB1A16FC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Analysis'!$C$11:$H$11</c:f>
              <c:numCache>
                <c:formatCode>_ [$IDR]\ * #,##0.00_ ;_ [$IDR]\ * \-#,##0.00_ ;_ [$IDR]\ * "-"??_ ;_ @_ </c:formatCode>
                <c:ptCount val="6"/>
                <c:pt idx="0">
                  <c:v>0</c:v>
                </c:pt>
                <c:pt idx="1">
                  <c:v>0</c:v>
                </c:pt>
                <c:pt idx="2">
                  <c:v>0</c:v>
                </c:pt>
                <c:pt idx="3">
                  <c:v>70.944936419344842</c:v>
                </c:pt>
                <c:pt idx="4">
                  <c:v>14.124903874886527</c:v>
                </c:pt>
                <c:pt idx="5">
                  <c:v>0.90801052856011832</c:v>
                </c:pt>
              </c:numCache>
            </c:numRef>
          </c:val>
          <c:extLst>
            <c:ext xmlns:c15="http://schemas.microsoft.com/office/drawing/2012/chart" uri="{02D57815-91ED-43cb-92C2-25804820EDAC}">
              <c15:datalabelsRange>
                <c15:f>'5.2-Cost Breakdown Analysis'!$C$22:$H$22</c15:f>
                <c15:dlblRangeCache>
                  <c:ptCount val="6"/>
                  <c:pt idx="0">
                    <c:v>0%</c:v>
                  </c:pt>
                  <c:pt idx="1">
                    <c:v>0%</c:v>
                  </c:pt>
                  <c:pt idx="2">
                    <c:v>#DIV/0!</c:v>
                  </c:pt>
                  <c:pt idx="3">
                    <c:v>4%</c:v>
                  </c:pt>
                  <c:pt idx="4">
                    <c:v>4%</c:v>
                  </c:pt>
                  <c:pt idx="5">
                    <c:v>0%</c:v>
                  </c:pt>
                </c15:dlblRangeCache>
              </c15:datalabelsRange>
            </c:ext>
            <c:ext xmlns:c16="http://schemas.microsoft.com/office/drawing/2014/chart" uri="{C3380CC4-5D6E-409C-BE32-E72D297353CC}">
              <c16:uniqueId val="{00000022-56DC-445A-99CF-1B7F2CFDE217}"/>
            </c:ext>
          </c:extLst>
        </c:ser>
        <c:ser>
          <c:idx val="5"/>
          <c:order val="5"/>
          <c:tx>
            <c:strRef>
              <c:f>'5.2-Cost Breakdown Analysis'!$B$12</c:f>
              <c:strCache>
                <c:ptCount val="1"/>
                <c:pt idx="0">
                  <c:v>Unit-R</c:v>
                </c:pt>
              </c:strCache>
            </c:strRef>
          </c:tx>
          <c:spPr>
            <a:solidFill>
              <a:schemeClr val="accent6">
                <a:tint val="50000"/>
              </a:schemeClr>
            </a:solidFill>
            <a:ln>
              <a:noFill/>
            </a:ln>
            <a:effectLst/>
          </c:spPr>
          <c:invertIfNegative val="0"/>
          <c:dLbls>
            <c:dLbl>
              <c:idx val="0"/>
              <c:tx>
                <c:rich>
                  <a:bodyPr/>
                  <a:lstStyle/>
                  <a:p>
                    <a:fld id="{8045A28A-8D80-434A-963F-21B797203AE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6DC-445A-99CF-1B7F2CFDE217}"/>
                </c:ext>
              </c:extLst>
            </c:dLbl>
            <c:dLbl>
              <c:idx val="1"/>
              <c:tx>
                <c:rich>
                  <a:bodyPr/>
                  <a:lstStyle/>
                  <a:p>
                    <a:fld id="{F42FA561-2BCB-4441-A01F-E91453E899AD}"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6DC-445A-99CF-1B7F2CFDE217}"/>
                </c:ext>
              </c:extLst>
            </c:dLbl>
            <c:dLbl>
              <c:idx val="2"/>
              <c:tx>
                <c:rich>
                  <a:bodyPr/>
                  <a:lstStyle/>
                  <a:p>
                    <a:fld id="{E36BAA0E-D571-4D67-89F7-05A25298ACC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6DC-445A-99CF-1B7F2CFDE217}"/>
                </c:ext>
              </c:extLst>
            </c:dLbl>
            <c:dLbl>
              <c:idx val="3"/>
              <c:tx>
                <c:rich>
                  <a:bodyPr/>
                  <a:lstStyle/>
                  <a:p>
                    <a:fld id="{1A7959E3-1B7D-4A0B-A490-50478B197DD0}"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6DC-445A-99CF-1B7F2CFDE217}"/>
                </c:ext>
              </c:extLst>
            </c:dLbl>
            <c:dLbl>
              <c:idx val="4"/>
              <c:tx>
                <c:rich>
                  <a:bodyPr/>
                  <a:lstStyle/>
                  <a:p>
                    <a:fld id="{87DA1E14-E444-4254-AB58-DBC7B634A0E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6DC-445A-99CF-1B7F2CFDE217}"/>
                </c:ext>
              </c:extLst>
            </c:dLbl>
            <c:dLbl>
              <c:idx val="5"/>
              <c:tx>
                <c:rich>
                  <a:bodyPr/>
                  <a:lstStyle/>
                  <a:p>
                    <a:fld id="{F254FC9A-7A89-4ACB-929F-1EB974BACC84}"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6DC-445A-99CF-1B7F2CFDE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'5.2-Cost Breakdown Analysis'!$C$6:$H$6</c:f>
              <c:strCache>
                <c:ptCount val="6"/>
                <c:pt idx="0">
                  <c:v>Materials (direct)</c:v>
                </c:pt>
                <c:pt idx="1">
                  <c:v>Labor (direct)</c:v>
                </c:pt>
                <c:pt idx="2">
                  <c:v>Labor (indirect)</c:v>
                </c:pt>
                <c:pt idx="3">
                  <c:v>Equipment Depreciation</c:v>
                </c:pt>
                <c:pt idx="4">
                  <c:v>Equipment O&amp;M</c:v>
                </c:pt>
                <c:pt idx="5">
                  <c:v>Utilities</c:v>
                </c:pt>
              </c:strCache>
            </c:strRef>
          </c:cat>
          <c:val>
            <c:numRef>
              <c:f>'5.2-Cost Breakdown Analysis'!$C$12:$H$12</c:f>
              <c:numCache>
                <c:formatCode>_ [$IDR]\ * #,##0.00_ ;_ [$IDR]\ * \-#,##0.00_ ;_ [$IDR]\ * "-"??_ ;_ @_ </c:formatCode>
                <c:ptCount val="6"/>
                <c:pt idx="0">
                  <c:v>0</c:v>
                </c:pt>
                <c:pt idx="1">
                  <c:v>0</c:v>
                </c:pt>
                <c:pt idx="2">
                  <c:v>0</c:v>
                </c:pt>
                <c:pt idx="3">
                  <c:v>0</c:v>
                </c:pt>
                <c:pt idx="4">
                  <c:v>0</c:v>
                </c:pt>
                <c:pt idx="5">
                  <c:v>0</c:v>
                </c:pt>
              </c:numCache>
            </c:numRef>
          </c:val>
          <c:extLst>
            <c:ext xmlns:c15="http://schemas.microsoft.com/office/drawing/2012/chart" uri="{02D57815-91ED-43cb-92C2-25804820EDAC}">
              <c15:datalabelsRange>
                <c15:f>'5.2-Cost Breakdown Analysis'!$C$23:$H$23</c15:f>
                <c15:dlblRangeCache>
                  <c:ptCount val="6"/>
                  <c:pt idx="0">
                    <c:v>0%</c:v>
                  </c:pt>
                  <c:pt idx="1">
                    <c:v>0%</c:v>
                  </c:pt>
                  <c:pt idx="2">
                    <c:v>#DIV/0!</c:v>
                  </c:pt>
                  <c:pt idx="3">
                    <c:v>0%</c:v>
                  </c:pt>
                  <c:pt idx="4">
                    <c:v>0%</c:v>
                  </c:pt>
                  <c:pt idx="5">
                    <c:v>0%</c:v>
                  </c:pt>
                </c15:dlblRangeCache>
              </c15:datalabelsRange>
            </c:ext>
            <c:ext xmlns:c16="http://schemas.microsoft.com/office/drawing/2014/chart" uri="{C3380CC4-5D6E-409C-BE32-E72D297353CC}">
              <c16:uniqueId val="{00000029-56DC-445A-99CF-1B7F2CFDE217}"/>
            </c:ext>
          </c:extLst>
        </c:ser>
        <c:dLbls>
          <c:showLegendKey val="0"/>
          <c:showVal val="0"/>
          <c:showCatName val="0"/>
          <c:showSerName val="0"/>
          <c:showPercent val="0"/>
          <c:showBubbleSize val="0"/>
        </c:dLbls>
        <c:gapWidth val="150"/>
        <c:overlap val="100"/>
        <c:axId val="607480744"/>
        <c:axId val="607481728"/>
      </c:barChart>
      <c:catAx>
        <c:axId val="60748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81728"/>
        <c:crosses val="autoZero"/>
        <c:auto val="1"/>
        <c:lblAlgn val="ctr"/>
        <c:lblOffset val="100"/>
        <c:noMultiLvlLbl val="0"/>
      </c:catAx>
      <c:valAx>
        <c:axId val="607481728"/>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480744"/>
        <c:crosses val="autoZero"/>
        <c:crossBetween val="between"/>
      </c:valAx>
      <c:spPr>
        <a:noFill/>
        <a:ln>
          <a:noFill/>
        </a:ln>
        <a:effectLst/>
      </c:spPr>
    </c:plotArea>
    <c:legend>
      <c:legendPos val="r"/>
      <c:layout>
        <c:manualLayout>
          <c:xMode val="edge"/>
          <c:yMode val="edge"/>
          <c:x val="0.88997341814128061"/>
          <c:y val="0.36951252187226596"/>
          <c:w val="4.730256752180171E-2"/>
          <c:h val="0.351564960629921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NPV vs kg 5-DOL produced per day</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6">
                  <a:shade val="76000"/>
                </a:schemeClr>
              </a:solidFill>
              <a:round/>
            </a:ln>
            <a:effectLst/>
          </c:spPr>
          <c:marker>
            <c:symbol val="circle"/>
            <c:size val="5"/>
            <c:spPr>
              <a:solidFill>
                <a:schemeClr val="accent6">
                  <a:shade val="76000"/>
                </a:schemeClr>
              </a:solidFill>
              <a:ln w="9525">
                <a:solidFill>
                  <a:schemeClr val="accent6">
                    <a:shade val="76000"/>
                  </a:schemeClr>
                </a:solidFill>
              </a:ln>
              <a:effectLst/>
            </c:spPr>
          </c:marker>
          <c:cat>
            <c:numRef>
              <c:f>'1.0-General input'!$L$13:$L$32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'1.0-General input'!$M$13:$M$32</c:f>
              <c:numCache>
                <c:formatCode>_ [$IDR]\ * #,##0.00_ ;_ [$IDR]\ * \-#,##0.00_ ;_ [$IDR]\ * "-"??_ ;_ @_ </c:formatCode>
                <c:ptCount val="20"/>
                <c:pt idx="0">
                  <c:v>5782.0877569285003</c:v>
                </c:pt>
                <c:pt idx="1">
                  <c:v>38084.679692904756</c:v>
                </c:pt>
                <c:pt idx="2">
                  <c:v>70387.271628881019</c:v>
                </c:pt>
                <c:pt idx="3">
                  <c:v>102689.86356485727</c:v>
                </c:pt>
                <c:pt idx="4">
                  <c:v>134992.45550083354</c:v>
                </c:pt>
                <c:pt idx="5">
                  <c:v>159433.77946458693</c:v>
                </c:pt>
                <c:pt idx="6">
                  <c:v>191736.37140056322</c:v>
                </c:pt>
                <c:pt idx="7">
                  <c:v>224038.9633365394</c:v>
                </c:pt>
                <c:pt idx="8">
                  <c:v>256341.55527251569</c:v>
                </c:pt>
                <c:pt idx="9">
                  <c:v>288644.14720849198</c:v>
                </c:pt>
                <c:pt idx="10">
                  <c:v>320946.73914446821</c:v>
                </c:pt>
                <c:pt idx="11">
                  <c:v>345388.06310822157</c:v>
                </c:pt>
                <c:pt idx="12">
                  <c:v>377690.65504419798</c:v>
                </c:pt>
                <c:pt idx="13">
                  <c:v>409677.45887607906</c:v>
                </c:pt>
                <c:pt idx="14">
                  <c:v>441980.05081205524</c:v>
                </c:pt>
                <c:pt idx="15">
                  <c:v>474282.64274803142</c:v>
                </c:pt>
                <c:pt idx="16">
                  <c:v>506585.23468400771</c:v>
                </c:pt>
                <c:pt idx="17">
                  <c:v>531026.55864776124</c:v>
                </c:pt>
                <c:pt idx="18">
                  <c:v>563329.1505837373</c:v>
                </c:pt>
                <c:pt idx="19">
                  <c:v>595631.74251971359</c:v>
                </c:pt>
              </c:numCache>
            </c:numRef>
          </c:val>
          <c:smooth val="0"/>
          <c:extLst>
            <c:ext xmlns:c16="http://schemas.microsoft.com/office/drawing/2014/chart" uri="{C3380CC4-5D6E-409C-BE32-E72D297353CC}">
              <c16:uniqueId val="{00000002-2832-4BD7-942E-52ACB6EA42DB}"/>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Plant capacity in kg 5-DOL produced per day</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78256432"/>
        <c:crosses val="autoZero"/>
        <c:auto val="1"/>
        <c:lblAlgn val="ctr"/>
        <c:lblOffset val="100"/>
        <c:noMultiLvlLbl val="0"/>
      </c:catAx>
      <c:valAx>
        <c:axId val="578256432"/>
        <c:scaling>
          <c:orientation val="minMax"/>
        </c:scaling>
        <c:delete val="0"/>
        <c:axPos val="l"/>
        <c:title>
          <c:tx>
            <c:strRef>
              <c:f>'3.2-Results Dashboard'!$J$108</c:f>
              <c:strCache>
                <c:ptCount val="1"/>
                <c:pt idx="0">
                  <c:v>NPV in USD</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78255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7.8793197725284342E-2"/>
          <c:y val="2.0893482064741911E-2"/>
          <c:w val="0.33398813429571306"/>
          <c:h val="0.94951662292213468"/>
        </c:manualLayout>
      </c:layout>
      <c:barChart>
        <c:barDir val="bar"/>
        <c:grouping val="clustered"/>
        <c:varyColors val="0"/>
        <c:ser>
          <c:idx val="3"/>
          <c:order val="0"/>
          <c:tx>
            <c:strRef>
              <c:f>'1.0-General input'!$B$52</c:f>
              <c:strCache>
                <c:ptCount val="1"/>
                <c:pt idx="0">
                  <c:v>Eggs</c:v>
                </c:pt>
              </c:strCache>
            </c:strRef>
          </c:tx>
          <c:spPr>
            <a:solidFill>
              <a:schemeClr val="accent6">
                <a:shade val="76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'1.0-General input'!$E$52</c:f>
              <c:numCache>
                <c:formatCode>0.00</c:formatCode>
                <c:ptCount val="1"/>
                <c:pt idx="0">
                  <c:v>0</c:v>
                </c:pt>
              </c:numCache>
            </c:numRef>
          </c:val>
          <c:extLst>
            <c:ext xmlns:c16="http://schemas.microsoft.com/office/drawing/2014/chart" uri="{C3380CC4-5D6E-409C-BE32-E72D297353CC}">
              <c16:uniqueId val="{0000001C-E97D-430A-B098-AB5C0E2CCAE3}"/>
            </c:ext>
          </c:extLst>
        </c:ser>
        <c:ser>
          <c:idx val="4"/>
          <c:order val="1"/>
          <c:tx>
            <c:strRef>
              <c:f>'1.0-General input'!$B$53</c:f>
              <c:strCache>
                <c:ptCount val="1"/>
                <c:pt idx="0">
                  <c:v>5DOL</c:v>
                </c:pt>
              </c:strCache>
            </c:strRef>
          </c:tx>
          <c:spPr>
            <a:solidFill>
              <a:schemeClr val="accent6">
                <a:shade val="53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'1.0-General input'!$E$53</c:f>
              <c:numCache>
                <c:formatCode>0.00</c:formatCode>
                <c:ptCount val="1"/>
                <c:pt idx="0">
                  <c:v>4.9874999999999998</c:v>
                </c:pt>
              </c:numCache>
            </c:numRef>
          </c:val>
          <c:extLst>
            <c:ext xmlns:c16="http://schemas.microsoft.com/office/drawing/2014/chart" uri="{C3380CC4-5D6E-409C-BE32-E72D297353CC}">
              <c16:uniqueId val="{0000001D-E97D-430A-B098-AB5C0E2CCAE3}"/>
            </c:ext>
          </c:extLst>
        </c:ser>
        <c:dLbls>
          <c:dLblPos val="outEnd"/>
          <c:showLegendKey val="0"/>
          <c:showVal val="1"/>
          <c:showCatName val="0"/>
          <c:showSerName val="0"/>
          <c:showPercent val="0"/>
          <c:showBubbleSize val="0"/>
        </c:dLbls>
        <c:gapWidth val="53"/>
        <c:overlap val="-38"/>
        <c:axId val="697164408"/>
        <c:axId val="697168016"/>
      </c:barChart>
      <c:catAx>
        <c:axId val="697164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Products</a:t>
                </a:r>
                <a:r>
                  <a:rPr lang="en-GB" baseline="0"/>
                  <a:t> in kg/d</a:t>
                </a:r>
                <a:endParaRPr lang="en-GB"/>
              </a:p>
            </c:rich>
          </c:tx>
          <c:layout>
            <c:manualLayout>
              <c:xMode val="edge"/>
              <c:yMode val="edge"/>
              <c:x val="1.558134798983371E-2"/>
              <c:y val="0.252096456692913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697168016"/>
        <c:crosses val="autoZero"/>
        <c:auto val="1"/>
        <c:lblAlgn val="ctr"/>
        <c:lblOffset val="100"/>
        <c:noMultiLvlLbl val="0"/>
      </c:catAx>
      <c:valAx>
        <c:axId val="697168016"/>
        <c:scaling>
          <c:orientation val="minMax"/>
        </c:scaling>
        <c:delete val="1"/>
        <c:axPos val="b"/>
        <c:numFmt formatCode="0.00" sourceLinked="1"/>
        <c:majorTickMark val="none"/>
        <c:minorTickMark val="none"/>
        <c:tickLblPos val="nextTo"/>
        <c:crossAx val="697164408"/>
        <c:crosses val="autoZero"/>
        <c:crossBetween val="between"/>
      </c:valAx>
      <c:spPr>
        <a:noFill/>
        <a:ln w="15875">
          <a:noFill/>
        </a:ln>
        <a:effectLst/>
      </c:spPr>
    </c:plotArea>
    <c:legend>
      <c:legendPos val="r"/>
      <c:layout>
        <c:manualLayout>
          <c:xMode val="edge"/>
          <c:yMode val="edge"/>
          <c:x val="0.67024162340493931"/>
          <c:y val="1.2449146981627295E-2"/>
          <c:w val="0.30887324727307908"/>
          <c:h val="0.947323381452318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0658355205599"/>
          <c:y val="0.1388888888888889"/>
          <c:w val="0.3611111111111111"/>
          <c:h val="0.72222222222222221"/>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32F-4D4D-B534-E3F91A5F6B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32F-4D4D-B534-E3F91A5F6B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32F-4D4D-B534-E3F91A5F6B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32F-4D4D-B534-E3F91A5F6B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32F-4D4D-B534-E3F91A5F6B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32F-4D4D-B534-E3F91A5F6B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BF0-45E1-A188-FF6CE2259C4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BF0-45E1-A188-FF6CE2259C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'5.1-Financial Analysis'!$B$7:$B$8</c:f>
              <c:strCache>
                <c:ptCount val="2"/>
                <c:pt idx="0">
                  <c:v>Eggs</c:v>
                </c:pt>
                <c:pt idx="1">
                  <c:v>5DOL</c:v>
                </c:pt>
              </c:strCache>
            </c:strRef>
          </c:cat>
          <c:val>
            <c:numRef>
              <c:f>'5.1-Financial Analysis'!$D$7:$D$8</c:f>
              <c:numCache>
                <c:formatCode>_ [$IDR]\ * #,##0.00_ ;_ [$IDR]\ * \-#,##0.00_ ;_ [$IDR]\ * "-"??_ ;_ @_ </c:formatCode>
                <c:ptCount val="2"/>
                <c:pt idx="0">
                  <c:v>0</c:v>
                </c:pt>
                <c:pt idx="1">
                  <c:v>45510.937499999985</c:v>
                </c:pt>
              </c:numCache>
            </c:numRef>
          </c:val>
          <c:extLst>
            <c:ext xmlns:c16="http://schemas.microsoft.com/office/drawing/2014/chart" uri="{C3380CC4-5D6E-409C-BE32-E72D297353CC}">
              <c16:uniqueId val="{00000000-980E-4C5B-B0F2-D7EB819CDB5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1813566272965883"/>
          <c:y val="0.15959755030621173"/>
          <c:w val="0.46797544838145227"/>
          <c:h val="0.6953182414698162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1"/>
          <c:order val="1"/>
          <c:tx>
            <c:v>Capex per year</c:v>
          </c:tx>
          <c:spPr>
            <a:solidFill>
              <a:schemeClr val="accent6">
                <a:shade val="76000"/>
              </a:schemeClr>
            </a:solidFill>
            <a:ln>
              <a:noFill/>
            </a:ln>
            <a:effectLst/>
          </c:spPr>
          <c:invertIfNegative val="0"/>
          <c:val>
            <c:numRef>
              <c:f>'5.1-Financial Analysis'!$C$97:$H$97</c:f>
              <c:numCache>
                <c:formatCode>_ [$IDR]\ * #,##0.00_ ;_ [$IDR]\ * \-#,##0.00_ ;_ [$IDR]\ * "-"??_ ;_ @_ </c:formatCode>
                <c:ptCount val="6"/>
                <c:pt idx="0">
                  <c:v>-7146.3640277520108</c:v>
                </c:pt>
                <c:pt idx="1">
                  <c:v>-215.97170983032413</c:v>
                </c:pt>
                <c:pt idx="2">
                  <c:v>-215.97170983032413</c:v>
                </c:pt>
                <c:pt idx="3">
                  <c:v>-1044.5241612154464</c:v>
                </c:pt>
                <c:pt idx="4">
                  <c:v>-215.97170983032413</c:v>
                </c:pt>
                <c:pt idx="5">
                  <c:v>0</c:v>
                </c:pt>
              </c:numCache>
            </c:numRef>
          </c:val>
          <c:extLst>
            <c:ext xmlns:c16="http://schemas.microsoft.com/office/drawing/2014/chart" uri="{C3380CC4-5D6E-409C-BE32-E72D297353CC}">
              <c16:uniqueId val="{00000000-37A9-4ADC-A7B0-EEE149F1128E}"/>
            </c:ext>
          </c:extLst>
        </c:ser>
        <c:dLbls>
          <c:showLegendKey val="0"/>
          <c:showVal val="0"/>
          <c:showCatName val="0"/>
          <c:showSerName val="0"/>
          <c:showPercent val="0"/>
          <c:showBubbleSize val="0"/>
        </c:dLbls>
        <c:gapWidth val="219"/>
        <c:axId val="578255448"/>
        <c:axId val="578256432"/>
      </c:barChart>
      <c:lineChart>
        <c:grouping val="standard"/>
        <c:varyColors val="0"/>
        <c:ser>
          <c:idx val="0"/>
          <c:order val="0"/>
          <c:tx>
            <c:v>Cashflow</c:v>
          </c:tx>
          <c:spPr>
            <a:ln w="28575" cap="rnd">
              <a:solidFill>
                <a:schemeClr val="accent6">
                  <a:tint val="77000"/>
                </a:schemeClr>
              </a:solidFill>
              <a:round/>
            </a:ln>
            <a:effectLst/>
          </c:spPr>
          <c:marker>
            <c:symbol val="circle"/>
            <c:size val="5"/>
            <c:spPr>
              <a:solidFill>
                <a:schemeClr val="accent6">
                  <a:tint val="77000"/>
                </a:schemeClr>
              </a:solidFill>
              <a:ln w="9525">
                <a:solidFill>
                  <a:schemeClr val="accent6">
                    <a:tint val="77000"/>
                  </a:schemeClr>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Analysis'!$C$102:$H$102</c:f>
              <c:numCache>
                <c:formatCode>_ [$IDR]\ * #,##0.00_ ;_ [$IDR]\ * \-#,##0.00_ ;_ [$IDR]\ * "-"??_ ;_ @_ </c:formatCode>
                <c:ptCount val="6"/>
                <c:pt idx="0">
                  <c:v>-7507.544771354198</c:v>
                </c:pt>
                <c:pt idx="1">
                  <c:v>38685.510257129972</c:v>
                </c:pt>
                <c:pt idx="2">
                  <c:v>38685.510257129972</c:v>
                </c:pt>
                <c:pt idx="3">
                  <c:v>37856.957805744845</c:v>
                </c:pt>
                <c:pt idx="4">
                  <c:v>38685.510257129972</c:v>
                </c:pt>
                <c:pt idx="5">
                  <c:v>38901.481966960295</c:v>
                </c:pt>
              </c:numCache>
            </c:numRef>
          </c:val>
          <c:smooth val="0"/>
          <c:extLst>
            <c:ext xmlns:c16="http://schemas.microsoft.com/office/drawing/2014/chart" uri="{C3380CC4-5D6E-409C-BE32-E72D297353CC}">
              <c16:uniqueId val="{00000001-37A9-4ADC-A7B0-EEE149F1128E}"/>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5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0"/>
          <c:order val="0"/>
          <c:tx>
            <c:v>Cumulative Discounted Cashflow</c:v>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'5.1-Financial Analysis'!$C$3:$R$3</c:f>
              <c:strCache>
                <c:ptCount val="6"/>
                <c:pt idx="0">
                  <c:v>Year 00</c:v>
                </c:pt>
                <c:pt idx="1">
                  <c:v>Year 01</c:v>
                </c:pt>
                <c:pt idx="2">
                  <c:v>Year 02</c:v>
                </c:pt>
                <c:pt idx="3">
                  <c:v>Year 03</c:v>
                </c:pt>
                <c:pt idx="4">
                  <c:v>Year 04</c:v>
                </c:pt>
                <c:pt idx="5">
                  <c:v>Year 05</c:v>
                </c:pt>
              </c:strCache>
            </c:strRef>
          </c:cat>
          <c:val>
            <c:numRef>
              <c:f>'5.1-Financial Analysis'!$C$105:$H$105</c:f>
              <c:numCache>
                <c:formatCode>_ [$IDR]\ * #,##0.00_ ;_ [$IDR]\ * \-#,##0.00_ ;_ [$IDR]\ * "-"??_ ;_ @_ </c:formatCode>
                <c:ptCount val="6"/>
                <c:pt idx="0">
                  <c:v>-7507.544771354198</c:v>
                </c:pt>
                <c:pt idx="1">
                  <c:v>27344.266271105236</c:v>
                </c:pt>
                <c:pt idx="2">
                  <c:v>58742.294237284907</c:v>
                </c:pt>
                <c:pt idx="3">
                  <c:v>86422.975507119263</c:v>
                </c:pt>
                <c:pt idx="4">
                  <c:v>111906.31936409489</c:v>
                </c:pt>
                <c:pt idx="5">
                  <c:v>134992.45550083354</c:v>
                </c:pt>
              </c:numCache>
            </c:numRef>
          </c:val>
          <c:smooth val="0"/>
          <c:extLst>
            <c:ext xmlns:c16="http://schemas.microsoft.com/office/drawing/2014/chart" uri="{C3380CC4-5D6E-409C-BE32-E72D297353CC}">
              <c16:uniqueId val="{00000001-221C-4090-B8B6-171A1DAF9234}"/>
            </c:ext>
          </c:extLst>
        </c:ser>
        <c:dLbls>
          <c:showLegendKey val="0"/>
          <c:showVal val="0"/>
          <c:showCatName val="0"/>
          <c:showSerName val="0"/>
          <c:showPercent val="0"/>
          <c:showBubbleSize val="0"/>
        </c:dLbls>
        <c:marker val="1"/>
        <c:smooth val="0"/>
        <c:axId val="578255448"/>
        <c:axId val="578256432"/>
      </c:lineChart>
      <c:catAx>
        <c:axId val="57825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6432"/>
        <c:crosses val="autoZero"/>
        <c:auto val="1"/>
        <c:lblAlgn val="ctr"/>
        <c:lblOffset val="100"/>
        <c:noMultiLvlLbl val="0"/>
      </c:catAx>
      <c:valAx>
        <c:axId val="578256432"/>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255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7.8793197725284342E-2"/>
          <c:y val="2.0893482064741911E-2"/>
          <c:w val="0.33398813429571306"/>
          <c:h val="0.94951662292213468"/>
        </c:manualLayout>
      </c:layout>
      <c:barChart>
        <c:barDir val="bar"/>
        <c:grouping val="clustered"/>
        <c:varyColors val="0"/>
        <c:ser>
          <c:idx val="0"/>
          <c:order val="0"/>
          <c:tx>
            <c:strRef>
              <c:f>'2.3-Staff input'!$C$5</c:f>
              <c:strCache>
                <c:ptCount val="1"/>
                <c:pt idx="0">
                  <c:v>General worker</c:v>
                </c:pt>
              </c:strCache>
            </c:strRef>
          </c:tx>
          <c:spPr>
            <a:solidFill>
              <a:schemeClr val="accent6">
                <a:tint val="44000"/>
              </a:schemeClr>
            </a:solidFill>
            <a:ln>
              <a:noFill/>
            </a:ln>
            <a:effectLst/>
          </c:spPr>
          <c:invertIfNegative val="0"/>
          <c:dPt>
            <c:idx val="0"/>
            <c:invertIfNegative val="0"/>
            <c:bubble3D val="0"/>
            <c:spPr>
              <a:solidFill>
                <a:schemeClr val="accent6">
                  <a:tint val="48000"/>
                </a:schemeClr>
              </a:solidFill>
              <a:ln>
                <a:noFill/>
              </a:ln>
              <a:effectLst/>
            </c:spPr>
            <c:extLst>
              <c:ext xmlns:c16="http://schemas.microsoft.com/office/drawing/2014/chart" uri="{C3380CC4-5D6E-409C-BE32-E72D297353CC}">
                <c16:uniqueId val="{00000001-B1DC-422E-A78D-F06F799726EE}"/>
              </c:ext>
            </c:extLst>
          </c:dPt>
          <c:dPt>
            <c:idx val="1"/>
            <c:invertIfNegative val="0"/>
            <c:bubble3D val="0"/>
            <c:spPr>
              <a:solidFill>
                <a:schemeClr val="accent6">
                  <a:tint val="48000"/>
                </a:schemeClr>
              </a:solidFill>
              <a:ln>
                <a:noFill/>
              </a:ln>
              <a:effectLst/>
            </c:spPr>
            <c:extLst>
              <c:ext xmlns:c16="http://schemas.microsoft.com/office/drawing/2014/chart" uri="{C3380CC4-5D6E-409C-BE32-E72D297353CC}">
                <c16:uniqueId val="{00000003-B1DC-422E-A78D-F06F799726EE}"/>
              </c:ext>
            </c:extLst>
          </c:dPt>
          <c:dPt>
            <c:idx val="2"/>
            <c:invertIfNegative val="0"/>
            <c:bubble3D val="0"/>
            <c:spPr>
              <a:solidFill>
                <a:schemeClr val="accent6">
                  <a:tint val="48000"/>
                </a:schemeClr>
              </a:solidFill>
              <a:ln>
                <a:noFill/>
              </a:ln>
              <a:effectLst/>
            </c:spPr>
            <c:extLst>
              <c:ext xmlns:c16="http://schemas.microsoft.com/office/drawing/2014/chart" uri="{C3380CC4-5D6E-409C-BE32-E72D297353CC}">
                <c16:uniqueId val="{00000005-B1DC-422E-A78D-F06F799726EE}"/>
              </c:ext>
            </c:extLst>
          </c:dPt>
          <c:dPt>
            <c:idx val="3"/>
            <c:invertIfNegative val="0"/>
            <c:bubble3D val="0"/>
            <c:spPr>
              <a:solidFill>
                <a:schemeClr val="accent6">
                  <a:tint val="48000"/>
                </a:schemeClr>
              </a:solidFill>
              <a:ln>
                <a:noFill/>
              </a:ln>
              <a:effectLst/>
            </c:spPr>
            <c:extLst>
              <c:ext xmlns:c16="http://schemas.microsoft.com/office/drawing/2014/chart" uri="{C3380CC4-5D6E-409C-BE32-E72D297353CC}">
                <c16:uniqueId val="{00000007-B1DC-422E-A78D-F06F799726EE}"/>
              </c:ext>
            </c:extLst>
          </c:dPt>
          <c:dPt>
            <c:idx val="4"/>
            <c:invertIfNegative val="0"/>
            <c:bubble3D val="0"/>
            <c:spPr>
              <a:solidFill>
                <a:schemeClr val="accent6">
                  <a:tint val="48000"/>
                </a:schemeClr>
              </a:solidFill>
              <a:ln>
                <a:noFill/>
              </a:ln>
              <a:effectLst/>
            </c:spPr>
            <c:extLst>
              <c:ext xmlns:c16="http://schemas.microsoft.com/office/drawing/2014/chart" uri="{C3380CC4-5D6E-409C-BE32-E72D297353CC}">
                <c16:uniqueId val="{00000009-B1DC-422E-A78D-F06F799726EE}"/>
              </c:ext>
            </c:extLst>
          </c:dPt>
          <c:dPt>
            <c:idx val="5"/>
            <c:invertIfNegative val="0"/>
            <c:bubble3D val="0"/>
            <c:spPr>
              <a:solidFill>
                <a:schemeClr val="accent6">
                  <a:tint val="48000"/>
                </a:schemeClr>
              </a:solidFill>
              <a:ln>
                <a:noFill/>
              </a:ln>
              <a:effectLst/>
            </c:spPr>
            <c:extLst>
              <c:ext xmlns:c16="http://schemas.microsoft.com/office/drawing/2014/chart" uri="{C3380CC4-5D6E-409C-BE32-E72D297353CC}">
                <c16:uniqueId val="{0000000B-B1DC-422E-A78D-F06F799726EE}"/>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input'!$L$5</c:f>
              <c:numCache>
                <c:formatCode>0</c:formatCode>
                <c:ptCount val="1"/>
                <c:pt idx="0">
                  <c:v>1</c:v>
                </c:pt>
              </c:numCache>
            </c:numRef>
          </c:val>
          <c:extLst>
            <c:ext xmlns:c16="http://schemas.microsoft.com/office/drawing/2014/chart" uri="{C3380CC4-5D6E-409C-BE32-E72D297353CC}">
              <c16:uniqueId val="{0000000C-B1DC-422E-A78D-F06F799726EE}"/>
            </c:ext>
          </c:extLst>
        </c:ser>
        <c:ser>
          <c:idx val="1"/>
          <c:order val="1"/>
          <c:tx>
            <c:strRef>
              <c:f>'2.3-Staff input'!$C$6</c:f>
              <c:strCache>
                <c:ptCount val="1"/>
                <c:pt idx="0">
                  <c:v>Nursery staff</c:v>
                </c:pt>
              </c:strCache>
            </c:strRef>
          </c:tx>
          <c:spPr>
            <a:solidFill>
              <a:schemeClr val="accent6">
                <a:tint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input'!$L$6</c:f>
              <c:numCache>
                <c:formatCode>0</c:formatCode>
                <c:ptCount val="1"/>
                <c:pt idx="0">
                  <c:v>1</c:v>
                </c:pt>
              </c:numCache>
            </c:numRef>
          </c:val>
          <c:extLst>
            <c:ext xmlns:c16="http://schemas.microsoft.com/office/drawing/2014/chart" uri="{C3380CC4-5D6E-409C-BE32-E72D297353CC}">
              <c16:uniqueId val="{0000000C-39F1-45F9-8A14-AB85F8E39AA7}"/>
            </c:ext>
          </c:extLst>
        </c:ser>
        <c:ser>
          <c:idx val="2"/>
          <c:order val="2"/>
          <c:tx>
            <c:strRef>
              <c:f>'2.3-Staff input'!$C$7</c:f>
              <c:strCache>
                <c:ptCount val="1"/>
                <c:pt idx="0">
                  <c:v>Waste units manager</c:v>
                </c:pt>
              </c:strCache>
            </c:strRef>
          </c:tx>
          <c:spPr>
            <a:solidFill>
              <a:schemeClr val="accent6">
                <a:tint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input'!$L$7</c:f>
              <c:numCache>
                <c:formatCode>0</c:formatCode>
                <c:ptCount val="1"/>
                <c:pt idx="0">
                  <c:v>0</c:v>
                </c:pt>
              </c:numCache>
            </c:numRef>
          </c:val>
          <c:extLst>
            <c:ext xmlns:c16="http://schemas.microsoft.com/office/drawing/2014/chart" uri="{C3380CC4-5D6E-409C-BE32-E72D297353CC}">
              <c16:uniqueId val="{0000000D-39F1-45F9-8A14-AB85F8E39AA7}"/>
            </c:ext>
          </c:extLst>
        </c:ser>
        <c:ser>
          <c:idx val="3"/>
          <c:order val="3"/>
          <c:tx>
            <c:strRef>
              <c:f>'2.3-Staff input'!$C$8</c:f>
              <c:strCache>
                <c:ptCount val="1"/>
                <c:pt idx="0">
                  <c:v>Nursery manager</c:v>
                </c:pt>
              </c:strCache>
            </c:strRef>
          </c:tx>
          <c:spPr>
            <a:solidFill>
              <a:schemeClr val="accent6">
                <a:tint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input'!$L$8</c:f>
              <c:numCache>
                <c:formatCode>0</c:formatCode>
                <c:ptCount val="1"/>
                <c:pt idx="0">
                  <c:v>0</c:v>
                </c:pt>
              </c:numCache>
            </c:numRef>
          </c:val>
          <c:extLst>
            <c:ext xmlns:c16="http://schemas.microsoft.com/office/drawing/2014/chart" uri="{C3380CC4-5D6E-409C-BE32-E72D297353CC}">
              <c16:uniqueId val="{0000000E-39F1-45F9-8A14-AB85F8E39AA7}"/>
            </c:ext>
          </c:extLst>
        </c:ser>
        <c:ser>
          <c:idx val="4"/>
          <c:order val="4"/>
          <c:tx>
            <c:strRef>
              <c:f>'2.3-Staff input'!$C$9</c:f>
              <c:strCache>
                <c:ptCount val="1"/>
                <c:pt idx="0">
                  <c:v>Site manager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input'!$L$9</c:f>
              <c:numCache>
                <c:formatCode>0</c:formatCode>
                <c:ptCount val="1"/>
                <c:pt idx="0">
                  <c:v>0</c:v>
                </c:pt>
              </c:numCache>
            </c:numRef>
          </c:val>
          <c:extLst>
            <c:ext xmlns:c16="http://schemas.microsoft.com/office/drawing/2014/chart" uri="{C3380CC4-5D6E-409C-BE32-E72D297353CC}">
              <c16:uniqueId val="{0000000F-39F1-45F9-8A14-AB85F8E39AA7}"/>
            </c:ext>
          </c:extLst>
        </c:ser>
        <c:ser>
          <c:idx val="5"/>
          <c:order val="5"/>
          <c:tx>
            <c:strRef>
              <c:f>'2.3-Staff input'!$C$10</c:f>
              <c:strCache>
                <c:ptCount val="1"/>
                <c:pt idx="0">
                  <c:v>Sales manager</c:v>
                </c:pt>
              </c:strCache>
            </c:strRef>
          </c:tx>
          <c:spPr>
            <a:solidFill>
              <a:schemeClr val="accent6">
                <a:shade val="8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input'!$L$10</c:f>
              <c:numCache>
                <c:formatCode>0</c:formatCode>
                <c:ptCount val="1"/>
                <c:pt idx="0">
                  <c:v>0</c:v>
                </c:pt>
              </c:numCache>
            </c:numRef>
          </c:val>
          <c:extLst>
            <c:ext xmlns:c16="http://schemas.microsoft.com/office/drawing/2014/chart" uri="{C3380CC4-5D6E-409C-BE32-E72D297353CC}">
              <c16:uniqueId val="{00000010-39F1-45F9-8A14-AB85F8E39AA7}"/>
            </c:ext>
          </c:extLst>
        </c:ser>
        <c:ser>
          <c:idx val="6"/>
          <c:order val="6"/>
          <c:tx>
            <c:strRef>
              <c:f>'2.3-Staff input'!$C$11</c:f>
              <c:strCache>
                <c:ptCount val="1"/>
                <c:pt idx="0">
                  <c:v>Admin &amp; Accounting</c:v>
                </c:pt>
              </c:strCache>
            </c:strRef>
          </c:tx>
          <c:spPr>
            <a:solidFill>
              <a:schemeClr val="accent6">
                <a:shade val="7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input'!$L$11</c:f>
              <c:numCache>
                <c:formatCode>0</c:formatCode>
                <c:ptCount val="1"/>
                <c:pt idx="0">
                  <c:v>0</c:v>
                </c:pt>
              </c:numCache>
            </c:numRef>
          </c:val>
          <c:extLst>
            <c:ext xmlns:c16="http://schemas.microsoft.com/office/drawing/2014/chart" uri="{C3380CC4-5D6E-409C-BE32-E72D297353CC}">
              <c16:uniqueId val="{00000011-39F1-45F9-8A14-AB85F8E39AA7}"/>
            </c:ext>
          </c:extLst>
        </c:ser>
        <c:ser>
          <c:idx val="7"/>
          <c:order val="7"/>
          <c:tx>
            <c:strRef>
              <c:f>'2.3-Staff input'!$C$12</c:f>
              <c:strCache>
                <c:ptCount val="1"/>
                <c:pt idx="0">
                  <c:v>Post-P. worker (Sanitizing)</c:v>
                </c:pt>
              </c:strCache>
            </c:strRef>
          </c:tx>
          <c:spPr>
            <a:solidFill>
              <a:schemeClr val="accent6">
                <a:shade val="5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input'!$L$12</c:f>
              <c:numCache>
                <c:formatCode>0</c:formatCode>
                <c:ptCount val="1"/>
                <c:pt idx="0">
                  <c:v>0</c:v>
                </c:pt>
              </c:numCache>
            </c:numRef>
          </c:val>
          <c:extLst>
            <c:ext xmlns:c16="http://schemas.microsoft.com/office/drawing/2014/chart" uri="{C3380CC4-5D6E-409C-BE32-E72D297353CC}">
              <c16:uniqueId val="{00000012-39F1-45F9-8A14-AB85F8E39AA7}"/>
            </c:ext>
          </c:extLst>
        </c:ser>
        <c:ser>
          <c:idx val="8"/>
          <c:order val="8"/>
          <c:tx>
            <c:strRef>
              <c:f>'2.3-Staff input'!$C$13</c:f>
              <c:strCache>
                <c:ptCount val="1"/>
                <c:pt idx="0">
                  <c:v>Post-P. worker (Drying &amp; pressing)</c:v>
                </c:pt>
              </c:strCache>
            </c:strRef>
          </c:tx>
          <c:spPr>
            <a:solidFill>
              <a:schemeClr val="accent6">
                <a:shade val="4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'2.3-Staff input'!$L$13</c:f>
              <c:numCache>
                <c:formatCode>0</c:formatCode>
                <c:ptCount val="1"/>
                <c:pt idx="0">
                  <c:v>0</c:v>
                </c:pt>
              </c:numCache>
            </c:numRef>
          </c:val>
          <c:extLst>
            <c:ext xmlns:c16="http://schemas.microsoft.com/office/drawing/2014/chart" uri="{C3380CC4-5D6E-409C-BE32-E72D297353CC}">
              <c16:uniqueId val="{00000013-39F1-45F9-8A14-AB85F8E39AA7}"/>
            </c:ext>
          </c:extLst>
        </c:ser>
        <c:dLbls>
          <c:dLblPos val="outEnd"/>
          <c:showLegendKey val="0"/>
          <c:showVal val="1"/>
          <c:showCatName val="0"/>
          <c:showSerName val="0"/>
          <c:showPercent val="0"/>
          <c:showBubbleSize val="0"/>
        </c:dLbls>
        <c:gapWidth val="53"/>
        <c:overlap val="-38"/>
        <c:axId val="697164408"/>
        <c:axId val="697168016"/>
      </c:barChart>
      <c:catAx>
        <c:axId val="697164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Nr</a:t>
                </a:r>
                <a:r>
                  <a:rPr lang="en-GB" baseline="0"/>
                  <a:t> staff per category</a:t>
                </a:r>
                <a:endParaRPr lang="en-GB"/>
              </a:p>
            </c:rich>
          </c:tx>
          <c:layout>
            <c:manualLayout>
              <c:xMode val="edge"/>
              <c:yMode val="edge"/>
              <c:x val="1.5581255468066491E-2"/>
              <c:y val="0.1201520027387880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crossAx val="697168016"/>
        <c:crosses val="autoZero"/>
        <c:auto val="1"/>
        <c:lblAlgn val="ctr"/>
        <c:lblOffset val="100"/>
        <c:noMultiLvlLbl val="0"/>
      </c:catAx>
      <c:valAx>
        <c:axId val="697168016"/>
        <c:scaling>
          <c:orientation val="minMax"/>
        </c:scaling>
        <c:delete val="1"/>
        <c:axPos val="b"/>
        <c:numFmt formatCode="0" sourceLinked="1"/>
        <c:majorTickMark val="none"/>
        <c:minorTickMark val="none"/>
        <c:tickLblPos val="nextTo"/>
        <c:crossAx val="697164408"/>
        <c:crosses val="autoZero"/>
        <c:crossBetween val="between"/>
      </c:valAx>
      <c:spPr>
        <a:noFill/>
        <a:ln w="15875">
          <a:noFill/>
        </a:ln>
        <a:effectLst/>
      </c:spPr>
    </c:plotArea>
    <c:legend>
      <c:legendPos val="r"/>
      <c:layout>
        <c:manualLayout>
          <c:xMode val="edge"/>
          <c:yMode val="edge"/>
          <c:x val="0.42816026902887139"/>
          <c:y val="3.2130905511811018E-2"/>
          <c:w val="0.55100639763779524"/>
          <c:h val="0.94268208661417319"/>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'3.2-Results Dashboard'!$J$10</c:f>
              <c:strCache>
                <c:ptCount val="1"/>
                <c:pt idx="0">
                  <c:v>Gross Profit</c:v>
                </c:pt>
              </c:strCache>
            </c:strRef>
          </c:tx>
          <c:spPr>
            <a:solidFill>
              <a:schemeClr val="accent6">
                <a:tint val="58000"/>
              </a:schemeClr>
            </a:solidFill>
            <a:ln>
              <a:noFill/>
            </a:ln>
            <a:effectLst/>
          </c:spPr>
          <c:invertIfNegative val="0"/>
          <c:val>
            <c:numRef>
              <c:f>'3.2-Results Dashboard'!$K$10</c:f>
              <c:numCache>
                <c:formatCode>_ [$IDR]\ * #,##0.00_ ;_ [$IDR]\ * \-#,##0.00_ ;_ [$IDR]\ * "-"??_ ;_ @_ </c:formatCode>
                <c:ptCount val="1"/>
                <c:pt idx="0">
                  <c:v>37590.426806198062</c:v>
                </c:pt>
              </c:numCache>
            </c:numRef>
          </c:val>
          <c:extLst>
            <c:ext xmlns:c16="http://schemas.microsoft.com/office/drawing/2014/chart" uri="{C3380CC4-5D6E-409C-BE32-E72D297353CC}">
              <c16:uniqueId val="{00000003-A3BB-4D10-92A0-4E916775B007}"/>
            </c:ext>
          </c:extLst>
        </c:ser>
        <c:ser>
          <c:idx val="1"/>
          <c:order val="1"/>
          <c:tx>
            <c:strRef>
              <c:f>'3.2-Results Dashboard'!$J$11</c:f>
              <c:strCache>
                <c:ptCount val="1"/>
                <c:pt idx="0">
                  <c:v>EBITDA</c:v>
                </c:pt>
              </c:strCache>
            </c:strRef>
          </c:tx>
          <c:spPr>
            <a:solidFill>
              <a:schemeClr val="accent6">
                <a:tint val="86000"/>
              </a:schemeClr>
            </a:solidFill>
            <a:ln>
              <a:noFill/>
            </a:ln>
            <a:effectLst/>
          </c:spPr>
          <c:invertIfNegative val="0"/>
          <c:val>
            <c:numRef>
              <c:f>'3.2-Results Dashboard'!$K$11</c:f>
              <c:numCache>
                <c:formatCode>_ [$IDR]\ * #,##0.00_ ;_ [$IDR]\ * \-#,##0.00_ ;_ [$IDR]\ * "-"??_ ;_ @_ </c:formatCode>
                <c:ptCount val="1"/>
                <c:pt idx="0">
                  <c:v>38901.481966960302</c:v>
                </c:pt>
              </c:numCache>
            </c:numRef>
          </c:val>
          <c:extLst>
            <c:ext xmlns:c16="http://schemas.microsoft.com/office/drawing/2014/chart" uri="{C3380CC4-5D6E-409C-BE32-E72D297353CC}">
              <c16:uniqueId val="{00000004-A3BB-4D10-92A0-4E916775B007}"/>
            </c:ext>
          </c:extLst>
        </c:ser>
        <c:ser>
          <c:idx val="2"/>
          <c:order val="2"/>
          <c:tx>
            <c:strRef>
              <c:f>'3.2-Results Dashboard'!$J$12</c:f>
              <c:strCache>
                <c:ptCount val="1"/>
                <c:pt idx="0">
                  <c:v>Operating Profit (EBIT)</c:v>
                </c:pt>
              </c:strCache>
            </c:strRef>
          </c:tx>
          <c:spPr>
            <a:solidFill>
              <a:schemeClr val="accent6">
                <a:shade val="86000"/>
              </a:schemeClr>
            </a:solidFill>
            <a:ln>
              <a:noFill/>
            </a:ln>
            <a:effectLst/>
          </c:spPr>
          <c:invertIfNegative val="0"/>
          <c:val>
            <c:numRef>
              <c:f>'3.2-Results Dashboard'!$K$12</c:f>
              <c:numCache>
                <c:formatCode>_ [$IDR]\ * #,##0.00_ ;_ [$IDR]\ * \-#,##0.00_ ;_ [$IDR]\ * "-"??_ ;_ @_ </c:formatCode>
                <c:ptCount val="1"/>
                <c:pt idx="0">
                  <c:v>37223.818445691453</c:v>
                </c:pt>
              </c:numCache>
            </c:numRef>
          </c:val>
          <c:extLst>
            <c:ext xmlns:c16="http://schemas.microsoft.com/office/drawing/2014/chart" uri="{C3380CC4-5D6E-409C-BE32-E72D297353CC}">
              <c16:uniqueId val="{00000005-A3BB-4D10-92A0-4E916775B007}"/>
            </c:ext>
          </c:extLst>
        </c:ser>
        <c:ser>
          <c:idx val="3"/>
          <c:order val="3"/>
          <c:tx>
            <c:strRef>
              <c:f>'3.2-Results Dashboard'!$J$15</c:f>
              <c:strCache>
                <c:ptCount val="1"/>
                <c:pt idx="0">
                  <c:v>Net Profit (after taxes)</c:v>
                </c:pt>
              </c:strCache>
            </c:strRef>
          </c:tx>
          <c:spPr>
            <a:solidFill>
              <a:schemeClr val="accent6">
                <a:shade val="58000"/>
              </a:schemeClr>
            </a:solidFill>
            <a:ln>
              <a:noFill/>
            </a:ln>
            <a:effectLst/>
          </c:spPr>
          <c:invertIfNegative val="0"/>
          <c:val>
            <c:numRef>
              <c:f>'3.2-Results Dashboard'!$K$15</c:f>
              <c:numCache>
                <c:formatCode>_ [$IDR]\ * #,##0.00_ ;_ [$IDR]\ * \-#,##0.00_ ;_ [$IDR]\ * "-"??_ ;_ @_ </c:formatCode>
                <c:ptCount val="1"/>
                <c:pt idx="0">
                  <c:v>28620.429572755744</c:v>
                </c:pt>
              </c:numCache>
            </c:numRef>
          </c:val>
          <c:extLst>
            <c:ext xmlns:c16="http://schemas.microsoft.com/office/drawing/2014/chart" uri="{C3380CC4-5D6E-409C-BE32-E72D297353CC}">
              <c16:uniqueId val="{00000006-A3BB-4D10-92A0-4E916775B007}"/>
            </c:ext>
          </c:extLst>
        </c:ser>
        <c:dLbls>
          <c:showLegendKey val="0"/>
          <c:showVal val="0"/>
          <c:showCatName val="0"/>
          <c:showSerName val="0"/>
          <c:showPercent val="0"/>
          <c:showBubbleSize val="0"/>
        </c:dLbls>
        <c:gapWidth val="219"/>
        <c:overlap val="-27"/>
        <c:axId val="607723280"/>
        <c:axId val="607721640"/>
      </c:barChart>
      <c:catAx>
        <c:axId val="607723280"/>
        <c:scaling>
          <c:orientation val="minMax"/>
        </c:scaling>
        <c:delete val="1"/>
        <c:axPos val="b"/>
        <c:numFmt formatCode="General" sourceLinked="0"/>
        <c:majorTickMark val="out"/>
        <c:minorTickMark val="none"/>
        <c:tickLblPos val="nextTo"/>
        <c:crossAx val="607721640"/>
        <c:crosses val="autoZero"/>
        <c:auto val="1"/>
        <c:lblAlgn val="ctr"/>
        <c:lblOffset val="100"/>
        <c:noMultiLvlLbl val="0"/>
      </c:catAx>
      <c:valAx>
        <c:axId val="607721640"/>
        <c:scaling>
          <c:orientation val="minMax"/>
        </c:scaling>
        <c:delete val="0"/>
        <c:axPos val="l"/>
        <c:title>
          <c:tx>
            <c:strRef>
              <c:f>'3.2-Results Dashboard'!$F$17</c:f>
              <c:strCache>
                <c:ptCount val="1"/>
                <c:pt idx="0">
                  <c:v>Amount in USD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232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6060804899387"/>
          <c:y val="0.1388888888888889"/>
          <c:w val="0.3611111111111111"/>
          <c:h val="0.72222222222222221"/>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97-4A3A-80C5-0FFF739305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97-4A3A-80C5-0FFF739305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97-4A3A-80C5-0FFF739305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97-4A3A-80C5-0FFF739305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97-4A3A-80C5-0FFF739305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97-4A3A-80C5-0FFF739305B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('5.1-Financial Analysis'!$B$29,'5.1-Financial Analysis'!$B$37,'5.1-Financial Analysis'!$B$48,'5.1-Financial Analysis'!$B$64,'5.1-Financial Analysis'!$B$72,'5.1-Financial Analysis'!$B$80)</c:f>
              <c:strCache>
                <c:ptCount val="6"/>
                <c:pt idx="0">
                  <c:v>Materials (direct)</c:v>
                </c:pt>
                <c:pt idx="1">
                  <c:v>Labor (direct)</c:v>
                </c:pt>
                <c:pt idx="2">
                  <c:v>Labor (indirect)</c:v>
                </c:pt>
                <c:pt idx="3">
                  <c:v>Equipment Maintenance and contingencies</c:v>
                </c:pt>
                <c:pt idx="4">
                  <c:v>Utilities</c:v>
                </c:pt>
                <c:pt idx="5">
                  <c:v>Selling, General &amp; Administration overhead</c:v>
                </c:pt>
              </c:strCache>
            </c:strRef>
          </c:cat>
          <c:val>
            <c:numRef>
              <c:f>('5.1-Financial Analysis'!$D$29,'5.1-Financial Analysis'!$D$37,'5.1-Financial Analysis'!$D$48,'5.1-Financial Analysis'!$D$64,'5.1-Financial Analysis'!$D$72,'5.1-Financial Analysis'!$D$80)</c:f>
              <c:numCache>
                <c:formatCode>_ [$IDR]\ * #,##0.00_ ;_ [$IDR]\ * \-#,##0.00_ ;_ [$IDR]\ * "-"??_ ;_ @_ </c:formatCode>
                <c:ptCount val="6"/>
                <c:pt idx="0">
                  <c:v>1779.0968346336483</c:v>
                </c:pt>
                <c:pt idx="1">
                  <c:v>3823.7614199467225</c:v>
                </c:pt>
                <c:pt idx="2">
                  <c:v>0</c:v>
                </c:pt>
                <c:pt idx="3">
                  <c:v>348.60312330497618</c:v>
                </c:pt>
                <c:pt idx="4">
                  <c:v>291.38579464773085</c:v>
                </c:pt>
                <c:pt idx="5">
                  <c:v>366.60836050661129</c:v>
                </c:pt>
              </c:numCache>
            </c:numRef>
          </c:val>
          <c:extLst>
            <c:ext xmlns:c16="http://schemas.microsoft.com/office/drawing/2014/chart" uri="{C3380CC4-5D6E-409C-BE32-E72D297353CC}">
              <c16:uniqueId val="{0000000C-E397-4A3A-80C5-0FFF739305B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5083226953802544"/>
          <c:y val="0.11633410990037535"/>
          <c:w val="0.43323432457100558"/>
          <c:h val="0.8342098643919509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9166666666667"/>
          <c:y val="0.14583333333333334"/>
          <c:w val="0.3611111111111111"/>
          <c:h val="0.72222222222222221"/>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B97-469B-8DF6-C94480F112CA}"/>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B97-469B-8DF6-C94480F112CA}"/>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B97-469B-8DF6-C94480F112CA}"/>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B97-469B-8DF6-C94480F112CA}"/>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B97-469B-8DF6-C94480F112CA}"/>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3B97-469B-8DF6-C94480F112CA}"/>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C6C2-4746-874F-58EB3E728741}"/>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C6C2-4746-874F-58EB3E728741}"/>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C6C2-4746-874F-58EB3E7287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'5.1-Financial Analysis'!$B$14:$B$22</c:f>
              <c:strCache>
                <c:ptCount val="9"/>
                <c:pt idx="0">
                  <c:v>Land aqusition</c:v>
                </c:pt>
                <c:pt idx="1">
                  <c:v>Factory construction</c:v>
                </c:pt>
                <c:pt idx="2">
                  <c:v>Waste pre-processing</c:v>
                </c:pt>
                <c:pt idx="3">
                  <c:v>Waste treatment</c:v>
                </c:pt>
                <c:pt idx="4">
                  <c:v>Harvesting</c:v>
                </c:pt>
                <c:pt idx="5">
                  <c:v>Nursery / Rearing</c:v>
                </c:pt>
                <c:pt idx="6">
                  <c:v>Larvae Post-processing</c:v>
                </c:pt>
                <c:pt idx="7">
                  <c:v>Residue processing</c:v>
                </c:pt>
                <c:pt idx="8">
                  <c:v>Process installation &amp; integration</c:v>
                </c:pt>
              </c:strCache>
            </c:strRef>
          </c:cat>
          <c:val>
            <c:numRef>
              <c:f>'5.1-Financial Analysis'!$C$14:$C$22</c:f>
              <c:numCache>
                <c:formatCode>_ [$IDR]\ * #,##0.00_ ;_ [$IDR]\ * \-#,##0.00_ ;_ [$IDR]\ * "-"??_ ;_ @_ </c:formatCode>
                <c:ptCount val="9"/>
                <c:pt idx="0">
                  <c:v>0</c:v>
                </c:pt>
                <c:pt idx="1">
                  <c:v>0</c:v>
                </c:pt>
                <c:pt idx="2">
                  <c:v>0</c:v>
                </c:pt>
                <c:pt idx="3">
                  <c:v>527.25421357265361</c:v>
                </c:pt>
                <c:pt idx="4">
                  <c:v>3735.9211228829458</c:v>
                </c:pt>
                <c:pt idx="5">
                  <c:v>2426.3890521461926</c:v>
                </c:pt>
                <c:pt idx="6">
                  <c:v>282.49807749773055</c:v>
                </c:pt>
                <c:pt idx="7">
                  <c:v>0</c:v>
                </c:pt>
                <c:pt idx="8">
                  <c:v>174.30156165248809</c:v>
                </c:pt>
              </c:numCache>
            </c:numRef>
          </c:val>
          <c:extLst>
            <c:ext xmlns:c16="http://schemas.microsoft.com/office/drawing/2014/chart" uri="{C3380CC4-5D6E-409C-BE32-E72D297353CC}">
              <c16:uniqueId val="{0000000C-3B97-469B-8DF6-C94480F112CA}"/>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021109470691163"/>
          <c:y val="3.3126640419947506E-2"/>
          <c:w val="0.47600366360454938"/>
          <c:h val="0.939095581802274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7.8793197725284342E-2"/>
          <c:y val="3.4782632511217056E-2"/>
          <c:w val="0.61871035651793527"/>
          <c:h val="0.92173907684976164"/>
        </c:manualLayout>
      </c:layout>
      <c:barChart>
        <c:barDir val="bar"/>
        <c:grouping val="clustered"/>
        <c:varyColors val="0"/>
        <c:ser>
          <c:idx val="0"/>
          <c:order val="0"/>
          <c:tx>
            <c:strRef>
              <c:f>'5.3-Unit SG&amp;A'!$B$35</c:f>
              <c:strCache>
                <c:ptCount val="1"/>
                <c:pt idx="0">
                  <c:v>Unit-W</c:v>
                </c:pt>
              </c:strCache>
            </c:strRef>
          </c:tx>
          <c:spPr>
            <a:solidFill>
              <a:schemeClr val="accent6">
                <a:tint val="48000"/>
              </a:schemeClr>
            </a:solidFill>
            <a:ln>
              <a:noFill/>
            </a:ln>
            <a:effectLst/>
          </c:spPr>
          <c:invertIfNegative val="0"/>
          <c:dPt>
            <c:idx val="0"/>
            <c:invertIfNegative val="0"/>
            <c:bubble3D val="0"/>
            <c:spPr>
              <a:solidFill>
                <a:schemeClr val="accent6">
                  <a:tint val="48000"/>
                </a:schemeClr>
              </a:solidFill>
              <a:ln>
                <a:noFill/>
              </a:ln>
              <a:effectLst/>
            </c:spPr>
            <c:extLst>
              <c:ext xmlns:c16="http://schemas.microsoft.com/office/drawing/2014/chart" uri="{C3380CC4-5D6E-409C-BE32-E72D297353CC}">
                <c16:uniqueId val="{00000001-BE6F-41B7-9707-86BE5747B0AA}"/>
              </c:ext>
            </c:extLst>
          </c:dPt>
          <c:dPt>
            <c:idx val="1"/>
            <c:invertIfNegative val="0"/>
            <c:bubble3D val="0"/>
            <c:spPr>
              <a:solidFill>
                <a:schemeClr val="accent6">
                  <a:tint val="48000"/>
                </a:schemeClr>
              </a:solidFill>
              <a:ln>
                <a:noFill/>
              </a:ln>
              <a:effectLst/>
            </c:spPr>
            <c:extLst>
              <c:ext xmlns:c16="http://schemas.microsoft.com/office/drawing/2014/chart" uri="{C3380CC4-5D6E-409C-BE32-E72D297353CC}">
                <c16:uniqueId val="{00000003-BE6F-41B7-9707-86BE5747B0AA}"/>
              </c:ext>
            </c:extLst>
          </c:dPt>
          <c:dPt>
            <c:idx val="2"/>
            <c:invertIfNegative val="0"/>
            <c:bubble3D val="0"/>
            <c:spPr>
              <a:solidFill>
                <a:schemeClr val="accent6">
                  <a:tint val="48000"/>
                </a:schemeClr>
              </a:solidFill>
              <a:ln>
                <a:noFill/>
              </a:ln>
              <a:effectLst/>
            </c:spPr>
            <c:extLst>
              <c:ext xmlns:c16="http://schemas.microsoft.com/office/drawing/2014/chart" uri="{C3380CC4-5D6E-409C-BE32-E72D297353CC}">
                <c16:uniqueId val="{00000005-BE6F-41B7-9707-86BE5747B0AA}"/>
              </c:ext>
            </c:extLst>
          </c:dPt>
          <c:dPt>
            <c:idx val="3"/>
            <c:invertIfNegative val="0"/>
            <c:bubble3D val="0"/>
            <c:spPr>
              <a:solidFill>
                <a:schemeClr val="accent6">
                  <a:tint val="48000"/>
                </a:schemeClr>
              </a:solidFill>
              <a:ln>
                <a:noFill/>
              </a:ln>
              <a:effectLst/>
            </c:spPr>
            <c:extLst>
              <c:ext xmlns:c16="http://schemas.microsoft.com/office/drawing/2014/chart" uri="{C3380CC4-5D6E-409C-BE32-E72D297353CC}">
                <c16:uniqueId val="{00000007-BE6F-41B7-9707-86BE5747B0AA}"/>
              </c:ext>
            </c:extLst>
          </c:dPt>
          <c:dPt>
            <c:idx val="4"/>
            <c:invertIfNegative val="0"/>
            <c:bubble3D val="0"/>
            <c:spPr>
              <a:solidFill>
                <a:schemeClr val="accent6">
                  <a:tint val="48000"/>
                </a:schemeClr>
              </a:solidFill>
              <a:ln>
                <a:noFill/>
              </a:ln>
              <a:effectLst/>
            </c:spPr>
            <c:extLst>
              <c:ext xmlns:c16="http://schemas.microsoft.com/office/drawing/2014/chart" uri="{C3380CC4-5D6E-409C-BE32-E72D297353CC}">
                <c16:uniqueId val="{00000009-BE6F-41B7-9707-86BE5747B0AA}"/>
              </c:ext>
            </c:extLst>
          </c:dPt>
          <c:dPt>
            <c:idx val="5"/>
            <c:invertIfNegative val="0"/>
            <c:bubble3D val="0"/>
            <c:spPr>
              <a:solidFill>
                <a:schemeClr val="accent6">
                  <a:tint val="48000"/>
                </a:schemeClr>
              </a:solidFill>
              <a:ln>
                <a:noFill/>
              </a:ln>
              <a:effectLst/>
            </c:spPr>
            <c:extLst>
              <c:ext xmlns:c16="http://schemas.microsoft.com/office/drawing/2014/chart" uri="{C3380CC4-5D6E-409C-BE32-E72D297353CC}">
                <c16:uniqueId val="{0000000B-BE6F-41B7-9707-86BE5747B0AA}"/>
              </c:ext>
            </c:extLst>
          </c:dPt>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SG&amp;A'!$D$35</c:f>
              <c:numCache>
                <c:formatCode>0.0</c:formatCode>
                <c:ptCount val="1"/>
                <c:pt idx="0">
                  <c:v>0</c:v>
                </c:pt>
              </c:numCache>
            </c:numRef>
          </c:val>
          <c:extLst>
            <c:ext xmlns:c16="http://schemas.microsoft.com/office/drawing/2014/chart" uri="{C3380CC4-5D6E-409C-BE32-E72D297353CC}">
              <c16:uniqueId val="{0000000C-BE6F-41B7-9707-86BE5747B0AA}"/>
            </c:ext>
          </c:extLst>
        </c:ser>
        <c:ser>
          <c:idx val="1"/>
          <c:order val="1"/>
          <c:tx>
            <c:strRef>
              <c:f>'5.3-Unit SG&amp;A'!$B$36</c:f>
              <c:strCache>
                <c:ptCount val="1"/>
                <c:pt idx="0">
                  <c:v>Unit-T</c:v>
                </c:pt>
              </c:strCache>
            </c:strRef>
          </c:tx>
          <c:spPr>
            <a:solidFill>
              <a:schemeClr val="accent6">
                <a:tint val="65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SG&amp;A'!$D$36</c:f>
              <c:numCache>
                <c:formatCode>0.0</c:formatCode>
                <c:ptCount val="1"/>
                <c:pt idx="0">
                  <c:v>2.5582400000000001</c:v>
                </c:pt>
              </c:numCache>
            </c:numRef>
          </c:val>
          <c:extLst>
            <c:ext xmlns:c16="http://schemas.microsoft.com/office/drawing/2014/chart" uri="{C3380CC4-5D6E-409C-BE32-E72D297353CC}">
              <c16:uniqueId val="{0000000D-BE6F-41B7-9707-86BE5747B0AA}"/>
            </c:ext>
          </c:extLst>
        </c:ser>
        <c:ser>
          <c:idx val="2"/>
          <c:order val="2"/>
          <c:tx>
            <c:strRef>
              <c:f>'5.3-Unit SG&amp;A'!$B$37</c:f>
              <c:strCache>
                <c:ptCount val="1"/>
                <c:pt idx="0">
                  <c:v>Unit-H</c:v>
                </c:pt>
              </c:strCache>
            </c:strRef>
          </c:tx>
          <c:spPr>
            <a:solidFill>
              <a:schemeClr val="accent6">
                <a:tint val="83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SG&amp;A'!$D$37</c:f>
              <c:numCache>
                <c:formatCode>0.0</c:formatCode>
                <c:ptCount val="1"/>
                <c:pt idx="0">
                  <c:v>15.839113333333334</c:v>
                </c:pt>
              </c:numCache>
            </c:numRef>
          </c:val>
          <c:extLst>
            <c:ext xmlns:c16="http://schemas.microsoft.com/office/drawing/2014/chart" uri="{C3380CC4-5D6E-409C-BE32-E72D297353CC}">
              <c16:uniqueId val="{0000000E-BE6F-41B7-9707-86BE5747B0AA}"/>
            </c:ext>
          </c:extLst>
        </c:ser>
        <c:ser>
          <c:idx val="3"/>
          <c:order val="3"/>
          <c:tx>
            <c:strRef>
              <c:f>'5.3-Unit SG&amp;A'!$B$38</c:f>
              <c:strCache>
                <c:ptCount val="1"/>
                <c:pt idx="0">
                  <c:v>Unit-N</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SG&amp;A'!$D$38</c:f>
              <c:numCache>
                <c:formatCode>0.0</c:formatCode>
                <c:ptCount val="1"/>
                <c:pt idx="0">
                  <c:v>31.725000000000009</c:v>
                </c:pt>
              </c:numCache>
            </c:numRef>
          </c:val>
          <c:extLst>
            <c:ext xmlns:c16="http://schemas.microsoft.com/office/drawing/2014/chart" uri="{C3380CC4-5D6E-409C-BE32-E72D297353CC}">
              <c16:uniqueId val="{0000000F-BE6F-41B7-9707-86BE5747B0AA}"/>
            </c:ext>
          </c:extLst>
        </c:ser>
        <c:ser>
          <c:idx val="4"/>
          <c:order val="4"/>
          <c:tx>
            <c:strRef>
              <c:f>'5.3-Unit SG&amp;A'!$B$39</c:f>
              <c:strCache>
                <c:ptCount val="1"/>
                <c:pt idx="0">
                  <c:v>Unit-P</c:v>
                </c:pt>
              </c:strCache>
            </c:strRef>
          </c:tx>
          <c:spPr>
            <a:solidFill>
              <a:schemeClr val="accent6">
                <a:shade val="82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SG&amp;A'!$D$39</c:f>
              <c:numCache>
                <c:formatCode>0.0</c:formatCode>
                <c:ptCount val="1"/>
                <c:pt idx="0">
                  <c:v>0.82364666666666686</c:v>
                </c:pt>
              </c:numCache>
            </c:numRef>
          </c:val>
          <c:extLst>
            <c:ext xmlns:c16="http://schemas.microsoft.com/office/drawing/2014/chart" uri="{C3380CC4-5D6E-409C-BE32-E72D297353CC}">
              <c16:uniqueId val="{00000010-BE6F-41B7-9707-86BE5747B0AA}"/>
            </c:ext>
          </c:extLst>
        </c:ser>
        <c:ser>
          <c:idx val="5"/>
          <c:order val="5"/>
          <c:tx>
            <c:strRef>
              <c:f>'5.3-Unit SG&amp;A'!$B$40</c:f>
              <c:strCache>
                <c:ptCount val="1"/>
                <c:pt idx="0">
                  <c:v>Unit-R</c:v>
                </c:pt>
              </c:strCache>
            </c:strRef>
          </c:tx>
          <c:spPr>
            <a:solidFill>
              <a:schemeClr val="accent6">
                <a:shade val="65000"/>
              </a:schemeClr>
            </a:solidFill>
            <a:ln>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E6F-41B7-9707-86BE5747B0AA}"/>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SG&amp;A'!$D$40</c:f>
              <c:numCache>
                <c:formatCode>0.0</c:formatCode>
                <c:ptCount val="1"/>
                <c:pt idx="0">
                  <c:v>6.0739209136740482E-2</c:v>
                </c:pt>
              </c:numCache>
            </c:numRef>
          </c:val>
          <c:extLst>
            <c:ext xmlns:c16="http://schemas.microsoft.com/office/drawing/2014/chart" uri="{C3380CC4-5D6E-409C-BE32-E72D297353CC}">
              <c16:uniqueId val="{00000012-BE6F-41B7-9707-86BE5747B0AA}"/>
            </c:ext>
          </c:extLst>
        </c:ser>
        <c:ser>
          <c:idx val="6"/>
          <c:order val="6"/>
          <c:tx>
            <c:strRef>
              <c:f>'5.3-Unit SG&amp;A'!$B$41</c:f>
              <c:strCache>
                <c:ptCount val="1"/>
                <c:pt idx="0">
                  <c:v>Office space</c:v>
                </c:pt>
              </c:strCache>
            </c:strRef>
          </c:tx>
          <c:spPr>
            <a:solidFill>
              <a:schemeClr val="accent6">
                <a:shade val="47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'5.3-Unit SG&amp;A'!$D$41</c:f>
              <c:numCache>
                <c:formatCode>0.0</c:formatCode>
                <c:ptCount val="1"/>
                <c:pt idx="0">
                  <c:v>0</c:v>
                </c:pt>
              </c:numCache>
            </c:numRef>
          </c:val>
          <c:extLst>
            <c:ext xmlns:c16="http://schemas.microsoft.com/office/drawing/2014/chart" uri="{C3380CC4-5D6E-409C-BE32-E72D297353CC}">
              <c16:uniqueId val="{00000013-BE6F-41B7-9707-86BE5747B0AA}"/>
            </c:ext>
          </c:extLst>
        </c:ser>
        <c:dLbls>
          <c:dLblPos val="inBase"/>
          <c:showLegendKey val="0"/>
          <c:showVal val="1"/>
          <c:showCatName val="0"/>
          <c:showSerName val="0"/>
          <c:showPercent val="0"/>
          <c:showBubbleSize val="0"/>
        </c:dLbls>
        <c:gapWidth val="53"/>
        <c:overlap val="-38"/>
        <c:axId val="697164408"/>
        <c:axId val="697168016"/>
      </c:barChart>
      <c:catAx>
        <c:axId val="697164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Space per unit in m2</a:t>
                </a:r>
              </a:p>
            </c:rich>
          </c:tx>
          <c:layout>
            <c:manualLayout>
              <c:xMode val="edge"/>
              <c:yMode val="edge"/>
              <c:x val="1.5581255468066491E-2"/>
              <c:y val="0.203485345581802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crossAx val="697168016"/>
        <c:crosses val="autoZero"/>
        <c:auto val="1"/>
        <c:lblAlgn val="ctr"/>
        <c:lblOffset val="100"/>
        <c:noMultiLvlLbl val="0"/>
      </c:catAx>
      <c:valAx>
        <c:axId val="697168016"/>
        <c:scaling>
          <c:orientation val="minMax"/>
        </c:scaling>
        <c:delete val="1"/>
        <c:axPos val="b"/>
        <c:numFmt formatCode="0.0" sourceLinked="1"/>
        <c:majorTickMark val="none"/>
        <c:minorTickMark val="none"/>
        <c:tickLblPos val="nextTo"/>
        <c:crossAx val="697164408"/>
        <c:crosses val="autoZero"/>
        <c:crossBetween val="between"/>
      </c:valAx>
      <c:spPr>
        <a:noFill/>
        <a:ln w="15875">
          <a:noFill/>
        </a:ln>
        <a:effectLst/>
      </c:spPr>
    </c:plotArea>
    <c:legend>
      <c:legendPos val="r"/>
      <c:layout>
        <c:manualLayout>
          <c:xMode val="edge"/>
          <c:yMode val="edge"/>
          <c:x val="0.70295179121930473"/>
          <c:y val="4.7004837991158906E-2"/>
          <c:w val="0.27975709577973851"/>
          <c:h val="0.92181519683739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9">
  <a:schemeClr val="accent6"/>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3.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58.png"/><Relationship Id="rId1"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9.png"/></Relationships>
</file>

<file path=xl/drawings/_rels/drawing2.xml.rels><?xml version="1.0" encoding="UTF-8" standalone="yes"?>
<Relationships xmlns="http://schemas.openxmlformats.org/package/2006/relationships"><Relationship Id="rId1" Type="http://schemas.openxmlformats.org/officeDocument/2006/relationships/hyperlink" Target="#'5.4 Database'!A1"/></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46.png"/><Relationship Id="rId18" Type="http://schemas.openxmlformats.org/officeDocument/2006/relationships/image" Target="../media/image21.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5.png"/><Relationship Id="rId17" Type="http://schemas.openxmlformats.org/officeDocument/2006/relationships/image" Target="../media/image26.png"/><Relationship Id="rId2" Type="http://schemas.openxmlformats.org/officeDocument/2006/relationships/image" Target="../media/image36.png"/><Relationship Id="rId16" Type="http://schemas.openxmlformats.org/officeDocument/2006/relationships/image" Target="../media/image25.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4.png"/><Relationship Id="rId5" Type="http://schemas.openxmlformats.org/officeDocument/2006/relationships/image" Target="../media/image39.png"/><Relationship Id="rId15" Type="http://schemas.openxmlformats.org/officeDocument/2006/relationships/image" Target="../media/image48.png"/><Relationship Id="rId10" Type="http://schemas.openxmlformats.org/officeDocument/2006/relationships/image" Target="../media/image43.png"/><Relationship Id="rId19" Type="http://schemas.openxmlformats.org/officeDocument/2006/relationships/image" Target="../media/image19.png"/><Relationship Id="rId4" Type="http://schemas.openxmlformats.org/officeDocument/2006/relationships/image" Target="../media/image38.png"/><Relationship Id="rId9" Type="http://schemas.openxmlformats.org/officeDocument/2006/relationships/image" Target="../media/image42.png"/><Relationship Id="rId14"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hyperlink" Target="#'1.0-General input'!A55"/></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drawing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9.xml.rels><?xml version="1.0" encoding="UTF-8" standalone="yes"?>
<Relationships xmlns="http://schemas.openxmlformats.org/package/2006/relationships"><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6</xdr:row>
      <xdr:rowOff>123826</xdr:rowOff>
    </xdr:from>
    <xdr:to>
      <xdr:col>4</xdr:col>
      <xdr:colOff>370762</xdr:colOff>
      <xdr:row>13</xdr:row>
      <xdr:rowOff>161926</xdr:rowOff>
    </xdr:to>
    <xdr:pic>
      <xdr:nvPicPr>
        <xdr:cNvPr id="116" name="Picture 1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6" y="552451"/>
          <a:ext cx="2104311"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9686</xdr:colOff>
      <xdr:row>33</xdr:row>
      <xdr:rowOff>105559</xdr:rowOff>
    </xdr:from>
    <xdr:to>
      <xdr:col>9</xdr:col>
      <xdr:colOff>607554</xdr:colOff>
      <xdr:row>50</xdr:row>
      <xdr:rowOff>0</xdr:rowOff>
    </xdr:to>
    <xdr:grpSp>
      <xdr:nvGrpSpPr>
        <xdr:cNvPr id="7" name="Group 6"/>
        <xdr:cNvGrpSpPr/>
      </xdr:nvGrpSpPr>
      <xdr:grpSpPr>
        <a:xfrm>
          <a:off x="69451" y="7658324"/>
          <a:ext cx="5498574" cy="3069441"/>
          <a:chOff x="55044" y="6727702"/>
          <a:chExt cx="5460153" cy="3102479"/>
        </a:xfrm>
      </xdr:grpSpPr>
      <xdr:grpSp>
        <xdr:nvGrpSpPr>
          <xdr:cNvPr id="110" name="Group 109"/>
          <xdr:cNvGrpSpPr/>
        </xdr:nvGrpSpPr>
        <xdr:grpSpPr>
          <a:xfrm>
            <a:off x="156690" y="7156615"/>
            <a:ext cx="5358507" cy="1895845"/>
            <a:chOff x="219770" y="1510452"/>
            <a:chExt cx="11472003" cy="4109852"/>
          </a:xfrm>
        </xdr:grpSpPr>
        <xdr:pic>
          <xdr:nvPicPr>
            <xdr:cNvPr id="222" name="Picture 221">
              <a:extLst>
                <a:ext uri="{FF2B5EF4-FFF2-40B4-BE49-F238E27FC236}">
                  <a16:creationId xmlns:a16="http://schemas.microsoft.com/office/drawing/2014/main" id="{E946E1E5-E9E3-488A-8FB6-D63FD3B4C511}"/>
                </a:ext>
              </a:extLst>
            </xdr:cNvPr>
            <xdr:cNvPicPr>
              <a:picLocks noChangeAspect="1"/>
            </xdr:cNvPicPr>
          </xdr:nvPicPr>
          <xdr:blipFill rotWithShape="1">
            <a:blip xmlns:r="http://schemas.openxmlformats.org/officeDocument/2006/relationships" r:embed="rId2" cstate="hqprint">
              <a:lum bright="70000" contrast="-70000"/>
              <a:extLst>
                <a:ext uri="{28A0092B-C50C-407E-A947-70E740481C1C}">
                  <a14:useLocalDpi xmlns:a14="http://schemas.microsoft.com/office/drawing/2010/main" val="0"/>
                </a:ext>
              </a:extLst>
            </a:blip>
            <a:srcRect l="12485" t="16790" r="13672" b="9366"/>
            <a:stretch/>
          </xdr:blipFill>
          <xdr:spPr>
            <a:xfrm>
              <a:off x="10783276" y="3044788"/>
              <a:ext cx="902548" cy="902546"/>
            </a:xfrm>
            <a:prstGeom prst="rect">
              <a:avLst/>
            </a:prstGeom>
          </xdr:spPr>
        </xdr:pic>
        <xdr:pic>
          <xdr:nvPicPr>
            <xdr:cNvPr id="111" name="Picture 110"/>
            <xdr:cNvPicPr>
              <a:picLocks noChangeAspect="1"/>
            </xdr:cNvPicPr>
          </xdr:nvPicPr>
          <xdr:blipFill>
            <a:blip xmlns:r="http://schemas.openxmlformats.org/officeDocument/2006/relationships" r:embed="rId3"/>
            <a:stretch>
              <a:fillRect/>
            </a:stretch>
          </xdr:blipFill>
          <xdr:spPr>
            <a:xfrm rot="20611499">
              <a:off x="3656518" y="2504346"/>
              <a:ext cx="393649" cy="521703"/>
            </a:xfrm>
            <a:prstGeom prst="rect">
              <a:avLst/>
            </a:prstGeom>
          </xdr:spPr>
        </xdr:pic>
        <xdr:pic>
          <xdr:nvPicPr>
            <xdr:cNvPr id="112" name="Picture 111"/>
            <xdr:cNvPicPr>
              <a:picLocks noChangeAspect="1"/>
            </xdr:cNvPicPr>
          </xdr:nvPicPr>
          <xdr:blipFill>
            <a:blip xmlns:r="http://schemas.openxmlformats.org/officeDocument/2006/relationships" r:embed="rId3"/>
            <a:stretch>
              <a:fillRect/>
            </a:stretch>
          </xdr:blipFill>
          <xdr:spPr>
            <a:xfrm rot="17223842">
              <a:off x="3182154" y="1636948"/>
              <a:ext cx="393649" cy="521703"/>
            </a:xfrm>
            <a:prstGeom prst="rect">
              <a:avLst/>
            </a:prstGeom>
          </xdr:spPr>
        </xdr:pic>
        <xdr:pic>
          <xdr:nvPicPr>
            <xdr:cNvPr id="114" name="Picture 113"/>
            <xdr:cNvPicPr>
              <a:picLocks noChangeAspect="1"/>
            </xdr:cNvPicPr>
          </xdr:nvPicPr>
          <xdr:blipFill>
            <a:blip xmlns:r="http://schemas.openxmlformats.org/officeDocument/2006/relationships" r:embed="rId3"/>
            <a:stretch>
              <a:fillRect/>
            </a:stretch>
          </xdr:blipFill>
          <xdr:spPr>
            <a:xfrm rot="9890820">
              <a:off x="1471367" y="2553323"/>
              <a:ext cx="393649" cy="521703"/>
            </a:xfrm>
            <a:prstGeom prst="rect">
              <a:avLst/>
            </a:prstGeom>
          </xdr:spPr>
        </xdr:pic>
        <xdr:pic>
          <xdr:nvPicPr>
            <xdr:cNvPr id="119" name="Picture 118"/>
            <xdr:cNvPicPr>
              <a:picLocks noChangeAspect="1"/>
            </xdr:cNvPicPr>
          </xdr:nvPicPr>
          <xdr:blipFill>
            <a:blip xmlns:r="http://schemas.openxmlformats.org/officeDocument/2006/relationships" r:embed="rId3"/>
            <a:stretch>
              <a:fillRect/>
            </a:stretch>
          </xdr:blipFill>
          <xdr:spPr>
            <a:xfrm rot="6033419">
              <a:off x="2025032" y="3397988"/>
              <a:ext cx="393649" cy="521703"/>
            </a:xfrm>
            <a:prstGeom prst="rect">
              <a:avLst/>
            </a:prstGeom>
          </xdr:spPr>
        </xdr:pic>
        <xdr:pic>
          <xdr:nvPicPr>
            <xdr:cNvPr id="120" name="Picture 119"/>
            <xdr:cNvPicPr>
              <a:picLocks noChangeAspect="1"/>
            </xdr:cNvPicPr>
          </xdr:nvPicPr>
          <xdr:blipFill>
            <a:blip xmlns:r="http://schemas.openxmlformats.org/officeDocument/2006/relationships" r:embed="rId3"/>
            <a:stretch>
              <a:fillRect/>
            </a:stretch>
          </xdr:blipFill>
          <xdr:spPr>
            <a:xfrm rot="2909305">
              <a:off x="3125479" y="3385311"/>
              <a:ext cx="393649" cy="521703"/>
            </a:xfrm>
            <a:prstGeom prst="rect">
              <a:avLst/>
            </a:prstGeom>
          </xdr:spPr>
        </xdr:pic>
        <xdr:pic>
          <xdr:nvPicPr>
            <xdr:cNvPr id="121" name="Picture 120"/>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a:off x="2178248" y="2144191"/>
              <a:ext cx="1109250" cy="1097280"/>
            </a:xfrm>
            <a:prstGeom prst="rect">
              <a:avLst/>
            </a:prstGeom>
          </xdr:spPr>
        </xdr:pic>
        <xdr:cxnSp macro="">
          <xdr:nvCxnSpPr>
            <xdr:cNvPr id="122" name="Straight Arrow Connector 121"/>
            <xdr:cNvCxnSpPr>
              <a:stCxn id="129" idx="2"/>
              <a:endCxn id="123" idx="0"/>
            </xdr:cNvCxnSpPr>
          </xdr:nvCxnSpPr>
          <xdr:spPr>
            <a:xfrm flipH="1">
              <a:off x="2732655" y="3964405"/>
              <a:ext cx="2081" cy="552209"/>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23" name="Picture 122"/>
            <xdr:cNvPicPr>
              <a:picLocks noChangeAspect="1"/>
            </xdr:cNvPicPr>
          </xdr:nvPicPr>
          <xdr:blipFill>
            <a:blip xmlns:r="http://schemas.openxmlformats.org/officeDocument/2006/relationships" r:embed="rId5" cstate="hqprint">
              <a:lum bright="70000" contrast="-70000"/>
              <a:extLst>
                <a:ext uri="{28A0092B-C50C-407E-A947-70E740481C1C}">
                  <a14:useLocalDpi xmlns:a14="http://schemas.microsoft.com/office/drawing/2010/main" val="0"/>
                </a:ext>
              </a:extLst>
            </a:blip>
            <a:stretch>
              <a:fillRect/>
            </a:stretch>
          </xdr:blipFill>
          <xdr:spPr>
            <a:xfrm>
              <a:off x="2178030" y="4516614"/>
              <a:ext cx="1109250" cy="1097280"/>
            </a:xfrm>
            <a:prstGeom prst="rect">
              <a:avLst/>
            </a:prstGeom>
            <a:ln>
              <a:solidFill>
                <a:schemeClr val="bg1">
                  <a:lumMod val="95000"/>
                </a:schemeClr>
              </a:solidFill>
            </a:ln>
          </xdr:spPr>
        </xdr:pic>
        <xdr:pic>
          <xdr:nvPicPr>
            <xdr:cNvPr id="124" name="Picture 123"/>
            <xdr:cNvPicPr>
              <a:picLocks noChangeAspect="1"/>
            </xdr:cNvPicPr>
          </xdr:nvPicPr>
          <xdr:blipFill>
            <a:blip xmlns:r="http://schemas.openxmlformats.org/officeDocument/2006/relationships" r:embed="rId6" cstate="hqprint">
              <a:lum bright="70000" contrast="-70000"/>
              <a:extLst>
                <a:ext uri="{28A0092B-C50C-407E-A947-70E740481C1C}">
                  <a14:useLocalDpi xmlns:a14="http://schemas.microsoft.com/office/drawing/2010/main" val="0"/>
                </a:ext>
              </a:extLst>
            </a:blip>
            <a:stretch>
              <a:fillRect/>
            </a:stretch>
          </xdr:blipFill>
          <xdr:spPr>
            <a:xfrm>
              <a:off x="224456" y="2300471"/>
              <a:ext cx="1109250" cy="1097280"/>
            </a:xfrm>
            <a:prstGeom prst="rect">
              <a:avLst/>
            </a:prstGeom>
            <a:ln>
              <a:noFill/>
            </a:ln>
          </xdr:spPr>
        </xdr:pic>
        <xdr:pic>
          <xdr:nvPicPr>
            <xdr:cNvPr id="126" name="Picture 125"/>
            <xdr:cNvPicPr>
              <a:picLocks noChangeAspect="1"/>
            </xdr:cNvPicPr>
          </xdr:nvPicPr>
          <xdr:blipFill>
            <a:blip xmlns:r="http://schemas.openxmlformats.org/officeDocument/2006/relationships" r:embed="rId7" cstate="hqprint">
              <a:lum bright="70000" contrast="-70000"/>
              <a:extLst>
                <a:ext uri="{28A0092B-C50C-407E-A947-70E740481C1C}">
                  <a14:useLocalDpi xmlns:a14="http://schemas.microsoft.com/office/drawing/2010/main" val="0"/>
                </a:ext>
              </a:extLst>
            </a:blip>
            <a:stretch>
              <a:fillRect/>
            </a:stretch>
          </xdr:blipFill>
          <xdr:spPr>
            <a:xfrm>
              <a:off x="3544573" y="4516614"/>
              <a:ext cx="1109250" cy="1097280"/>
            </a:xfrm>
            <a:prstGeom prst="rect">
              <a:avLst/>
            </a:prstGeom>
          </xdr:spPr>
        </xdr:pic>
        <xdr:pic>
          <xdr:nvPicPr>
            <xdr:cNvPr id="129" name="Picture 128"/>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val="0"/>
                </a:ext>
              </a:extLst>
            </a:blip>
            <a:stretch>
              <a:fillRect/>
            </a:stretch>
          </xdr:blipFill>
          <xdr:spPr>
            <a:xfrm>
              <a:off x="2506136" y="3507205"/>
              <a:ext cx="457200" cy="457200"/>
            </a:xfrm>
            <a:prstGeom prst="rect">
              <a:avLst/>
            </a:prstGeom>
          </xdr:spPr>
        </xdr:pic>
        <xdr:cxnSp macro="">
          <xdr:nvCxnSpPr>
            <xdr:cNvPr id="132" name="Straight Arrow Connector 131"/>
            <xdr:cNvCxnSpPr>
              <a:cxnSpLocks/>
              <a:stCxn id="124" idx="2"/>
            </xdr:cNvCxnSpPr>
          </xdr:nvCxnSpPr>
          <xdr:spPr>
            <a:xfrm>
              <a:off x="779081" y="3397751"/>
              <a:ext cx="0" cy="1118863"/>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35" name="Picture 134"/>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val="0"/>
                </a:ext>
              </a:extLst>
            </a:blip>
            <a:stretch>
              <a:fillRect/>
            </a:stretch>
          </xdr:blipFill>
          <xdr:spPr>
            <a:xfrm>
              <a:off x="3488936" y="3060634"/>
              <a:ext cx="458863" cy="457200"/>
            </a:xfrm>
            <a:prstGeom prst="rect">
              <a:avLst/>
            </a:prstGeom>
          </xdr:spPr>
        </xdr:pic>
        <xdr:pic>
          <xdr:nvPicPr>
            <xdr:cNvPr id="136" name="Picture 135"/>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val="0"/>
                </a:ext>
              </a:extLst>
            </a:blip>
            <a:stretch>
              <a:fillRect/>
            </a:stretch>
          </xdr:blipFill>
          <xdr:spPr>
            <a:xfrm>
              <a:off x="1554324" y="3060634"/>
              <a:ext cx="462188" cy="457200"/>
            </a:xfrm>
            <a:prstGeom prst="rect">
              <a:avLst/>
            </a:prstGeom>
          </xdr:spPr>
        </xdr:pic>
        <xdr:pic>
          <xdr:nvPicPr>
            <xdr:cNvPr id="151" name="Picture 150"/>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val="0"/>
                </a:ext>
              </a:extLst>
            </a:blip>
            <a:stretch>
              <a:fillRect/>
            </a:stretch>
          </xdr:blipFill>
          <xdr:spPr>
            <a:xfrm>
              <a:off x="1554591" y="2058214"/>
              <a:ext cx="462188" cy="457200"/>
            </a:xfrm>
            <a:prstGeom prst="rect">
              <a:avLst/>
            </a:prstGeom>
          </xdr:spPr>
        </xdr:pic>
        <xdr:pic>
          <xdr:nvPicPr>
            <xdr:cNvPr id="154" name="Picture 153"/>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val="0"/>
                </a:ext>
              </a:extLst>
            </a:blip>
            <a:stretch>
              <a:fillRect/>
            </a:stretch>
          </xdr:blipFill>
          <xdr:spPr>
            <a:xfrm>
              <a:off x="2573284" y="1602571"/>
              <a:ext cx="462188" cy="457200"/>
            </a:xfrm>
            <a:prstGeom prst="rect">
              <a:avLst/>
            </a:prstGeom>
          </xdr:spPr>
        </xdr:pic>
        <xdr:pic>
          <xdr:nvPicPr>
            <xdr:cNvPr id="181" name="Picture 180"/>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val="0"/>
                </a:ext>
              </a:extLst>
            </a:blip>
            <a:stretch>
              <a:fillRect/>
            </a:stretch>
          </xdr:blipFill>
          <xdr:spPr>
            <a:xfrm>
              <a:off x="3488936" y="2111137"/>
              <a:ext cx="462188" cy="457200"/>
            </a:xfrm>
            <a:prstGeom prst="rect">
              <a:avLst/>
            </a:prstGeom>
          </xdr:spPr>
        </xdr:pic>
        <xdr:cxnSp macro="">
          <xdr:nvCxnSpPr>
            <xdr:cNvPr id="182" name="Straight Arrow Connector 181"/>
            <xdr:cNvCxnSpPr>
              <a:cxnSpLocks/>
              <a:endCxn id="123" idx="1"/>
            </xdr:cNvCxnSpPr>
          </xdr:nvCxnSpPr>
          <xdr:spPr>
            <a:xfrm>
              <a:off x="1333706" y="5065254"/>
              <a:ext cx="844324" cy="0"/>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Straight Arrow Connector 182"/>
            <xdr:cNvCxnSpPr>
              <a:stCxn id="123" idx="3"/>
              <a:endCxn id="126" idx="1"/>
            </xdr:cNvCxnSpPr>
          </xdr:nvCxnSpPr>
          <xdr:spPr>
            <a:xfrm>
              <a:off x="3287280" y="5065254"/>
              <a:ext cx="257293" cy="0"/>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Straight Arrow Connector 183"/>
            <xdr:cNvCxnSpPr>
              <a:cxnSpLocks/>
              <a:endCxn id="218" idx="2"/>
            </xdr:cNvCxnSpPr>
          </xdr:nvCxnSpPr>
          <xdr:spPr>
            <a:xfrm flipH="1" flipV="1">
              <a:off x="4712885" y="2241972"/>
              <a:ext cx="16072" cy="3006164"/>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5" name="Straight Arrow Connector 184"/>
            <xdr:cNvCxnSpPr>
              <a:cxnSpLocks/>
              <a:stCxn id="218" idx="3"/>
            </xdr:cNvCxnSpPr>
          </xdr:nvCxnSpPr>
          <xdr:spPr>
            <a:xfrm>
              <a:off x="5078645" y="1876212"/>
              <a:ext cx="4521679" cy="1"/>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86" name="Picture 185"/>
            <xdr:cNvPicPr>
              <a:picLocks noChangeAspect="1"/>
            </xdr:cNvPicPr>
          </xdr:nvPicPr>
          <xdr:blipFill>
            <a:blip xmlns:r="http://schemas.openxmlformats.org/officeDocument/2006/relationships" r:embed="rId14" cstate="hqprint">
              <a:lum bright="70000" contrast="-70000"/>
              <a:extLst>
                <a:ext uri="{28A0092B-C50C-407E-A947-70E740481C1C}">
                  <a14:useLocalDpi xmlns:a14="http://schemas.microsoft.com/office/drawing/2010/main" val="0"/>
                </a:ext>
              </a:extLst>
            </a:blip>
            <a:stretch>
              <a:fillRect/>
            </a:stretch>
          </xdr:blipFill>
          <xdr:spPr>
            <a:xfrm>
              <a:off x="5116954" y="4882374"/>
              <a:ext cx="739500" cy="731520"/>
            </a:xfrm>
            <a:prstGeom prst="rect">
              <a:avLst/>
            </a:prstGeom>
          </xdr:spPr>
        </xdr:pic>
        <xdr:pic>
          <xdr:nvPicPr>
            <xdr:cNvPr id="187" name="Picture 186"/>
            <xdr:cNvPicPr>
              <a:picLocks noChangeAspect="1"/>
            </xdr:cNvPicPr>
          </xdr:nvPicPr>
          <xdr:blipFill>
            <a:blip xmlns:r="http://schemas.openxmlformats.org/officeDocument/2006/relationships" r:embed="rId15" cstate="hqprint">
              <a:lum bright="70000" contrast="-70000"/>
              <a:extLst>
                <a:ext uri="{28A0092B-C50C-407E-A947-70E740481C1C}">
                  <a14:useLocalDpi xmlns:a14="http://schemas.microsoft.com/office/drawing/2010/main" val="0"/>
                </a:ext>
              </a:extLst>
            </a:blip>
            <a:stretch>
              <a:fillRect/>
            </a:stretch>
          </xdr:blipFill>
          <xdr:spPr>
            <a:xfrm>
              <a:off x="6147005" y="3964405"/>
              <a:ext cx="739500" cy="731520"/>
            </a:xfrm>
            <a:prstGeom prst="rect">
              <a:avLst/>
            </a:prstGeom>
          </xdr:spPr>
        </xdr:pic>
        <xdr:cxnSp macro="">
          <xdr:nvCxnSpPr>
            <xdr:cNvPr id="188" name="Straight Arrow Connector 187"/>
            <xdr:cNvCxnSpPr>
              <a:endCxn id="186" idx="1"/>
            </xdr:cNvCxnSpPr>
          </xdr:nvCxnSpPr>
          <xdr:spPr>
            <a:xfrm>
              <a:off x="4709120" y="5248134"/>
              <a:ext cx="407834" cy="0"/>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89" name="Picture 188"/>
            <xdr:cNvPicPr>
              <a:picLocks noChangeAspect="1"/>
            </xdr:cNvPicPr>
          </xdr:nvPicPr>
          <xdr:blipFill>
            <a:blip xmlns:r="http://schemas.openxmlformats.org/officeDocument/2006/relationships" r:embed="rId16" cstate="hqprint">
              <a:lum bright="70000" contrast="-70000"/>
              <a:extLst>
                <a:ext uri="{28A0092B-C50C-407E-A947-70E740481C1C}">
                  <a14:useLocalDpi xmlns:a14="http://schemas.microsoft.com/office/drawing/2010/main" val="0"/>
                </a:ext>
              </a:extLst>
            </a:blip>
            <a:stretch>
              <a:fillRect/>
            </a:stretch>
          </xdr:blipFill>
          <xdr:spPr>
            <a:xfrm>
              <a:off x="5258104" y="4103349"/>
              <a:ext cx="457200" cy="457200"/>
            </a:xfrm>
            <a:prstGeom prst="rect">
              <a:avLst/>
            </a:prstGeom>
          </xdr:spPr>
        </xdr:pic>
        <xdr:pic>
          <xdr:nvPicPr>
            <xdr:cNvPr id="190" name="Picture 189"/>
            <xdr:cNvPicPr>
              <a:picLocks noChangeAspect="1"/>
            </xdr:cNvPicPr>
          </xdr:nvPicPr>
          <xdr:blipFill>
            <a:blip xmlns:r="http://schemas.openxmlformats.org/officeDocument/2006/relationships" r:embed="rId3"/>
            <a:stretch>
              <a:fillRect/>
            </a:stretch>
          </xdr:blipFill>
          <xdr:spPr>
            <a:xfrm rot="13242932">
              <a:off x="1971131" y="1681000"/>
              <a:ext cx="393649" cy="521703"/>
            </a:xfrm>
            <a:prstGeom prst="rect">
              <a:avLst/>
            </a:prstGeom>
          </xdr:spPr>
        </xdr:pic>
        <xdr:cxnSp macro="">
          <xdr:nvCxnSpPr>
            <xdr:cNvPr id="191" name="Straight Arrow Connector 190"/>
            <xdr:cNvCxnSpPr>
              <a:stCxn id="186" idx="0"/>
              <a:endCxn id="189" idx="2"/>
            </xdr:cNvCxnSpPr>
          </xdr:nvCxnSpPr>
          <xdr:spPr>
            <a:xfrm flipV="1">
              <a:off x="5486704" y="4560549"/>
              <a:ext cx="0" cy="321825"/>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2" name="Straight Arrow Connector 191"/>
            <xdr:cNvCxnSpPr>
              <a:cxnSpLocks/>
              <a:stCxn id="189" idx="3"/>
            </xdr:cNvCxnSpPr>
          </xdr:nvCxnSpPr>
          <xdr:spPr>
            <a:xfrm flipV="1">
              <a:off x="5715304" y="3507205"/>
              <a:ext cx="431701" cy="824744"/>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3" name="Straight Arrow Connector 192"/>
            <xdr:cNvCxnSpPr>
              <a:stCxn id="189" idx="3"/>
              <a:endCxn id="187" idx="1"/>
            </xdr:cNvCxnSpPr>
          </xdr:nvCxnSpPr>
          <xdr:spPr>
            <a:xfrm flipV="1">
              <a:off x="5715304" y="4330165"/>
              <a:ext cx="431701"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4" name="Straight Arrow Connector 193"/>
            <xdr:cNvCxnSpPr>
              <a:cxnSpLocks/>
              <a:stCxn id="187" idx="3"/>
            </xdr:cNvCxnSpPr>
          </xdr:nvCxnSpPr>
          <xdr:spPr>
            <a:xfrm>
              <a:off x="6886505" y="4330165"/>
              <a:ext cx="480313"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5" name="Straight Arrow Connector 194"/>
            <xdr:cNvCxnSpPr>
              <a:cxnSpLocks/>
            </xdr:cNvCxnSpPr>
          </xdr:nvCxnSpPr>
          <xdr:spPr>
            <a:xfrm>
              <a:off x="6886505" y="3507205"/>
              <a:ext cx="480313" cy="0"/>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196" name="Picture 195"/>
            <xdr:cNvPicPr>
              <a:picLocks noChangeAspect="1"/>
            </xdr:cNvPicPr>
          </xdr:nvPicPr>
          <xdr:blipFill>
            <a:blip xmlns:r="http://schemas.openxmlformats.org/officeDocument/2006/relationships" r:embed="rId17" cstate="hqprint">
              <a:lum bright="70000" contrast="-70000"/>
              <a:extLst>
                <a:ext uri="{28A0092B-C50C-407E-A947-70E740481C1C}">
                  <a14:useLocalDpi xmlns:a14="http://schemas.microsoft.com/office/drawing/2010/main" val="0"/>
                </a:ext>
              </a:extLst>
            </a:blip>
            <a:stretch>
              <a:fillRect/>
            </a:stretch>
          </xdr:blipFill>
          <xdr:spPr>
            <a:xfrm flipH="1">
              <a:off x="8304331" y="3964405"/>
              <a:ext cx="739500" cy="731520"/>
            </a:xfrm>
            <a:prstGeom prst="rect">
              <a:avLst/>
            </a:prstGeom>
          </xdr:spPr>
        </xdr:pic>
        <xdr:cxnSp macro="">
          <xdr:nvCxnSpPr>
            <xdr:cNvPr id="197" name="Straight Arrow Connector 196"/>
            <xdr:cNvCxnSpPr>
              <a:cxnSpLocks/>
            </xdr:cNvCxnSpPr>
          </xdr:nvCxnSpPr>
          <xdr:spPr>
            <a:xfrm>
              <a:off x="7824018" y="3507205"/>
              <a:ext cx="474861" cy="592575"/>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8" name="Straight Arrow Connector 197"/>
            <xdr:cNvCxnSpPr>
              <a:cxnSpLocks/>
              <a:endCxn id="196" idx="3"/>
            </xdr:cNvCxnSpPr>
          </xdr:nvCxnSpPr>
          <xdr:spPr>
            <a:xfrm flipV="1">
              <a:off x="7824018" y="4330165"/>
              <a:ext cx="480313" cy="1784"/>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9" name="Straight Arrow Connector 198"/>
            <xdr:cNvCxnSpPr>
              <a:cxnSpLocks/>
              <a:stCxn id="189" idx="3"/>
            </xdr:cNvCxnSpPr>
          </xdr:nvCxnSpPr>
          <xdr:spPr>
            <a:xfrm>
              <a:off x="5715304" y="4331949"/>
              <a:ext cx="431701" cy="821176"/>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0" name="Straight Arrow Connector 199"/>
            <xdr:cNvCxnSpPr>
              <a:cxnSpLocks/>
              <a:stCxn id="214" idx="3"/>
              <a:endCxn id="215" idx="1"/>
            </xdr:cNvCxnSpPr>
          </xdr:nvCxnSpPr>
          <xdr:spPr>
            <a:xfrm>
              <a:off x="6872953" y="5142496"/>
              <a:ext cx="493865" cy="1381"/>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1" name="Straight Arrow Connector 200"/>
            <xdr:cNvCxnSpPr>
              <a:cxnSpLocks/>
              <a:stCxn id="215" idx="3"/>
            </xdr:cNvCxnSpPr>
          </xdr:nvCxnSpPr>
          <xdr:spPr>
            <a:xfrm flipV="1">
              <a:off x="7824018" y="4556981"/>
              <a:ext cx="482528" cy="586896"/>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2" name="Picture 201"/>
            <xdr:cNvPicPr>
              <a:picLocks noChangeAspect="1"/>
            </xdr:cNvPicPr>
          </xdr:nvPicPr>
          <xdr:blipFill>
            <a:blip xmlns:r="http://schemas.openxmlformats.org/officeDocument/2006/relationships" r:embed="rId18" cstate="hqprint">
              <a:lum bright="70000" contrast="-70000"/>
              <a:extLst>
                <a:ext uri="{28A0092B-C50C-407E-A947-70E740481C1C}">
                  <a14:useLocalDpi xmlns:a14="http://schemas.microsoft.com/office/drawing/2010/main" val="0"/>
                </a:ext>
              </a:extLst>
            </a:blip>
            <a:stretch>
              <a:fillRect/>
            </a:stretch>
          </xdr:blipFill>
          <xdr:spPr>
            <a:xfrm>
              <a:off x="9678847" y="4681592"/>
              <a:ext cx="548640" cy="548640"/>
            </a:xfrm>
            <a:prstGeom prst="rect">
              <a:avLst/>
            </a:prstGeom>
          </xdr:spPr>
        </xdr:pic>
        <xdr:cxnSp macro="">
          <xdr:nvCxnSpPr>
            <xdr:cNvPr id="203" name="Straight Arrow Connector 202"/>
            <xdr:cNvCxnSpPr>
              <a:cxnSpLocks/>
            </xdr:cNvCxnSpPr>
          </xdr:nvCxnSpPr>
          <xdr:spPr>
            <a:xfrm flipV="1">
              <a:off x="7824018" y="3501217"/>
              <a:ext cx="1784288" cy="5988"/>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4" name="Picture 203"/>
            <xdr:cNvPicPr>
              <a:picLocks noChangeAspect="1"/>
            </xdr:cNvPicPr>
          </xdr:nvPicPr>
          <xdr:blipFill>
            <a:blip xmlns:r="http://schemas.openxmlformats.org/officeDocument/2006/relationships" r:embed="rId19" cstate="hqprint">
              <a:lum bright="70000" contrast="-70000"/>
              <a:extLst>
                <a:ext uri="{28A0092B-C50C-407E-A947-70E740481C1C}">
                  <a14:useLocalDpi xmlns:a14="http://schemas.microsoft.com/office/drawing/2010/main" val="0"/>
                </a:ext>
              </a:extLst>
            </a:blip>
            <a:stretch>
              <a:fillRect/>
            </a:stretch>
          </xdr:blipFill>
          <xdr:spPr>
            <a:xfrm>
              <a:off x="9600043" y="2325949"/>
              <a:ext cx="739502" cy="731520"/>
            </a:xfrm>
            <a:prstGeom prst="rect">
              <a:avLst/>
            </a:prstGeom>
          </xdr:spPr>
        </xdr:pic>
        <xdr:cxnSp macro="">
          <xdr:nvCxnSpPr>
            <xdr:cNvPr id="205" name="Straight Arrow Connector 204"/>
            <xdr:cNvCxnSpPr>
              <a:endCxn id="204" idx="1"/>
            </xdr:cNvCxnSpPr>
          </xdr:nvCxnSpPr>
          <xdr:spPr>
            <a:xfrm flipV="1">
              <a:off x="4709120" y="2691709"/>
              <a:ext cx="4890923" cy="36472"/>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06" name="Picture 205">
              <a:extLst>
                <a:ext uri="{FF2B5EF4-FFF2-40B4-BE49-F238E27FC236}">
                  <a16:creationId xmlns:a16="http://schemas.microsoft.com/office/drawing/2014/main" id="{CB0D96A3-7169-4FCA-8526-001F3CEE600C}"/>
                </a:ext>
              </a:extLst>
            </xdr:cNvPr>
            <xdr:cNvPicPr>
              <a:picLocks noChangeAspect="1"/>
            </xdr:cNvPicPr>
          </xdr:nvPicPr>
          <xdr:blipFill rotWithShape="1">
            <a:blip xmlns:r="http://schemas.openxmlformats.org/officeDocument/2006/relationships" r:embed="rId20" cstate="hqprint">
              <a:lum bright="70000" contrast="-70000"/>
              <a:extLst>
                <a:ext uri="{28A0092B-C50C-407E-A947-70E740481C1C}">
                  <a14:useLocalDpi xmlns:a14="http://schemas.microsoft.com/office/drawing/2010/main" val="0"/>
                </a:ext>
              </a:extLst>
            </a:blip>
            <a:srcRect l="8722" t="10944" r="14523" b="13508"/>
            <a:stretch/>
          </xdr:blipFill>
          <xdr:spPr>
            <a:xfrm>
              <a:off x="219770" y="4523024"/>
              <a:ext cx="1117583" cy="1097280"/>
            </a:xfrm>
            <a:prstGeom prst="rect">
              <a:avLst/>
            </a:prstGeom>
            <a:ln>
              <a:noFill/>
            </a:ln>
          </xdr:spPr>
        </xdr:pic>
        <xdr:pic>
          <xdr:nvPicPr>
            <xdr:cNvPr id="207" name="Picture 206">
              <a:extLst>
                <a:ext uri="{FF2B5EF4-FFF2-40B4-BE49-F238E27FC236}">
                  <a16:creationId xmlns:a16="http://schemas.microsoft.com/office/drawing/2014/main" id="{823A0C24-9465-4D17-BCA3-495A7F18DB9E}"/>
                </a:ext>
              </a:extLst>
            </xdr:cNvPr>
            <xdr:cNvPicPr>
              <a:picLocks noChangeAspect="1"/>
            </xdr:cNvPicPr>
          </xdr:nvPicPr>
          <xdr:blipFill rotWithShape="1">
            <a:blip xmlns:r="http://schemas.openxmlformats.org/officeDocument/2006/relationships" r:embed="rId21" cstate="hqprint">
              <a:lum bright="70000" contrast="-70000"/>
              <a:extLst>
                <a:ext uri="{28A0092B-C50C-407E-A947-70E740481C1C}">
                  <a14:useLocalDpi xmlns:a14="http://schemas.microsoft.com/office/drawing/2010/main" val="0"/>
                </a:ext>
              </a:extLst>
            </a:blip>
            <a:srcRect l="17041" t="15588" r="17401" b="18821"/>
            <a:stretch/>
          </xdr:blipFill>
          <xdr:spPr>
            <a:xfrm>
              <a:off x="6147005" y="3152074"/>
              <a:ext cx="731520" cy="731520"/>
            </a:xfrm>
            <a:prstGeom prst="rect">
              <a:avLst/>
            </a:prstGeom>
          </xdr:spPr>
        </xdr:pic>
        <xdr:pic>
          <xdr:nvPicPr>
            <xdr:cNvPr id="208" name="Picture 207">
              <a:extLst>
                <a:ext uri="{FF2B5EF4-FFF2-40B4-BE49-F238E27FC236}">
                  <a16:creationId xmlns:a16="http://schemas.microsoft.com/office/drawing/2014/main" id="{0A454ABD-A9AC-42E8-9BF4-9FF2E66AC2E2}"/>
                </a:ext>
              </a:extLst>
            </xdr:cNvPr>
            <xdr:cNvPicPr>
              <a:picLocks noChangeAspect="1"/>
            </xdr:cNvPicPr>
          </xdr:nvPicPr>
          <xdr:blipFill rotWithShape="1">
            <a:blip xmlns:r="http://schemas.openxmlformats.org/officeDocument/2006/relationships" r:embed="rId22" cstate="hqprint">
              <a:lum bright="70000" contrast="-70000"/>
              <a:extLst>
                <a:ext uri="{28A0092B-C50C-407E-A947-70E740481C1C}">
                  <a14:useLocalDpi xmlns:a14="http://schemas.microsoft.com/office/drawing/2010/main" val="0"/>
                </a:ext>
              </a:extLst>
            </a:blip>
            <a:srcRect l="18108" t="21157" r="19423" b="16341"/>
            <a:stretch/>
          </xdr:blipFill>
          <xdr:spPr>
            <a:xfrm>
              <a:off x="7358838" y="3287853"/>
              <a:ext cx="457200" cy="457200"/>
            </a:xfrm>
            <a:prstGeom prst="rect">
              <a:avLst/>
            </a:prstGeom>
          </xdr:spPr>
        </xdr:pic>
        <xdr:pic>
          <xdr:nvPicPr>
            <xdr:cNvPr id="209" name="Picture 208">
              <a:extLst>
                <a:ext uri="{FF2B5EF4-FFF2-40B4-BE49-F238E27FC236}">
                  <a16:creationId xmlns:a16="http://schemas.microsoft.com/office/drawing/2014/main" id="{7896D306-5541-421C-B3EA-AE11434C4A11}"/>
                </a:ext>
              </a:extLst>
            </xdr:cNvPr>
            <xdr:cNvPicPr>
              <a:picLocks noChangeAspect="1"/>
            </xdr:cNvPicPr>
          </xdr:nvPicPr>
          <xdr:blipFill rotWithShape="1">
            <a:blip xmlns:r="http://schemas.openxmlformats.org/officeDocument/2006/relationships" r:embed="rId22" cstate="hqprint">
              <a:lum bright="70000" contrast="-70000"/>
              <a:extLst>
                <a:ext uri="{28A0092B-C50C-407E-A947-70E740481C1C}">
                  <a14:useLocalDpi xmlns:a14="http://schemas.microsoft.com/office/drawing/2010/main" val="0"/>
                </a:ext>
              </a:extLst>
            </a:blip>
            <a:srcRect l="18108" t="21157" r="19423" b="16341"/>
            <a:stretch/>
          </xdr:blipFill>
          <xdr:spPr>
            <a:xfrm>
              <a:off x="7378375" y="4101565"/>
              <a:ext cx="457200" cy="457200"/>
            </a:xfrm>
            <a:prstGeom prst="rect">
              <a:avLst/>
            </a:prstGeom>
          </xdr:spPr>
        </xdr:pic>
        <xdr:pic>
          <xdr:nvPicPr>
            <xdr:cNvPr id="210" name="Picture 209">
              <a:extLst>
                <a:ext uri="{FF2B5EF4-FFF2-40B4-BE49-F238E27FC236}">
                  <a16:creationId xmlns:a16="http://schemas.microsoft.com/office/drawing/2014/main" id="{41411BDE-6BFF-463C-BD38-57BADECDE93E}"/>
                </a:ext>
              </a:extLst>
            </xdr:cNvPr>
            <xdr:cNvPicPr>
              <a:picLocks noChangeAspect="1"/>
            </xdr:cNvPicPr>
          </xdr:nvPicPr>
          <xdr:blipFill rotWithShape="1">
            <a:blip xmlns:r="http://schemas.openxmlformats.org/officeDocument/2006/relationships" r:embed="rId23" cstate="hqprint">
              <a:lum bright="70000" contrast="-70000"/>
              <a:extLst>
                <a:ext uri="{28A0092B-C50C-407E-A947-70E740481C1C}">
                  <a14:useLocalDpi xmlns:a14="http://schemas.microsoft.com/office/drawing/2010/main" val="0"/>
                </a:ext>
              </a:extLst>
            </a:blip>
            <a:srcRect l="18108" t="21157" r="19423" b="16341"/>
            <a:stretch/>
          </xdr:blipFill>
          <xdr:spPr>
            <a:xfrm>
              <a:off x="9600043" y="3141444"/>
              <a:ext cx="731520" cy="731520"/>
            </a:xfrm>
            <a:prstGeom prst="rect">
              <a:avLst/>
            </a:prstGeom>
          </xdr:spPr>
        </xdr:pic>
        <xdr:pic>
          <xdr:nvPicPr>
            <xdr:cNvPr id="211" name="Picture 210">
              <a:extLst>
                <a:ext uri="{FF2B5EF4-FFF2-40B4-BE49-F238E27FC236}">
                  <a16:creationId xmlns:a16="http://schemas.microsoft.com/office/drawing/2014/main" id="{BC9ECDE9-D0F0-4380-9094-72D31DA1169B}"/>
                </a:ext>
              </a:extLst>
            </xdr:cNvPr>
            <xdr:cNvPicPr>
              <a:picLocks noChangeAspect="1"/>
            </xdr:cNvPicPr>
          </xdr:nvPicPr>
          <xdr:blipFill rotWithShape="1">
            <a:blip xmlns:r="http://schemas.openxmlformats.org/officeDocument/2006/relationships" r:embed="rId24" cstate="hqprint">
              <a:lum bright="70000" contrast="-70000"/>
              <a:extLst>
                <a:ext uri="{28A0092B-C50C-407E-A947-70E740481C1C}">
                  <a14:useLocalDpi xmlns:a14="http://schemas.microsoft.com/office/drawing/2010/main" val="0"/>
                </a:ext>
              </a:extLst>
            </a:blip>
            <a:srcRect l="17494" t="17946" r="17599" b="17115"/>
            <a:stretch/>
          </xdr:blipFill>
          <xdr:spPr>
            <a:xfrm>
              <a:off x="9645763" y="3957238"/>
              <a:ext cx="640080" cy="640080"/>
            </a:xfrm>
            <a:prstGeom prst="rect">
              <a:avLst/>
            </a:prstGeom>
          </xdr:spPr>
        </xdr:pic>
        <xdr:pic>
          <xdr:nvPicPr>
            <xdr:cNvPr id="212" name="Picture 211">
              <a:extLst>
                <a:ext uri="{FF2B5EF4-FFF2-40B4-BE49-F238E27FC236}">
                  <a16:creationId xmlns:a16="http://schemas.microsoft.com/office/drawing/2014/main" id="{0CEAC210-D0F0-42B2-86A6-63C657034019}"/>
                </a:ext>
              </a:extLst>
            </xdr:cNvPr>
            <xdr:cNvPicPr>
              <a:picLocks noChangeAspect="1"/>
            </xdr:cNvPicPr>
          </xdr:nvPicPr>
          <xdr:blipFill rotWithShape="1">
            <a:blip xmlns:r="http://schemas.openxmlformats.org/officeDocument/2006/relationships" r:embed="rId25" cstate="hqprint">
              <a:lum bright="70000" contrast="-70000"/>
              <a:extLst>
                <a:ext uri="{28A0092B-C50C-407E-A947-70E740481C1C}">
                  <a14:useLocalDpi xmlns:a14="http://schemas.microsoft.com/office/drawing/2010/main" val="0"/>
                </a:ext>
              </a:extLst>
            </a:blip>
            <a:srcRect l="11368" t="10180" r="13055" b="14243"/>
            <a:stretch/>
          </xdr:blipFill>
          <xdr:spPr>
            <a:xfrm>
              <a:off x="8575957" y="4882152"/>
              <a:ext cx="731520" cy="731520"/>
            </a:xfrm>
            <a:prstGeom prst="rect">
              <a:avLst/>
            </a:prstGeom>
          </xdr:spPr>
        </xdr:pic>
        <xdr:pic>
          <xdr:nvPicPr>
            <xdr:cNvPr id="213" name="Picture 212">
              <a:extLst>
                <a:ext uri="{FF2B5EF4-FFF2-40B4-BE49-F238E27FC236}">
                  <a16:creationId xmlns:a16="http://schemas.microsoft.com/office/drawing/2014/main" id="{8D1EDCA2-6265-435D-BBFD-5E72032DFB94}"/>
                </a:ext>
              </a:extLst>
            </xdr:cNvPr>
            <xdr:cNvPicPr>
              <a:picLocks noChangeAspect="1"/>
            </xdr:cNvPicPr>
          </xdr:nvPicPr>
          <xdr:blipFill rotWithShape="1">
            <a:blip xmlns:r="http://schemas.openxmlformats.org/officeDocument/2006/relationships" r:embed="rId26" cstate="hqprint">
              <a:lum bright="70000" contrast="-70000"/>
              <a:extLst>
                <a:ext uri="{28A0092B-C50C-407E-A947-70E740481C1C}">
                  <a14:useLocalDpi xmlns:a14="http://schemas.microsoft.com/office/drawing/2010/main" val="0"/>
                </a:ext>
              </a:extLst>
            </a:blip>
            <a:srcRect l="10531" t="11551" r="13894" b="12872"/>
            <a:stretch/>
          </xdr:blipFill>
          <xdr:spPr>
            <a:xfrm>
              <a:off x="8061448" y="4882152"/>
              <a:ext cx="731519" cy="731520"/>
            </a:xfrm>
            <a:prstGeom prst="rect">
              <a:avLst/>
            </a:prstGeom>
          </xdr:spPr>
        </xdr:pic>
        <xdr:pic>
          <xdr:nvPicPr>
            <xdr:cNvPr id="214" name="Picture 213">
              <a:extLst>
                <a:ext uri="{FF2B5EF4-FFF2-40B4-BE49-F238E27FC236}">
                  <a16:creationId xmlns:a16="http://schemas.microsoft.com/office/drawing/2014/main" id="{24FBC642-51B3-43D1-942C-EFACF01E310E}"/>
                </a:ext>
              </a:extLst>
            </xdr:cNvPr>
            <xdr:cNvPicPr>
              <a:picLocks noChangeAspect="1"/>
            </xdr:cNvPicPr>
          </xdr:nvPicPr>
          <xdr:blipFill rotWithShape="1">
            <a:blip xmlns:r="http://schemas.openxmlformats.org/officeDocument/2006/relationships" r:embed="rId27" cstate="hqprint">
              <a:lum bright="70000" contrast="-70000"/>
              <a:extLst>
                <a:ext uri="{28A0092B-C50C-407E-A947-70E740481C1C}">
                  <a14:useLocalDpi xmlns:a14="http://schemas.microsoft.com/office/drawing/2010/main" val="0"/>
                </a:ext>
              </a:extLst>
            </a:blip>
            <a:srcRect l="10563" t="11831" r="13861" b="12594"/>
            <a:stretch/>
          </xdr:blipFill>
          <xdr:spPr>
            <a:xfrm>
              <a:off x="6141434" y="4776736"/>
              <a:ext cx="731519" cy="731520"/>
            </a:xfrm>
            <a:prstGeom prst="rect">
              <a:avLst/>
            </a:prstGeom>
          </xdr:spPr>
        </xdr:pic>
        <xdr:pic>
          <xdr:nvPicPr>
            <xdr:cNvPr id="215" name="Picture 214">
              <a:extLst>
                <a:ext uri="{FF2B5EF4-FFF2-40B4-BE49-F238E27FC236}">
                  <a16:creationId xmlns:a16="http://schemas.microsoft.com/office/drawing/2014/main" id="{5DAEB345-55A6-40D4-AA22-60540992B560}"/>
                </a:ext>
              </a:extLst>
            </xdr:cNvPr>
            <xdr:cNvPicPr>
              <a:picLocks noChangeAspect="1"/>
            </xdr:cNvPicPr>
          </xdr:nvPicPr>
          <xdr:blipFill rotWithShape="1">
            <a:blip xmlns:r="http://schemas.openxmlformats.org/officeDocument/2006/relationships" r:embed="rId28" cstate="hqprint">
              <a:lum bright="70000" contrast="-70000"/>
              <a:extLst>
                <a:ext uri="{28A0092B-C50C-407E-A947-70E740481C1C}">
                  <a14:useLocalDpi xmlns:a14="http://schemas.microsoft.com/office/drawing/2010/main" val="0"/>
                </a:ext>
              </a:extLst>
            </a:blip>
            <a:srcRect l="17351" t="23784" r="15297" b="8863"/>
            <a:stretch/>
          </xdr:blipFill>
          <xdr:spPr>
            <a:xfrm>
              <a:off x="7366818" y="4915277"/>
              <a:ext cx="457200" cy="457200"/>
            </a:xfrm>
            <a:prstGeom prst="rect">
              <a:avLst/>
            </a:prstGeom>
          </xdr:spPr>
        </xdr:pic>
        <xdr:cxnSp macro="">
          <xdr:nvCxnSpPr>
            <xdr:cNvPr id="216" name="Straight Arrow Connector 215">
              <a:extLst>
                <a:ext uri="{FF2B5EF4-FFF2-40B4-BE49-F238E27FC236}">
                  <a16:creationId xmlns:a16="http://schemas.microsoft.com/office/drawing/2014/main" id="{3021109E-5DD9-4BE6-8594-F74E1EA2381B}"/>
                </a:ext>
              </a:extLst>
            </xdr:cNvPr>
            <xdr:cNvCxnSpPr>
              <a:cxnSpLocks/>
              <a:stCxn id="196" idx="2"/>
              <a:endCxn id="213" idx="0"/>
            </xdr:cNvCxnSpPr>
          </xdr:nvCxnSpPr>
          <xdr:spPr>
            <a:xfrm flipH="1">
              <a:off x="8427208" y="4695925"/>
              <a:ext cx="246873" cy="186227"/>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7" name="Straight Arrow Connector 216">
              <a:extLst>
                <a:ext uri="{FF2B5EF4-FFF2-40B4-BE49-F238E27FC236}">
                  <a16:creationId xmlns:a16="http://schemas.microsoft.com/office/drawing/2014/main" id="{61EF35DE-323B-467B-B6F6-2298A73CEFA9}"/>
                </a:ext>
              </a:extLst>
            </xdr:cNvPr>
            <xdr:cNvCxnSpPr>
              <a:cxnSpLocks/>
              <a:stCxn id="196" idx="2"/>
              <a:endCxn id="212" idx="0"/>
            </xdr:cNvCxnSpPr>
          </xdr:nvCxnSpPr>
          <xdr:spPr>
            <a:xfrm>
              <a:off x="8674081" y="4695925"/>
              <a:ext cx="267636" cy="186227"/>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218" name="Picture 217">
              <a:extLst>
                <a:ext uri="{FF2B5EF4-FFF2-40B4-BE49-F238E27FC236}">
                  <a16:creationId xmlns:a16="http://schemas.microsoft.com/office/drawing/2014/main" id="{446DB73C-B48E-47BA-9366-6CD4D5BE9A8F}"/>
                </a:ext>
              </a:extLst>
            </xdr:cNvPr>
            <xdr:cNvPicPr>
              <a:picLocks noChangeAspect="1"/>
            </xdr:cNvPicPr>
          </xdr:nvPicPr>
          <xdr:blipFill rotWithShape="1">
            <a:blip xmlns:r="http://schemas.openxmlformats.org/officeDocument/2006/relationships" r:embed="rId29" cstate="hqprint">
              <a:lum bright="70000" contrast="-70000"/>
              <a:extLst>
                <a:ext uri="{28A0092B-C50C-407E-A947-70E740481C1C}">
                  <a14:useLocalDpi xmlns:a14="http://schemas.microsoft.com/office/drawing/2010/main" val="0"/>
                </a:ext>
              </a:extLst>
            </a:blip>
            <a:srcRect l="17478" t="16896" r="19286" b="19866"/>
            <a:stretch/>
          </xdr:blipFill>
          <xdr:spPr>
            <a:xfrm>
              <a:off x="4347125" y="1510452"/>
              <a:ext cx="731520" cy="731520"/>
            </a:xfrm>
            <a:prstGeom prst="rect">
              <a:avLst/>
            </a:prstGeom>
          </xdr:spPr>
        </xdr:pic>
        <xdr:pic>
          <xdr:nvPicPr>
            <xdr:cNvPr id="219" name="Picture 218">
              <a:extLst>
                <a:ext uri="{FF2B5EF4-FFF2-40B4-BE49-F238E27FC236}">
                  <a16:creationId xmlns:a16="http://schemas.microsoft.com/office/drawing/2014/main" id="{A7429416-BB66-4FCC-B3AA-D2CC9F9E0BEF}"/>
                </a:ext>
              </a:extLst>
            </xdr:cNvPr>
            <xdr:cNvPicPr>
              <a:picLocks noChangeAspect="1"/>
            </xdr:cNvPicPr>
          </xdr:nvPicPr>
          <xdr:blipFill rotWithShape="1">
            <a:blip xmlns:r="http://schemas.openxmlformats.org/officeDocument/2006/relationships" r:embed="rId30" cstate="hqprint">
              <a:lum bright="70000" contrast="-70000"/>
              <a:extLst>
                <a:ext uri="{28A0092B-C50C-407E-A947-70E740481C1C}">
                  <a14:useLocalDpi xmlns:a14="http://schemas.microsoft.com/office/drawing/2010/main" val="0"/>
                </a:ext>
              </a:extLst>
            </a:blip>
            <a:srcRect l="18988" t="21239" r="19955" b="17674"/>
            <a:stretch/>
          </xdr:blipFill>
          <xdr:spPr>
            <a:xfrm>
              <a:off x="9587407" y="1510452"/>
              <a:ext cx="731520" cy="731520"/>
            </a:xfrm>
            <a:prstGeom prst="rect">
              <a:avLst/>
            </a:prstGeom>
          </xdr:spPr>
        </xdr:pic>
        <xdr:pic>
          <xdr:nvPicPr>
            <xdr:cNvPr id="220" name="Picture 219">
              <a:extLst>
                <a:ext uri="{FF2B5EF4-FFF2-40B4-BE49-F238E27FC236}">
                  <a16:creationId xmlns:a16="http://schemas.microsoft.com/office/drawing/2014/main" id="{C65C1C5A-ABFF-4A8A-A18E-CB5A9843760D}"/>
                </a:ext>
              </a:extLst>
            </xdr:cNvPr>
            <xdr:cNvPicPr>
              <a:picLocks noChangeAspect="1"/>
            </xdr:cNvPicPr>
          </xdr:nvPicPr>
          <xdr:blipFill rotWithShape="1">
            <a:blip xmlns:r="http://schemas.openxmlformats.org/officeDocument/2006/relationships" r:embed="rId31" cstate="hqprint">
              <a:lum bright="70000" contrast="-70000"/>
              <a:extLst>
                <a:ext uri="{28A0092B-C50C-407E-A947-70E740481C1C}">
                  <a14:useLocalDpi xmlns:a14="http://schemas.microsoft.com/office/drawing/2010/main" val="0"/>
                </a:ext>
              </a:extLst>
            </a:blip>
            <a:srcRect l="12743" t="15047" r="13414" b="11109"/>
            <a:stretch/>
          </xdr:blipFill>
          <xdr:spPr>
            <a:xfrm>
              <a:off x="10783276" y="4469931"/>
              <a:ext cx="902546" cy="902546"/>
            </a:xfrm>
            <a:prstGeom prst="rect">
              <a:avLst/>
            </a:prstGeom>
          </xdr:spPr>
        </xdr:pic>
        <xdr:pic>
          <xdr:nvPicPr>
            <xdr:cNvPr id="221" name="Picture 220">
              <a:extLst>
                <a:ext uri="{FF2B5EF4-FFF2-40B4-BE49-F238E27FC236}">
                  <a16:creationId xmlns:a16="http://schemas.microsoft.com/office/drawing/2014/main" id="{D3D6D2D6-AC45-4877-9337-336344E2DBB1}"/>
                </a:ext>
              </a:extLst>
            </xdr:cNvPr>
            <xdr:cNvPicPr>
              <a:picLocks noChangeAspect="1"/>
            </xdr:cNvPicPr>
          </xdr:nvPicPr>
          <xdr:blipFill rotWithShape="1">
            <a:blip xmlns:r="http://schemas.openxmlformats.org/officeDocument/2006/relationships" r:embed="rId32" cstate="hqprint">
              <a:lum bright="70000" contrast="-70000"/>
              <a:extLst>
                <a:ext uri="{28A0092B-C50C-407E-A947-70E740481C1C}">
                  <a14:useLocalDpi xmlns:a14="http://schemas.microsoft.com/office/drawing/2010/main" val="0"/>
                </a:ext>
              </a:extLst>
            </a:blip>
            <a:srcRect l="12422" t="21134" r="13736" b="5022"/>
            <a:stretch/>
          </xdr:blipFill>
          <xdr:spPr>
            <a:xfrm>
              <a:off x="10789227" y="1817156"/>
              <a:ext cx="902546" cy="902546"/>
            </a:xfrm>
            <a:prstGeom prst="rect">
              <a:avLst/>
            </a:prstGeom>
          </xdr:spPr>
        </xdr:pic>
        <xdr:cxnSp macro="">
          <xdr:nvCxnSpPr>
            <xdr:cNvPr id="223" name="Straight Arrow Connector 222">
              <a:extLst>
                <a:ext uri="{FF2B5EF4-FFF2-40B4-BE49-F238E27FC236}">
                  <a16:creationId xmlns:a16="http://schemas.microsoft.com/office/drawing/2014/main" id="{EE360899-9874-43E9-93A7-F26FCD0D9DE7}"/>
                </a:ext>
              </a:extLst>
            </xdr:cNvPr>
            <xdr:cNvCxnSpPr>
              <a:cxnSpLocks/>
              <a:stCxn id="204" idx="3"/>
              <a:endCxn id="221" idx="1"/>
            </xdr:cNvCxnSpPr>
          </xdr:nvCxnSpPr>
          <xdr:spPr>
            <a:xfrm flipV="1">
              <a:off x="10339545" y="2268429"/>
              <a:ext cx="449682" cy="423280"/>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4" name="Straight Arrow Connector 223">
              <a:extLst>
                <a:ext uri="{FF2B5EF4-FFF2-40B4-BE49-F238E27FC236}">
                  <a16:creationId xmlns:a16="http://schemas.microsoft.com/office/drawing/2014/main" id="{E959A73F-4F7A-4AC6-9800-BA35DAA74A7E}"/>
                </a:ext>
              </a:extLst>
            </xdr:cNvPr>
            <xdr:cNvCxnSpPr>
              <a:cxnSpLocks/>
              <a:stCxn id="219" idx="3"/>
              <a:endCxn id="221" idx="1"/>
            </xdr:cNvCxnSpPr>
          </xdr:nvCxnSpPr>
          <xdr:spPr>
            <a:xfrm>
              <a:off x="10318927" y="1876212"/>
              <a:ext cx="470300" cy="392217"/>
            </a:xfrm>
            <a:prstGeom prst="straightConnector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5" name="Straight Arrow Connector 224">
              <a:extLst>
                <a:ext uri="{FF2B5EF4-FFF2-40B4-BE49-F238E27FC236}">
                  <a16:creationId xmlns:a16="http://schemas.microsoft.com/office/drawing/2014/main" id="{0C3C66CB-AEC7-4A60-A2A9-98BFD142F955}"/>
                </a:ext>
              </a:extLst>
            </xdr:cNvPr>
            <xdr:cNvCxnSpPr>
              <a:cxnSpLocks/>
              <a:stCxn id="222" idx="2"/>
              <a:endCxn id="220" idx="0"/>
            </xdr:cNvCxnSpPr>
          </xdr:nvCxnSpPr>
          <xdr:spPr>
            <a:xfrm>
              <a:off x="11234549" y="3947334"/>
              <a:ext cx="0" cy="522597"/>
            </a:xfrm>
            <a:prstGeom prst="straightConnector1">
              <a:avLst/>
            </a:prstGeom>
            <a:ln w="12700">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6" name="Elbow Connector 225"/>
            <xdr:cNvCxnSpPr>
              <a:endCxn id="211" idx="1"/>
            </xdr:cNvCxnSpPr>
          </xdr:nvCxnSpPr>
          <xdr:spPr>
            <a:xfrm rot="5400000" flipH="1" flipV="1">
              <a:off x="8810696" y="4717835"/>
              <a:ext cx="1275624" cy="394510"/>
            </a:xfrm>
            <a:prstGeom prst="bentConnector2">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7" name="Elbow Connector 226"/>
            <xdr:cNvCxnSpPr>
              <a:stCxn id="213" idx="2"/>
              <a:endCxn id="202" idx="1"/>
            </xdr:cNvCxnSpPr>
          </xdr:nvCxnSpPr>
          <xdr:spPr>
            <a:xfrm rot="5400000" flipH="1" flipV="1">
              <a:off x="8724147" y="4658972"/>
              <a:ext cx="657760" cy="1251639"/>
            </a:xfrm>
            <a:prstGeom prst="bentConnector4">
              <a:avLst>
                <a:gd name="adj1" fmla="val -34754"/>
                <a:gd name="adj2" fmla="val 64611"/>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8" name="Straight Connector 227"/>
            <xdr:cNvCxnSpPr/>
          </xdr:nvCxnSpPr>
          <xdr:spPr>
            <a:xfrm>
              <a:off x="9061384" y="5552902"/>
              <a:ext cx="189869" cy="0"/>
            </a:xfrm>
            <a:prstGeom prst="line">
              <a:avLst/>
            </a:prstGeom>
            <a:ln w="12700">
              <a:solidFill>
                <a:schemeClr val="bg1">
                  <a:lumMod val="9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9" name="Elbow Connector 228"/>
            <xdr:cNvCxnSpPr>
              <a:stCxn id="202" idx="3"/>
              <a:endCxn id="222" idx="1"/>
            </xdr:cNvCxnSpPr>
          </xdr:nvCxnSpPr>
          <xdr:spPr>
            <a:xfrm flipV="1">
              <a:off x="10227487" y="3496061"/>
              <a:ext cx="555788" cy="1459851"/>
            </a:xfrm>
            <a:prstGeom prst="bentConnector3">
              <a:avLst>
                <a:gd name="adj1" fmla="val 50000"/>
              </a:avLst>
            </a:prstGeom>
            <a:ln w="12700">
              <a:solidFill>
                <a:schemeClr val="bg1">
                  <a:lumMod val="9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0" name="Straight Connector 229"/>
            <xdr:cNvCxnSpPr/>
          </xdr:nvCxnSpPr>
          <xdr:spPr>
            <a:xfrm>
              <a:off x="10331563" y="3496061"/>
              <a:ext cx="189869" cy="0"/>
            </a:xfrm>
            <a:prstGeom prst="line">
              <a:avLst/>
            </a:prstGeom>
            <a:ln w="12700">
              <a:solidFill>
                <a:schemeClr val="bg1">
                  <a:lumMod val="9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1" name="Straight Connector 230"/>
            <xdr:cNvCxnSpPr/>
          </xdr:nvCxnSpPr>
          <xdr:spPr>
            <a:xfrm>
              <a:off x="10309969" y="4277278"/>
              <a:ext cx="189869" cy="0"/>
            </a:xfrm>
            <a:prstGeom prst="line">
              <a:avLst/>
            </a:prstGeom>
            <a:ln w="12700">
              <a:solidFill>
                <a:schemeClr val="bg1">
                  <a:lumMod val="95000"/>
                </a:schemeClr>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18716" y="6736406"/>
            <a:ext cx="685238" cy="4182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Nursery</a:t>
            </a:r>
          </a:p>
          <a:p>
            <a:pPr marL="0" marR="0" lvl="0" indent="0" algn="ctr" defTabSz="914400" eaLnBrk="1" fontAlgn="auto" latinLnBrk="0" hangingPunct="1">
              <a:lnSpc>
                <a:spcPct val="100000"/>
              </a:lnSpc>
              <a:spcBef>
                <a:spcPts val="0"/>
              </a:spcBef>
              <a:spcAft>
                <a:spcPts val="0"/>
              </a:spcAft>
              <a:buClrTx/>
              <a:buSzTx/>
              <a:buFontTx/>
              <a:buNone/>
              <a:tabLst/>
              <a:defRPr/>
            </a:pPr>
            <a:r>
              <a:rPr lang="de-CH" sz="900" b="0">
                <a:solidFill>
                  <a:schemeClr val="tx1"/>
                </a:solidFill>
                <a:effectLst/>
                <a:latin typeface="+mn-lt"/>
                <a:ea typeface="+mn-ea"/>
                <a:cs typeface="+mn-cs"/>
              </a:rPr>
              <a:t>Unit N</a:t>
            </a:r>
            <a:endParaRPr lang="en-GB" sz="900">
              <a:effectLst/>
            </a:endParaRPr>
          </a:p>
          <a:p>
            <a:pPr algn="ctr"/>
            <a:endParaRPr lang="de-CH" sz="900" b="1"/>
          </a:p>
        </xdr:txBody>
      </xdr:sp>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5044" y="6727702"/>
            <a:ext cx="819919" cy="445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Waste Sourcing</a:t>
            </a:r>
          </a:p>
          <a:p>
            <a:pPr algn="ctr"/>
            <a:r>
              <a:rPr lang="de-CH" sz="900" b="0"/>
              <a:t>Feestock</a:t>
            </a:r>
          </a:p>
        </xdr:txBody>
      </xdr:sp>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59872" y="9239384"/>
            <a:ext cx="858198" cy="5907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Waste </a:t>
            </a:r>
          </a:p>
          <a:p>
            <a:pPr algn="ctr"/>
            <a:r>
              <a:rPr lang="de-CH" sz="900" b="1"/>
              <a:t>Pre-Processing</a:t>
            </a:r>
          </a:p>
          <a:p>
            <a:pPr algn="ctr"/>
            <a:r>
              <a:rPr lang="de-CH" sz="900" b="0"/>
              <a:t>Unit W</a:t>
            </a:r>
          </a:p>
        </xdr:txBody>
      </xdr:sp>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946020" y="9224228"/>
            <a:ext cx="709983" cy="4232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900" b="1"/>
              <a:t>Treatment</a:t>
            </a:r>
          </a:p>
          <a:p>
            <a:pPr algn="ctr"/>
            <a:r>
              <a:rPr lang="de-CH" sz="900" b="0"/>
              <a:t>Unit T</a:t>
            </a:r>
          </a:p>
        </xdr:txBody>
      </xdr:sp>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684028" y="9202895"/>
            <a:ext cx="668058" cy="532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Product </a:t>
            </a:r>
          </a:p>
          <a:p>
            <a:pPr algn="ctr"/>
            <a:r>
              <a:rPr lang="de-CH" sz="900" b="1"/>
              <a:t>Harvesting</a:t>
            </a:r>
          </a:p>
          <a:p>
            <a:pPr algn="ctr"/>
            <a:r>
              <a:rPr lang="de-CH" sz="900" b="0"/>
              <a:t>Unit H</a:t>
            </a:r>
          </a:p>
        </xdr:txBody>
      </xdr:sp>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2985111" y="9238245"/>
            <a:ext cx="978593" cy="399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solidFill>
                  <a:schemeClr val="bg1">
                    <a:lumMod val="95000"/>
                  </a:schemeClr>
                </a:solidFill>
              </a:rPr>
              <a:t>Post</a:t>
            </a:r>
            <a:r>
              <a:rPr lang="de-CH" sz="900" b="1" baseline="0">
                <a:solidFill>
                  <a:schemeClr val="bg1">
                    <a:lumMod val="95000"/>
                  </a:schemeClr>
                </a:solidFill>
              </a:rPr>
              <a:t> Processing</a:t>
            </a:r>
          </a:p>
          <a:p>
            <a:pPr algn="ctr"/>
            <a:r>
              <a:rPr lang="de-CH" sz="900" b="0" baseline="0">
                <a:solidFill>
                  <a:schemeClr val="bg1">
                    <a:lumMod val="95000"/>
                  </a:schemeClr>
                </a:solidFill>
              </a:rPr>
              <a:t>Unit P</a:t>
            </a:r>
            <a:endParaRPr lang="de-CH" sz="900" b="0">
              <a:solidFill>
                <a:schemeClr val="bg1">
                  <a:lumMod val="95000"/>
                </a:schemeClr>
              </a:solidFill>
            </a:endParaRPr>
          </a:p>
        </xdr:txBody>
      </xdr:sp>
      <xdr:sp macro="" textlink="">
        <xdr:nvSpPr>
          <xdr:cNvPr id="155" name="TextBox 154">
            <a:extLst>
              <a:ext uri="{FF2B5EF4-FFF2-40B4-BE49-F238E27FC236}">
                <a16:creationId xmlns:a16="http://schemas.microsoft.com/office/drawing/2014/main" id="{00000000-0008-0000-0100-000022000000}"/>
              </a:ext>
            </a:extLst>
          </xdr:cNvPr>
          <xdr:cNvSpPr txBox="1"/>
        </xdr:nvSpPr>
        <xdr:spPr>
          <a:xfrm>
            <a:off x="2388495" y="9046384"/>
            <a:ext cx="561884" cy="2406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solidFill>
                  <a:schemeClr val="bg1">
                    <a:lumMod val="95000"/>
                  </a:schemeClr>
                </a:solidFill>
              </a:rPr>
              <a:t>Sanitisng</a:t>
            </a:r>
          </a:p>
        </xdr:txBody>
      </xdr:sp>
      <xdr:sp macro="" textlink="">
        <xdr:nvSpPr>
          <xdr:cNvPr id="157" name="TextBox 156">
            <a:extLst>
              <a:ext uri="{FF2B5EF4-FFF2-40B4-BE49-F238E27FC236}">
                <a16:creationId xmlns:a16="http://schemas.microsoft.com/office/drawing/2014/main" id="{00000000-0008-0000-0100-000022000000}"/>
              </a:ext>
            </a:extLst>
          </xdr:cNvPr>
          <xdr:cNvSpPr txBox="1"/>
        </xdr:nvSpPr>
        <xdr:spPr>
          <a:xfrm>
            <a:off x="2938088" y="7753151"/>
            <a:ext cx="561885" cy="238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solidFill>
                  <a:schemeClr val="bg1">
                    <a:lumMod val="95000"/>
                  </a:schemeClr>
                </a:solidFill>
              </a:rPr>
              <a:t>Drying</a:t>
            </a:r>
          </a:p>
        </xdr:txBody>
      </xdr:sp>
      <xdr:sp macro="" textlink="">
        <xdr:nvSpPr>
          <xdr:cNvPr id="158" name="TextBox 157">
            <a:extLst>
              <a:ext uri="{FF2B5EF4-FFF2-40B4-BE49-F238E27FC236}">
                <a16:creationId xmlns:a16="http://schemas.microsoft.com/office/drawing/2014/main" id="{00000000-0008-0000-0100-000022000000}"/>
              </a:ext>
            </a:extLst>
          </xdr:cNvPr>
          <xdr:cNvSpPr txBox="1"/>
        </xdr:nvSpPr>
        <xdr:spPr>
          <a:xfrm>
            <a:off x="3883394" y="8115510"/>
            <a:ext cx="561884" cy="212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700" b="0">
                <a:solidFill>
                  <a:schemeClr val="bg1">
                    <a:lumMod val="95000"/>
                  </a:schemeClr>
                </a:solidFill>
              </a:rPr>
              <a:t>Pressing</a:t>
            </a:r>
          </a:p>
        </xdr:txBody>
      </xdr:sp>
      <xdr:sp macro="" textlink="">
        <xdr:nvSpPr>
          <xdr:cNvPr id="160" name="TextBox 159">
            <a:extLst>
              <a:ext uri="{FF2B5EF4-FFF2-40B4-BE49-F238E27FC236}">
                <a16:creationId xmlns:a16="http://schemas.microsoft.com/office/drawing/2014/main" id="{00000000-0008-0000-0100-000022000000}"/>
              </a:ext>
            </a:extLst>
          </xdr:cNvPr>
          <xdr:cNvSpPr txBox="1"/>
        </xdr:nvSpPr>
        <xdr:spPr>
          <a:xfrm>
            <a:off x="4153347" y="7763258"/>
            <a:ext cx="355153" cy="437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solidFill>
                  <a:schemeClr val="bg1">
                    <a:lumMod val="95000"/>
                  </a:schemeClr>
                </a:solidFill>
              </a:rPr>
              <a:t>Dried </a:t>
            </a:r>
          </a:p>
          <a:p>
            <a:pPr algn="ctr"/>
            <a:r>
              <a:rPr lang="de-CH" sz="700" b="0">
                <a:solidFill>
                  <a:schemeClr val="bg1">
                    <a:lumMod val="95000"/>
                  </a:schemeClr>
                </a:solidFill>
              </a:rPr>
              <a:t>Larvae</a:t>
            </a:r>
          </a:p>
        </xdr:txBody>
      </xdr:sp>
      <xdr:sp macro="" textlink="">
        <xdr:nvSpPr>
          <xdr:cNvPr id="161" name="TextBox 160">
            <a:extLst>
              <a:ext uri="{FF2B5EF4-FFF2-40B4-BE49-F238E27FC236}">
                <a16:creationId xmlns:a16="http://schemas.microsoft.com/office/drawing/2014/main" id="{00000000-0008-0000-0100-000022000000}"/>
              </a:ext>
            </a:extLst>
          </xdr:cNvPr>
          <xdr:cNvSpPr txBox="1"/>
        </xdr:nvSpPr>
        <xdr:spPr>
          <a:xfrm>
            <a:off x="4152356" y="7401322"/>
            <a:ext cx="355267" cy="346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solidFill>
                  <a:schemeClr val="bg1">
                    <a:lumMod val="95000"/>
                  </a:schemeClr>
                </a:solidFill>
              </a:rPr>
              <a:t>Fresh </a:t>
            </a:r>
          </a:p>
          <a:p>
            <a:pPr algn="ctr"/>
            <a:r>
              <a:rPr lang="de-CH" sz="700" b="0">
                <a:solidFill>
                  <a:schemeClr val="bg1">
                    <a:lumMod val="95000"/>
                  </a:schemeClr>
                </a:solidFill>
              </a:rPr>
              <a:t>Larvae</a:t>
            </a:r>
          </a:p>
        </xdr:txBody>
      </xdr:sp>
      <xdr:sp macro="" textlink="">
        <xdr:nvSpPr>
          <xdr:cNvPr id="165" name="TextBox 164">
            <a:extLst>
              <a:ext uri="{FF2B5EF4-FFF2-40B4-BE49-F238E27FC236}">
                <a16:creationId xmlns:a16="http://schemas.microsoft.com/office/drawing/2014/main" id="{00000000-0008-0000-0100-000022000000}"/>
              </a:ext>
            </a:extLst>
          </xdr:cNvPr>
          <xdr:cNvSpPr txBox="1"/>
        </xdr:nvSpPr>
        <xdr:spPr>
          <a:xfrm>
            <a:off x="4435929" y="8153012"/>
            <a:ext cx="534483" cy="1745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solidFill>
                  <a:schemeClr val="bg1">
                    <a:lumMod val="95000"/>
                  </a:schemeClr>
                </a:solidFill>
              </a:rPr>
              <a:t>Larvae</a:t>
            </a:r>
            <a:r>
              <a:rPr lang="de-CH" sz="700" b="0" baseline="0">
                <a:solidFill>
                  <a:schemeClr val="bg1">
                    <a:lumMod val="95000"/>
                  </a:schemeClr>
                </a:solidFill>
              </a:rPr>
              <a:t> </a:t>
            </a:r>
            <a:r>
              <a:rPr lang="de-CH" sz="700" b="0">
                <a:solidFill>
                  <a:schemeClr val="bg1">
                    <a:lumMod val="95000"/>
                  </a:schemeClr>
                </a:solidFill>
              </a:rPr>
              <a:t>meal</a:t>
            </a:r>
          </a:p>
        </xdr:txBody>
      </xdr:sp>
      <xdr:sp macro="" textlink="">
        <xdr:nvSpPr>
          <xdr:cNvPr id="166" name="TextBox 165">
            <a:extLst>
              <a:ext uri="{FF2B5EF4-FFF2-40B4-BE49-F238E27FC236}">
                <a16:creationId xmlns:a16="http://schemas.microsoft.com/office/drawing/2014/main" id="{00000000-0008-0000-0100-000022000000}"/>
              </a:ext>
            </a:extLst>
          </xdr:cNvPr>
          <xdr:cNvSpPr txBox="1"/>
        </xdr:nvSpPr>
        <xdr:spPr>
          <a:xfrm>
            <a:off x="4430717" y="8866833"/>
            <a:ext cx="513212" cy="3860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solidFill>
                  <a:schemeClr val="bg1">
                    <a:lumMod val="95000"/>
                  </a:schemeClr>
                </a:solidFill>
              </a:rPr>
              <a:t>Larvae</a:t>
            </a:r>
            <a:r>
              <a:rPr lang="de-CH" sz="700" b="0" baseline="0">
                <a:solidFill>
                  <a:schemeClr val="bg1">
                    <a:lumMod val="95000"/>
                  </a:schemeClr>
                </a:solidFill>
              </a:rPr>
              <a:t> </a:t>
            </a:r>
            <a:r>
              <a:rPr lang="de-CH" sz="700" b="0">
                <a:solidFill>
                  <a:schemeClr val="bg1">
                    <a:lumMod val="95000"/>
                  </a:schemeClr>
                </a:solidFill>
              </a:rPr>
              <a:t>oil</a:t>
            </a:r>
          </a:p>
        </xdr:txBody>
      </xdr:sp>
      <xdr:sp macro="" textlink="">
        <xdr:nvSpPr>
          <xdr:cNvPr id="167" name="TextBox 166">
            <a:extLst>
              <a:ext uri="{FF2B5EF4-FFF2-40B4-BE49-F238E27FC236}">
                <a16:creationId xmlns:a16="http://schemas.microsoft.com/office/drawing/2014/main" id="{00000000-0008-0000-0100-000022000000}"/>
              </a:ext>
            </a:extLst>
          </xdr:cNvPr>
          <xdr:cNvSpPr txBox="1"/>
        </xdr:nvSpPr>
        <xdr:spPr>
          <a:xfrm>
            <a:off x="4195868" y="7020707"/>
            <a:ext cx="355267" cy="269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700" b="0">
                <a:solidFill>
                  <a:schemeClr val="bg1">
                    <a:lumMod val="95000"/>
                  </a:schemeClr>
                </a:solidFill>
              </a:rPr>
              <a:t>Compost</a:t>
            </a:r>
          </a:p>
        </xdr:txBody>
      </xdr:sp>
      <xdr:sp macro="" textlink="">
        <xdr:nvSpPr>
          <xdr:cNvPr id="168" name="TextBox 167">
            <a:extLst>
              <a:ext uri="{FF2B5EF4-FFF2-40B4-BE49-F238E27FC236}">
                <a16:creationId xmlns:a16="http://schemas.microsoft.com/office/drawing/2014/main" id="{00000000-0008-0000-0100-000022000000}"/>
              </a:ext>
            </a:extLst>
          </xdr:cNvPr>
          <xdr:cNvSpPr txBox="1"/>
        </xdr:nvSpPr>
        <xdr:spPr>
          <a:xfrm>
            <a:off x="1910209" y="6730246"/>
            <a:ext cx="1021501" cy="3931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900" b="1"/>
              <a:t>Residue Processing</a:t>
            </a:r>
          </a:p>
          <a:p>
            <a:pPr marL="0" marR="0" lvl="0" indent="0" algn="ctr" defTabSz="914400" eaLnBrk="1" fontAlgn="auto" latinLnBrk="0" hangingPunct="1">
              <a:lnSpc>
                <a:spcPct val="100000"/>
              </a:lnSpc>
              <a:spcBef>
                <a:spcPts val="0"/>
              </a:spcBef>
              <a:spcAft>
                <a:spcPts val="0"/>
              </a:spcAft>
              <a:buClrTx/>
              <a:buSzTx/>
              <a:buFontTx/>
              <a:buNone/>
              <a:tabLst/>
              <a:defRPr/>
            </a:pPr>
            <a:r>
              <a:rPr lang="de-CH" sz="900" b="0">
                <a:solidFill>
                  <a:schemeClr val="tx1"/>
                </a:solidFill>
                <a:effectLst/>
                <a:latin typeface="+mn-lt"/>
                <a:ea typeface="+mn-ea"/>
                <a:cs typeface="+mn-cs"/>
              </a:rPr>
              <a:t>Unit R</a:t>
            </a:r>
            <a:endParaRPr lang="en-GB" sz="600">
              <a:effectLst/>
            </a:endParaRPr>
          </a:p>
        </xdr:txBody>
      </xdr:sp>
    </xdr:grpSp>
    <xdr:clientData/>
  </xdr:twoCellAnchor>
  <xdr:twoCellAnchor editAs="oneCell">
    <xdr:from>
      <xdr:col>7</xdr:col>
      <xdr:colOff>61730</xdr:colOff>
      <xdr:row>1</xdr:row>
      <xdr:rowOff>54792</xdr:rowOff>
    </xdr:from>
    <xdr:to>
      <xdr:col>9</xdr:col>
      <xdr:colOff>571500</xdr:colOff>
      <xdr:row>2</xdr:row>
      <xdr:rowOff>170751</xdr:rowOff>
    </xdr:to>
    <xdr:pic>
      <xdr:nvPicPr>
        <xdr:cNvPr id="125" name="Picture 124" descr="https://www.internal.eawag.ch/fileadmin_intranet/intranet/kommunikation/mittel/vorlagen/ealogo05-pos.png"/>
        <xdr:cNvPicPr>
          <a:picLocks noChangeAspect="1" noChangeArrowheads="1"/>
        </xdr:cNvPicPr>
      </xdr:nvPicPr>
      <xdr:blipFill>
        <a:blip xmlns:r="http://schemas.openxmlformats.org/officeDocument/2006/relationships" r:embed="rId33" cstate="hqprint">
          <a:extLst>
            <a:ext uri="{28A0092B-C50C-407E-A947-70E740481C1C}">
              <a14:useLocalDpi xmlns:a14="http://schemas.microsoft.com/office/drawing/2010/main" val="0"/>
            </a:ext>
          </a:extLst>
        </a:blip>
        <a:srcRect/>
        <a:stretch>
          <a:fillRect/>
        </a:stretch>
      </xdr:blipFill>
      <xdr:spPr bwMode="auto">
        <a:xfrm>
          <a:off x="3598404" y="104488"/>
          <a:ext cx="1669335" cy="356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489856</xdr:colOff>
      <xdr:row>6</xdr:row>
      <xdr:rowOff>108856</xdr:rowOff>
    </xdr:from>
    <xdr:to>
      <xdr:col>9</xdr:col>
      <xdr:colOff>557893</xdr:colOff>
      <xdr:row>13</xdr:row>
      <xdr:rowOff>176893</xdr:rowOff>
    </xdr:to>
    <xdr:pic>
      <xdr:nvPicPr>
        <xdr:cNvPr id="127" name="Picture 126" descr="https://www.eawag.ch/fileadmin/Domain1/Abteilungen/sandec/publikationen/SWM/BSF/bsf_picture_2.jpg"/>
        <xdr:cNvPicPr>
          <a:picLocks noChangeAspect="1" noChangeArrowheads="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b="15819"/>
        <a:stretch/>
      </xdr:blipFill>
      <xdr:spPr bwMode="auto">
        <a:xfrm>
          <a:off x="2299606" y="843642"/>
          <a:ext cx="2993573" cy="140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217714</xdr:colOff>
      <xdr:row>3</xdr:row>
      <xdr:rowOff>27213</xdr:rowOff>
    </xdr:from>
    <xdr:to>
      <xdr:col>5</xdr:col>
      <xdr:colOff>1486035</xdr:colOff>
      <xdr:row>10</xdr:row>
      <xdr:rowOff>49228</xdr:rowOff>
    </xdr:to>
    <xdr:grpSp>
      <xdr:nvGrpSpPr>
        <xdr:cNvPr id="2" name="Group 1"/>
        <xdr:cNvGrpSpPr/>
      </xdr:nvGrpSpPr>
      <xdr:grpSpPr>
        <a:xfrm>
          <a:off x="5334000" y="716642"/>
          <a:ext cx="1268321" cy="1346443"/>
          <a:chOff x="9212036" y="10055679"/>
          <a:chExt cx="2368330" cy="2607372"/>
        </a:xfrm>
      </xdr:grpSpPr>
      <xdr:pic>
        <xdr:nvPicPr>
          <xdr:cNvPr id="14" name="Picture 13"/>
          <xdr:cNvPicPr>
            <a:picLocks noChangeAspect="1"/>
          </xdr:cNvPicPr>
        </xdr:nvPicPr>
        <xdr:blipFill>
          <a:blip xmlns:r="http://schemas.openxmlformats.org/officeDocument/2006/relationships" r:embed="rId1"/>
          <a:stretch>
            <a:fillRect/>
          </a:stretch>
        </xdr:blipFill>
        <xdr:spPr>
          <a:xfrm rot="6211499">
            <a:off x="9566958" y="12140348"/>
            <a:ext cx="521703" cy="393649"/>
          </a:xfrm>
          <a:prstGeom prst="rect">
            <a:avLst/>
          </a:prstGeom>
        </xdr:spPr>
      </xdr:pic>
      <xdr:pic>
        <xdr:nvPicPr>
          <xdr:cNvPr id="15" name="Picture 14"/>
          <xdr:cNvPicPr>
            <a:picLocks noChangeAspect="1"/>
          </xdr:cNvPicPr>
        </xdr:nvPicPr>
        <xdr:blipFill>
          <a:blip xmlns:r="http://schemas.openxmlformats.org/officeDocument/2006/relationships" r:embed="rId1"/>
          <a:stretch>
            <a:fillRect/>
          </a:stretch>
        </xdr:blipFill>
        <xdr:spPr>
          <a:xfrm rot="2823842">
            <a:off x="10555328" y="12163236"/>
            <a:ext cx="521703" cy="393649"/>
          </a:xfrm>
          <a:prstGeom prst="rect">
            <a:avLst/>
          </a:prstGeom>
        </xdr:spPr>
      </xdr:pic>
      <xdr:pic>
        <xdr:nvPicPr>
          <xdr:cNvPr id="16" name="Picture 15"/>
          <xdr:cNvPicPr>
            <a:picLocks noChangeAspect="1"/>
          </xdr:cNvPicPr>
        </xdr:nvPicPr>
        <xdr:blipFill>
          <a:blip xmlns:r="http://schemas.openxmlformats.org/officeDocument/2006/relationships" r:embed="rId1"/>
          <a:stretch>
            <a:fillRect/>
          </a:stretch>
        </xdr:blipFill>
        <xdr:spPr>
          <a:xfrm rot="17090820">
            <a:off x="10617118" y="10223463"/>
            <a:ext cx="521703" cy="393649"/>
          </a:xfrm>
          <a:prstGeom prst="rect">
            <a:avLst/>
          </a:prstGeom>
        </xdr:spPr>
      </xdr:pic>
      <xdr:pic>
        <xdr:nvPicPr>
          <xdr:cNvPr id="17" name="Picture 16"/>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rot="7200000">
            <a:off x="9212868" y="11728830"/>
            <a:ext cx="457200" cy="458863"/>
          </a:xfrm>
          <a:prstGeom prst="rect">
            <a:avLst/>
          </a:prstGeom>
        </xdr:spPr>
      </xdr:pic>
      <xdr:pic>
        <xdr:nvPicPr>
          <xdr:cNvPr id="18" name="Picture 17"/>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rot="7200000">
            <a:off x="10179343" y="10053185"/>
            <a:ext cx="457200" cy="462188"/>
          </a:xfrm>
          <a:prstGeom prst="rect">
            <a:avLst/>
          </a:prstGeom>
        </xdr:spPr>
      </xdr:pic>
      <xdr:pic>
        <xdr:nvPicPr>
          <xdr:cNvPr id="19" name="Picture 18"/>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val="0"/>
              </a:ext>
            </a:extLst>
          </a:blip>
          <a:stretch>
            <a:fillRect/>
          </a:stretch>
        </xdr:blipFill>
        <xdr:spPr>
          <a:xfrm rot="7200000">
            <a:off x="11047330" y="10554626"/>
            <a:ext cx="457200" cy="462188"/>
          </a:xfrm>
          <a:prstGeom prst="rect">
            <a:avLst/>
          </a:prstGeom>
        </xdr:spPr>
      </xdr:pic>
      <xdr:pic>
        <xdr:nvPicPr>
          <xdr:cNvPr id="20" name="Picture 19"/>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rot="7200000">
            <a:off x="10932582" y="11664662"/>
            <a:ext cx="457200" cy="462188"/>
          </a:xfrm>
          <a:prstGeom prst="rect">
            <a:avLst/>
          </a:prstGeom>
        </xdr:spPr>
      </xdr:pic>
      <xdr:pic>
        <xdr:nvPicPr>
          <xdr:cNvPr id="21" name="Picture 20"/>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val="0"/>
              </a:ext>
            </a:extLst>
          </a:blip>
          <a:stretch>
            <a:fillRect/>
          </a:stretch>
        </xdr:blipFill>
        <xdr:spPr>
          <a:xfrm rot="7200000">
            <a:off x="10034325" y="12203357"/>
            <a:ext cx="457200" cy="462188"/>
          </a:xfrm>
          <a:prstGeom prst="rect">
            <a:avLst/>
          </a:prstGeom>
        </xdr:spPr>
      </xdr:pic>
      <xdr:pic>
        <xdr:nvPicPr>
          <xdr:cNvPr id="22" name="Picture 21"/>
          <xdr:cNvPicPr>
            <a:picLocks noChangeAspect="1"/>
          </xdr:cNvPicPr>
        </xdr:nvPicPr>
        <xdr:blipFill>
          <a:blip xmlns:r="http://schemas.openxmlformats.org/officeDocument/2006/relationships" r:embed="rId1"/>
          <a:stretch>
            <a:fillRect/>
          </a:stretch>
        </xdr:blipFill>
        <xdr:spPr>
          <a:xfrm rot="20442932">
            <a:off x="11186717" y="11028406"/>
            <a:ext cx="393649" cy="521703"/>
          </a:xfrm>
          <a:prstGeom prst="rect">
            <a:avLst/>
          </a:prstGeom>
        </xdr:spPr>
      </xdr:pic>
    </xdr:grpSp>
    <xdr:clientData/>
  </xdr:twoCellAnchor>
  <xdr:twoCellAnchor>
    <xdr:from>
      <xdr:col>4</xdr:col>
      <xdr:colOff>312964</xdr:colOff>
      <xdr:row>3</xdr:row>
      <xdr:rowOff>0</xdr:rowOff>
    </xdr:from>
    <xdr:to>
      <xdr:col>5</xdr:col>
      <xdr:colOff>330190</xdr:colOff>
      <xdr:row>5</xdr:row>
      <xdr:rowOff>68034</xdr:rowOff>
    </xdr:to>
    <xdr:sp macro="" textlink="">
      <xdr:nvSpPr>
        <xdr:cNvPr id="23" name="TextBox 22">
          <a:extLst>
            <a:ext uri="{FF2B5EF4-FFF2-40B4-BE49-F238E27FC236}">
              <a16:creationId xmlns:a16="http://schemas.microsoft.com/office/drawing/2014/main" id="{00000000-0008-0000-0100-000020000000}"/>
            </a:ext>
          </a:extLst>
        </xdr:cNvPr>
        <xdr:cNvSpPr txBox="1"/>
      </xdr:nvSpPr>
      <xdr:spPr>
        <a:xfrm>
          <a:off x="4014107" y="1074964"/>
          <a:ext cx="1214654"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N</a:t>
          </a:r>
        </a:p>
        <a:p>
          <a:pPr algn="ctr"/>
          <a:r>
            <a:rPr lang="de-CH" sz="1050" b="0"/>
            <a:t>(U-N-Egg)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707570</xdr:colOff>
      <xdr:row>2</xdr:row>
      <xdr:rowOff>204106</xdr:rowOff>
    </xdr:from>
    <xdr:to>
      <xdr:col>5</xdr:col>
      <xdr:colOff>1337653</xdr:colOff>
      <xdr:row>9</xdr:row>
      <xdr:rowOff>106089</xdr:rowOff>
    </xdr:to>
    <xdr:grpSp>
      <xdr:nvGrpSpPr>
        <xdr:cNvPr id="3" name="Group 2"/>
        <xdr:cNvGrpSpPr/>
      </xdr:nvGrpSpPr>
      <xdr:grpSpPr>
        <a:xfrm>
          <a:off x="6095999" y="657677"/>
          <a:ext cx="630083" cy="1280841"/>
          <a:chOff x="8572500" y="9946821"/>
          <a:chExt cx="932894" cy="1970270"/>
        </a:xfrm>
      </xdr:grpSpPr>
      <xdr:pic>
        <xdr:nvPicPr>
          <xdr:cNvPr id="8" name="Picture 7"/>
          <xdr:cNvPicPr>
            <a:picLocks noChangeAspect="1"/>
          </xdr:cNvPicPr>
        </xdr:nvPicPr>
        <xdr:blipFill>
          <a:blip xmlns:r="http://schemas.openxmlformats.org/officeDocument/2006/relationships" r:embed="rId1"/>
          <a:stretch>
            <a:fillRect/>
          </a:stretch>
        </xdr:blipFill>
        <xdr:spPr>
          <a:xfrm rot="13233419">
            <a:off x="9111745" y="9946821"/>
            <a:ext cx="393649" cy="521703"/>
          </a:xfrm>
          <a:prstGeom prst="rect">
            <a:avLst/>
          </a:prstGeom>
        </xdr:spPr>
      </xdr:pic>
      <xdr:pic>
        <xdr:nvPicPr>
          <xdr:cNvPr id="9" name="Picture 8"/>
          <xdr:cNvPicPr>
            <a:picLocks noChangeAspect="1"/>
          </xdr:cNvPicPr>
        </xdr:nvPicPr>
        <xdr:blipFill>
          <a:blip xmlns:r="http://schemas.openxmlformats.org/officeDocument/2006/relationships" r:embed="rId1"/>
          <a:stretch>
            <a:fillRect/>
          </a:stretch>
        </xdr:blipFill>
        <xdr:spPr>
          <a:xfrm rot="10109305">
            <a:off x="8572500" y="10906174"/>
            <a:ext cx="393649" cy="521703"/>
          </a:xfrm>
          <a:prstGeom prst="rect">
            <a:avLst/>
          </a:prstGeom>
        </xdr:spPr>
      </xdr:pic>
      <xdr:pic>
        <xdr:nvPicPr>
          <xdr:cNvPr id="10" name="Picture 9"/>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rot="7200000">
            <a:off x="8756876" y="10384756"/>
            <a:ext cx="457200" cy="457200"/>
          </a:xfrm>
          <a:prstGeom prst="rect">
            <a:avLst/>
          </a:prstGeom>
        </xdr:spPr>
      </xdr:pic>
      <xdr:pic>
        <xdr:nvPicPr>
          <xdr:cNvPr id="11" name="Picture 10"/>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val="0"/>
              </a:ext>
            </a:extLst>
          </a:blip>
          <a:stretch>
            <a:fillRect/>
          </a:stretch>
        </xdr:blipFill>
        <xdr:spPr>
          <a:xfrm rot="7200000">
            <a:off x="8651802" y="11459059"/>
            <a:ext cx="457200" cy="458863"/>
          </a:xfrm>
          <a:prstGeom prst="rect">
            <a:avLst/>
          </a:prstGeom>
        </xdr:spPr>
      </xdr:pic>
    </xdr:grpSp>
    <xdr:clientData/>
  </xdr:twoCellAnchor>
  <xdr:twoCellAnchor>
    <xdr:from>
      <xdr:col>4</xdr:col>
      <xdr:colOff>762000</xdr:colOff>
      <xdr:row>3</xdr:row>
      <xdr:rowOff>40822</xdr:rowOff>
    </xdr:from>
    <xdr:to>
      <xdr:col>5</xdr:col>
      <xdr:colOff>779225</xdr:colOff>
      <xdr:row>5</xdr:row>
      <xdr:rowOff>108856</xdr:rowOff>
    </xdr:to>
    <xdr:sp macro="" textlink="">
      <xdr:nvSpPr>
        <xdr:cNvPr id="12" name="TextBox 11">
          <a:extLst>
            <a:ext uri="{FF2B5EF4-FFF2-40B4-BE49-F238E27FC236}">
              <a16:creationId xmlns:a16="http://schemas.microsoft.com/office/drawing/2014/main" id="{00000000-0008-0000-0100-000020000000}"/>
            </a:ext>
          </a:extLst>
        </xdr:cNvPr>
        <xdr:cNvSpPr txBox="1"/>
      </xdr:nvSpPr>
      <xdr:spPr>
        <a:xfrm>
          <a:off x="4191000" y="1115786"/>
          <a:ext cx="1214654" cy="47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N</a:t>
          </a:r>
        </a:p>
        <a:p>
          <a:pPr algn="ctr"/>
          <a:r>
            <a:rPr lang="de-CH" sz="1050" b="0"/>
            <a:t>(U-N-5DOL)</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449032</xdr:colOff>
      <xdr:row>6</xdr:row>
      <xdr:rowOff>48843</xdr:rowOff>
    </xdr:from>
    <xdr:to>
      <xdr:col>5</xdr:col>
      <xdr:colOff>982196</xdr:colOff>
      <xdr:row>8</xdr:row>
      <xdr:rowOff>168040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5973532" y="1382343"/>
          <a:ext cx="533164" cy="527411"/>
        </a:xfrm>
        <a:prstGeom prst="rect">
          <a:avLst/>
        </a:prstGeom>
      </xdr:spPr>
    </xdr:pic>
    <xdr:clientData/>
  </xdr:twoCellAnchor>
  <xdr:twoCellAnchor editAs="oneCell">
    <xdr:from>
      <xdr:col>4</xdr:col>
      <xdr:colOff>231323</xdr:colOff>
      <xdr:row>6</xdr:row>
      <xdr:rowOff>7286</xdr:rowOff>
    </xdr:from>
    <xdr:to>
      <xdr:col>4</xdr:col>
      <xdr:colOff>789215</xdr:colOff>
      <xdr:row>8</xdr:row>
      <xdr:rowOff>150944</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8394" y="1340786"/>
          <a:ext cx="557892" cy="551872"/>
        </a:xfrm>
        <a:prstGeom prst="rect">
          <a:avLst/>
        </a:prstGeom>
      </xdr:spPr>
    </xdr:pic>
    <xdr:clientData/>
  </xdr:twoCellAnchor>
  <xdr:twoCellAnchor editAs="oneCell">
    <xdr:from>
      <xdr:col>3</xdr:col>
      <xdr:colOff>108857</xdr:colOff>
      <xdr:row>6</xdr:row>
      <xdr:rowOff>13607</xdr:rowOff>
    </xdr:from>
    <xdr:to>
      <xdr:col>3</xdr:col>
      <xdr:colOff>612322</xdr:colOff>
      <xdr:row>8</xdr:row>
      <xdr:rowOff>103425</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0" y="1347107"/>
          <a:ext cx="503465" cy="498032"/>
        </a:xfrm>
        <a:prstGeom prst="rect">
          <a:avLst/>
        </a:prstGeom>
      </xdr:spPr>
    </xdr:pic>
    <xdr:clientData/>
  </xdr:twoCellAnchor>
  <xdr:twoCellAnchor>
    <xdr:from>
      <xdr:col>2</xdr:col>
      <xdr:colOff>707572</xdr:colOff>
      <xdr:row>4</xdr:row>
      <xdr:rowOff>190499</xdr:rowOff>
    </xdr:from>
    <xdr:to>
      <xdr:col>2</xdr:col>
      <xdr:colOff>1922226</xdr:colOff>
      <xdr:row>7</xdr:row>
      <xdr:rowOff>40821</xdr:rowOff>
    </xdr:to>
    <xdr:sp macro="" textlink="">
      <xdr:nvSpPr>
        <xdr:cNvPr id="10" name="TextBox 9">
          <a:extLst>
            <a:ext uri="{FF2B5EF4-FFF2-40B4-BE49-F238E27FC236}">
              <a16:creationId xmlns:a16="http://schemas.microsoft.com/office/drawing/2014/main" id="{00000000-0008-0000-0100-000020000000}"/>
            </a:ext>
          </a:extLst>
        </xdr:cNvPr>
        <xdr:cNvSpPr txBox="1"/>
      </xdr:nvSpPr>
      <xdr:spPr>
        <a:xfrm>
          <a:off x="1687286" y="1115785"/>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P</a:t>
          </a:r>
        </a:p>
        <a:p>
          <a:pPr algn="ctr"/>
          <a:r>
            <a:rPr lang="de-CH" sz="1050" b="0"/>
            <a:t>(U-P)</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830036</xdr:colOff>
      <xdr:row>5</xdr:row>
      <xdr:rowOff>149679</xdr:rowOff>
    </xdr:from>
    <xdr:to>
      <xdr:col>3</xdr:col>
      <xdr:colOff>1428750</xdr:colOff>
      <xdr:row>8</xdr:row>
      <xdr:rowOff>143219</xdr:rowOff>
    </xdr:to>
    <xdr:pic>
      <xdr:nvPicPr>
        <xdr:cNvPr id="6" name="Picture 5"/>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val="0"/>
            </a:ext>
          </a:extLst>
        </a:blip>
        <a:stretch>
          <a:fillRect/>
        </a:stretch>
      </xdr:blipFill>
      <xdr:spPr>
        <a:xfrm>
          <a:off x="3034393" y="1279072"/>
          <a:ext cx="598714" cy="592254"/>
        </a:xfrm>
        <a:prstGeom prst="rect">
          <a:avLst/>
        </a:prstGeom>
      </xdr:spPr>
    </xdr:pic>
    <xdr:clientData/>
  </xdr:twoCellAnchor>
  <xdr:twoCellAnchor>
    <xdr:from>
      <xdr:col>3</xdr:col>
      <xdr:colOff>557893</xdr:colOff>
      <xdr:row>3</xdr:row>
      <xdr:rowOff>13607</xdr:rowOff>
    </xdr:from>
    <xdr:to>
      <xdr:col>4</xdr:col>
      <xdr:colOff>330190</xdr:colOff>
      <xdr:row>5</xdr:row>
      <xdr:rowOff>68036</xdr:rowOff>
    </xdr:to>
    <xdr:sp macro="" textlink="">
      <xdr:nvSpPr>
        <xdr:cNvPr id="7" name="TextBox 6">
          <a:extLst>
            <a:ext uri="{FF2B5EF4-FFF2-40B4-BE49-F238E27FC236}">
              <a16:creationId xmlns:a16="http://schemas.microsoft.com/office/drawing/2014/main" id="{00000000-0008-0000-0100-000020000000}"/>
            </a:ext>
          </a:extLst>
        </xdr:cNvPr>
        <xdr:cNvSpPr txBox="1"/>
      </xdr:nvSpPr>
      <xdr:spPr>
        <a:xfrm>
          <a:off x="2762250" y="734786"/>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R</a:t>
          </a:r>
        </a:p>
        <a:p>
          <a:pPr algn="ctr"/>
          <a:r>
            <a:rPr lang="de-CH" sz="1050" b="0"/>
            <a:t>(U-R)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979712</xdr:colOff>
      <xdr:row>35</xdr:row>
      <xdr:rowOff>99787</xdr:rowOff>
    </xdr:from>
    <xdr:to>
      <xdr:col>5</xdr:col>
      <xdr:colOff>19957</xdr:colOff>
      <xdr:row>36</xdr:row>
      <xdr:rowOff>172359</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8354783" y="9284608"/>
          <a:ext cx="741138" cy="263072"/>
        </a:xfrm>
        <a:prstGeom prst="flowChartAlternateProcess">
          <a:avLst/>
        </a:prstGeom>
        <a:solidFill>
          <a:schemeClr val="bg1"/>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800">
              <a:solidFill>
                <a:schemeClr val="tx1"/>
              </a:solidFill>
            </a:rPr>
            <a:t>&gt; Database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155865</xdr:colOff>
      <xdr:row>4</xdr:row>
      <xdr:rowOff>155862</xdr:rowOff>
    </xdr:from>
    <xdr:to>
      <xdr:col>29</xdr:col>
      <xdr:colOff>346365</xdr:colOff>
      <xdr:row>29</xdr:row>
      <xdr:rowOff>-1</xdr:rowOff>
    </xdr:to>
    <xdr:sp macro="" textlink="">
      <xdr:nvSpPr>
        <xdr:cNvPr id="48" name="Right Brace 47">
          <a:extLst>
            <a:ext uri="{FF2B5EF4-FFF2-40B4-BE49-F238E27FC236}">
              <a16:creationId xmlns:a16="http://schemas.microsoft.com/office/drawing/2014/main" id="{00000000-0008-0000-0600-000030000000}"/>
            </a:ext>
          </a:extLst>
        </xdr:cNvPr>
        <xdr:cNvSpPr/>
      </xdr:nvSpPr>
      <xdr:spPr>
        <a:xfrm>
          <a:off x="27518592" y="1541317"/>
          <a:ext cx="190500" cy="4623955"/>
        </a:xfrm>
        <a:prstGeom prst="rightBrace">
          <a:avLst>
            <a:gd name="adj1" fmla="val 14536"/>
            <a:gd name="adj2" fmla="val 49485"/>
          </a:avLst>
        </a:prstGeom>
        <a:ln w="19050">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10</xdr:col>
      <xdr:colOff>571500</xdr:colOff>
      <xdr:row>7</xdr:row>
      <xdr:rowOff>18483</xdr:rowOff>
    </xdr:from>
    <xdr:to>
      <xdr:col>18</xdr:col>
      <xdr:colOff>272143</xdr:colOff>
      <xdr:row>7</xdr:row>
      <xdr:rowOff>18483</xdr:rowOff>
    </xdr:to>
    <xdr:cxnSp macro="">
      <xdr:nvCxnSpPr>
        <xdr:cNvPr id="102" name="Straight Arrow Connector 101">
          <a:extLst>
            <a:ext uri="{FF2B5EF4-FFF2-40B4-BE49-F238E27FC236}">
              <a16:creationId xmlns:a16="http://schemas.microsoft.com/office/drawing/2014/main" id="{00000000-0008-0000-0600-000017000000}"/>
            </a:ext>
          </a:extLst>
        </xdr:cNvPr>
        <xdr:cNvCxnSpPr/>
      </xdr:nvCxnSpPr>
      <xdr:spPr>
        <a:xfrm>
          <a:off x="15551727" y="1975438"/>
          <a:ext cx="4861461"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401731</xdr:colOff>
      <xdr:row>16</xdr:row>
      <xdr:rowOff>187435</xdr:rowOff>
    </xdr:from>
    <xdr:to>
      <xdr:col>22</xdr:col>
      <xdr:colOff>358588</xdr:colOff>
      <xdr:row>16</xdr:row>
      <xdr:rowOff>187435</xdr:rowOff>
    </xdr:to>
    <xdr:cxnSp macro="">
      <xdr:nvCxnSpPr>
        <xdr:cNvPr id="101" name="Straight Arrow Connector 100">
          <a:extLst>
            <a:ext uri="{FF2B5EF4-FFF2-40B4-BE49-F238E27FC236}">
              <a16:creationId xmlns:a16="http://schemas.microsoft.com/office/drawing/2014/main" id="{00000000-0008-0000-0600-000017000000}"/>
            </a:ext>
          </a:extLst>
        </xdr:cNvPr>
        <xdr:cNvCxnSpPr/>
      </xdr:nvCxnSpPr>
      <xdr:spPr>
        <a:xfrm>
          <a:off x="22541144" y="3873196"/>
          <a:ext cx="785118"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35369</xdr:colOff>
      <xdr:row>22</xdr:row>
      <xdr:rowOff>134471</xdr:rowOff>
    </xdr:from>
    <xdr:to>
      <xdr:col>23</xdr:col>
      <xdr:colOff>35369</xdr:colOff>
      <xdr:row>27</xdr:row>
      <xdr:rowOff>56030</xdr:rowOff>
    </xdr:to>
    <xdr:cxnSp macro="">
      <xdr:nvCxnSpPr>
        <xdr:cNvPr id="103" name="Straight Arrow Connector 102">
          <a:extLst>
            <a:ext uri="{FF2B5EF4-FFF2-40B4-BE49-F238E27FC236}">
              <a16:creationId xmlns:a16="http://schemas.microsoft.com/office/drawing/2014/main" id="{00000000-0008-0000-0600-000016000000}"/>
            </a:ext>
          </a:extLst>
        </xdr:cNvPr>
        <xdr:cNvCxnSpPr/>
      </xdr:nvCxnSpPr>
      <xdr:spPr>
        <a:xfrm>
          <a:off x="23679781" y="4964206"/>
          <a:ext cx="0" cy="874059"/>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44823</xdr:colOff>
      <xdr:row>27</xdr:row>
      <xdr:rowOff>40446</xdr:rowOff>
    </xdr:from>
    <xdr:to>
      <xdr:col>26</xdr:col>
      <xdr:colOff>13607</xdr:colOff>
      <xdr:row>27</xdr:row>
      <xdr:rowOff>40446</xdr:rowOff>
    </xdr:to>
    <xdr:cxnSp macro="">
      <xdr:nvCxnSpPr>
        <xdr:cNvPr id="104" name="Straight Arrow Connector 103">
          <a:extLst>
            <a:ext uri="{FF2B5EF4-FFF2-40B4-BE49-F238E27FC236}">
              <a16:creationId xmlns:a16="http://schemas.microsoft.com/office/drawing/2014/main" id="{00000000-0008-0000-0600-000017000000}"/>
            </a:ext>
          </a:extLst>
        </xdr:cNvPr>
        <xdr:cNvCxnSpPr/>
      </xdr:nvCxnSpPr>
      <xdr:spPr>
        <a:xfrm>
          <a:off x="23689235" y="5822681"/>
          <a:ext cx="1716901"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518108</xdr:colOff>
      <xdr:row>15</xdr:row>
      <xdr:rowOff>114259</xdr:rowOff>
    </xdr:from>
    <xdr:to>
      <xdr:col>23</xdr:col>
      <xdr:colOff>466165</xdr:colOff>
      <xdr:row>18</xdr:row>
      <xdr:rowOff>70170</xdr:rowOff>
    </xdr:to>
    <xdr:pic>
      <xdr:nvPicPr>
        <xdr:cNvPr id="105" name="Picture 10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23485782" y="3609520"/>
          <a:ext cx="527840" cy="527411"/>
        </a:xfrm>
        <a:prstGeom prst="rect">
          <a:avLst/>
        </a:prstGeom>
      </xdr:spPr>
    </xdr:pic>
    <xdr:clientData/>
  </xdr:twoCellAnchor>
  <xdr:twoCellAnchor>
    <xdr:from>
      <xdr:col>24</xdr:col>
      <xdr:colOff>373673</xdr:colOff>
      <xdr:row>20</xdr:row>
      <xdr:rowOff>20035</xdr:rowOff>
    </xdr:from>
    <xdr:to>
      <xdr:col>26</xdr:col>
      <xdr:colOff>16329</xdr:colOff>
      <xdr:row>20</xdr:row>
      <xdr:rowOff>20035</xdr:rowOff>
    </xdr:to>
    <xdr:cxnSp macro="">
      <xdr:nvCxnSpPr>
        <xdr:cNvPr id="108" name="Straight Arrow Connector 107">
          <a:extLst>
            <a:ext uri="{FF2B5EF4-FFF2-40B4-BE49-F238E27FC236}">
              <a16:creationId xmlns:a16="http://schemas.microsoft.com/office/drawing/2014/main" id="{00000000-0008-0000-0600-000017000000}"/>
            </a:ext>
          </a:extLst>
        </xdr:cNvPr>
        <xdr:cNvCxnSpPr/>
      </xdr:nvCxnSpPr>
      <xdr:spPr>
        <a:xfrm>
          <a:off x="24479250" y="4467477"/>
          <a:ext cx="800310"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608832</xdr:colOff>
      <xdr:row>15</xdr:row>
      <xdr:rowOff>26815</xdr:rowOff>
    </xdr:from>
    <xdr:to>
      <xdr:col>22</xdr:col>
      <xdr:colOff>58616</xdr:colOff>
      <xdr:row>16</xdr:row>
      <xdr:rowOff>113982</xdr:rowOff>
    </xdr:to>
    <xdr:pic>
      <xdr:nvPicPr>
        <xdr:cNvPr id="109" name="Picture 108"/>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val="0"/>
            </a:ext>
          </a:extLst>
        </a:blip>
        <a:stretch>
          <a:fillRect/>
        </a:stretch>
      </xdr:blipFill>
      <xdr:spPr>
        <a:xfrm>
          <a:off x="22728813" y="3521757"/>
          <a:ext cx="277726" cy="277667"/>
        </a:xfrm>
        <a:prstGeom prst="rect">
          <a:avLst/>
        </a:prstGeom>
      </xdr:spPr>
    </xdr:pic>
    <xdr:clientData/>
  </xdr:twoCellAnchor>
  <xdr:twoCellAnchor editAs="oneCell">
    <xdr:from>
      <xdr:col>27</xdr:col>
      <xdr:colOff>40822</xdr:colOff>
      <xdr:row>15</xdr:row>
      <xdr:rowOff>149677</xdr:rowOff>
    </xdr:from>
    <xdr:to>
      <xdr:col>27</xdr:col>
      <xdr:colOff>568234</xdr:colOff>
      <xdr:row>18</xdr:row>
      <xdr:rowOff>105589</xdr:rowOff>
    </xdr:to>
    <xdr:pic>
      <xdr:nvPicPr>
        <xdr:cNvPr id="110" name="Picture 10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084893" y="3646713"/>
          <a:ext cx="527412" cy="527412"/>
        </a:xfrm>
        <a:prstGeom prst="rect">
          <a:avLst/>
        </a:prstGeom>
      </xdr:spPr>
    </xdr:pic>
    <xdr:clientData/>
  </xdr:twoCellAnchor>
  <xdr:twoCellAnchor editAs="oneCell">
    <xdr:from>
      <xdr:col>27</xdr:col>
      <xdr:colOff>13606</xdr:colOff>
      <xdr:row>23</xdr:row>
      <xdr:rowOff>0</xdr:rowOff>
    </xdr:from>
    <xdr:to>
      <xdr:col>27</xdr:col>
      <xdr:colOff>513803</xdr:colOff>
      <xdr:row>25</xdr:row>
      <xdr:rowOff>119197</xdr:rowOff>
    </xdr:to>
    <xdr:pic>
      <xdr:nvPicPr>
        <xdr:cNvPr id="111" name="Picture 1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057677" y="5021036"/>
          <a:ext cx="500197" cy="500197"/>
        </a:xfrm>
        <a:prstGeom prst="rect">
          <a:avLst/>
        </a:prstGeom>
      </xdr:spPr>
    </xdr:pic>
    <xdr:clientData/>
  </xdr:twoCellAnchor>
  <xdr:twoCellAnchor editAs="oneCell">
    <xdr:from>
      <xdr:col>9</xdr:col>
      <xdr:colOff>389969</xdr:colOff>
      <xdr:row>23</xdr:row>
      <xdr:rowOff>12989</xdr:rowOff>
    </xdr:from>
    <xdr:to>
      <xdr:col>10</xdr:col>
      <xdr:colOff>219068</xdr:colOff>
      <xdr:row>26</xdr:row>
      <xdr:rowOff>52367</xdr:rowOff>
    </xdr:to>
    <xdr:pic>
      <xdr:nvPicPr>
        <xdr:cNvPr id="126" name="Picture 125"/>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tretch>
          <a:fillRect/>
        </a:stretch>
      </xdr:blipFill>
      <xdr:spPr>
        <a:xfrm>
          <a:off x="5672014" y="5017944"/>
          <a:ext cx="625736" cy="610878"/>
        </a:xfrm>
        <a:prstGeom prst="rect">
          <a:avLst/>
        </a:prstGeom>
      </xdr:spPr>
    </xdr:pic>
    <xdr:clientData/>
  </xdr:twoCellAnchor>
  <xdr:twoCellAnchor editAs="oneCell">
    <xdr:from>
      <xdr:col>18</xdr:col>
      <xdr:colOff>353785</xdr:colOff>
      <xdr:row>5</xdr:row>
      <xdr:rowOff>128050</xdr:rowOff>
    </xdr:from>
    <xdr:to>
      <xdr:col>19</xdr:col>
      <xdr:colOff>68036</xdr:colOff>
      <xdr:row>8</xdr:row>
      <xdr:rowOff>54582</xdr:rowOff>
    </xdr:to>
    <xdr:pic>
      <xdr:nvPicPr>
        <xdr:cNvPr id="149" name="Picture 14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397106" y="1706479"/>
          <a:ext cx="503465" cy="498032"/>
        </a:xfrm>
        <a:prstGeom prst="rect">
          <a:avLst/>
        </a:prstGeom>
      </xdr:spPr>
    </xdr:pic>
    <xdr:clientData/>
  </xdr:twoCellAnchor>
  <xdr:twoCellAnchor>
    <xdr:from>
      <xdr:col>19</xdr:col>
      <xdr:colOff>125185</xdr:colOff>
      <xdr:row>6</xdr:row>
      <xdr:rowOff>187213</xdr:rowOff>
    </xdr:from>
    <xdr:to>
      <xdr:col>20</xdr:col>
      <xdr:colOff>2721</xdr:colOff>
      <xdr:row>6</xdr:row>
      <xdr:rowOff>187213</xdr:rowOff>
    </xdr:to>
    <xdr:cxnSp macro="">
      <xdr:nvCxnSpPr>
        <xdr:cNvPr id="171" name="Straight Arrow Connector 170">
          <a:extLst>
            <a:ext uri="{FF2B5EF4-FFF2-40B4-BE49-F238E27FC236}">
              <a16:creationId xmlns:a16="http://schemas.microsoft.com/office/drawing/2014/main" id="{00000000-0008-0000-0600-000017000000}"/>
            </a:ext>
          </a:extLst>
        </xdr:cNvPr>
        <xdr:cNvCxnSpPr/>
      </xdr:nvCxnSpPr>
      <xdr:spPr>
        <a:xfrm>
          <a:off x="20957721" y="1956142"/>
          <a:ext cx="462643" cy="0"/>
        </a:xfrm>
        <a:prstGeom prst="straightConnector1">
          <a:avLst/>
        </a:prstGeom>
        <a:ln w="38100">
          <a:solidFill>
            <a:schemeClr val="accent6">
              <a:lumMod val="7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391556</xdr:colOff>
      <xdr:row>14</xdr:row>
      <xdr:rowOff>0</xdr:rowOff>
    </xdr:from>
    <xdr:to>
      <xdr:col>21</xdr:col>
      <xdr:colOff>391556</xdr:colOff>
      <xdr:row>17</xdr:row>
      <xdr:rowOff>17522</xdr:rowOff>
    </xdr:to>
    <xdr:cxnSp macro="">
      <xdr:nvCxnSpPr>
        <xdr:cNvPr id="180" name="Straight Arrow Connector 179">
          <a:extLst>
            <a:ext uri="{FF2B5EF4-FFF2-40B4-BE49-F238E27FC236}">
              <a16:creationId xmlns:a16="http://schemas.microsoft.com/office/drawing/2014/main" id="{00000000-0008-0000-0600-000016000000}"/>
            </a:ext>
          </a:extLst>
        </xdr:cNvPr>
        <xdr:cNvCxnSpPr/>
      </xdr:nvCxnSpPr>
      <xdr:spPr>
        <a:xfrm>
          <a:off x="22530969" y="3304761"/>
          <a:ext cx="0" cy="589022"/>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48760</xdr:colOff>
      <xdr:row>17</xdr:row>
      <xdr:rowOff>34636</xdr:rowOff>
    </xdr:from>
    <xdr:to>
      <xdr:col>9</xdr:col>
      <xdr:colOff>48760</xdr:colOff>
      <xdr:row>27</xdr:row>
      <xdr:rowOff>34636</xdr:rowOff>
    </xdr:to>
    <xdr:cxnSp macro="">
      <xdr:nvCxnSpPr>
        <xdr:cNvPr id="194" name="Straight Arrow Connector 193">
          <a:extLst>
            <a:ext uri="{FF2B5EF4-FFF2-40B4-BE49-F238E27FC236}">
              <a16:creationId xmlns:a16="http://schemas.microsoft.com/office/drawing/2014/main" id="{00000000-0008-0000-0600-000016000000}"/>
            </a:ext>
          </a:extLst>
        </xdr:cNvPr>
        <xdr:cNvCxnSpPr/>
      </xdr:nvCxnSpPr>
      <xdr:spPr>
        <a:xfrm>
          <a:off x="5330805" y="3896591"/>
          <a:ext cx="0" cy="1905000"/>
        </a:xfrm>
        <a:prstGeom prst="straightConnector1">
          <a:avLst/>
        </a:prstGeom>
        <a:ln w="38100">
          <a:solidFill>
            <a:schemeClr val="accent6">
              <a:lumMod val="7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259773</xdr:colOff>
      <xdr:row>18</xdr:row>
      <xdr:rowOff>27215</xdr:rowOff>
    </xdr:from>
    <xdr:to>
      <xdr:col>9</xdr:col>
      <xdr:colOff>716973</xdr:colOff>
      <xdr:row>20</xdr:row>
      <xdr:rowOff>103415</xdr:rowOff>
    </xdr:to>
    <xdr:pic>
      <xdr:nvPicPr>
        <xdr:cNvPr id="207" name="Picture 206"/>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5541818" y="4079670"/>
          <a:ext cx="457200" cy="457200"/>
        </a:xfrm>
        <a:prstGeom prst="rect">
          <a:avLst/>
        </a:prstGeom>
      </xdr:spPr>
    </xdr:pic>
    <xdr:clientData/>
  </xdr:twoCellAnchor>
  <xdr:twoCellAnchor>
    <xdr:from>
      <xdr:col>8</xdr:col>
      <xdr:colOff>462267</xdr:colOff>
      <xdr:row>32</xdr:row>
      <xdr:rowOff>177267</xdr:rowOff>
    </xdr:from>
    <xdr:to>
      <xdr:col>11</xdr:col>
      <xdr:colOff>415637</xdr:colOff>
      <xdr:row>46</xdr:row>
      <xdr:rowOff>89067</xdr:rowOff>
    </xdr:to>
    <xdr:grpSp>
      <xdr:nvGrpSpPr>
        <xdr:cNvPr id="245" name="Group 244"/>
        <xdr:cNvGrpSpPr/>
      </xdr:nvGrpSpPr>
      <xdr:grpSpPr>
        <a:xfrm rot="7200000">
          <a:off x="4887643" y="5981164"/>
          <a:ext cx="2497982" cy="2481824"/>
          <a:chOff x="14001750" y="11375572"/>
          <a:chExt cx="2578800" cy="2361834"/>
        </a:xfrm>
      </xdr:grpSpPr>
      <xdr:pic>
        <xdr:nvPicPr>
          <xdr:cNvPr id="233" name="Picture 232"/>
          <xdr:cNvPicPr>
            <a:picLocks noChangeAspect="1"/>
          </xdr:cNvPicPr>
        </xdr:nvPicPr>
        <xdr:blipFill>
          <a:blip xmlns:r="http://schemas.openxmlformats.org/officeDocument/2006/relationships" r:embed="rId8"/>
          <a:stretch>
            <a:fillRect/>
          </a:stretch>
        </xdr:blipFill>
        <xdr:spPr>
          <a:xfrm rot="20611499">
            <a:off x="16186901" y="12277347"/>
            <a:ext cx="393649" cy="521703"/>
          </a:xfrm>
          <a:prstGeom prst="rect">
            <a:avLst/>
          </a:prstGeom>
        </xdr:spPr>
      </xdr:pic>
      <xdr:pic>
        <xdr:nvPicPr>
          <xdr:cNvPr id="234" name="Picture 233"/>
          <xdr:cNvPicPr>
            <a:picLocks noChangeAspect="1"/>
          </xdr:cNvPicPr>
        </xdr:nvPicPr>
        <xdr:blipFill>
          <a:blip xmlns:r="http://schemas.openxmlformats.org/officeDocument/2006/relationships" r:embed="rId8"/>
          <a:stretch>
            <a:fillRect/>
          </a:stretch>
        </xdr:blipFill>
        <xdr:spPr>
          <a:xfrm rot="17223842">
            <a:off x="15712537" y="11409949"/>
            <a:ext cx="393649" cy="521703"/>
          </a:xfrm>
          <a:prstGeom prst="rect">
            <a:avLst/>
          </a:prstGeom>
        </xdr:spPr>
      </xdr:pic>
      <xdr:pic>
        <xdr:nvPicPr>
          <xdr:cNvPr id="235" name="Picture 234"/>
          <xdr:cNvPicPr>
            <a:picLocks noChangeAspect="1"/>
          </xdr:cNvPicPr>
        </xdr:nvPicPr>
        <xdr:blipFill>
          <a:blip xmlns:r="http://schemas.openxmlformats.org/officeDocument/2006/relationships" r:embed="rId8"/>
          <a:stretch>
            <a:fillRect/>
          </a:stretch>
        </xdr:blipFill>
        <xdr:spPr>
          <a:xfrm rot="9890820">
            <a:off x="14001750" y="12326324"/>
            <a:ext cx="393649" cy="521703"/>
          </a:xfrm>
          <a:prstGeom prst="rect">
            <a:avLst/>
          </a:prstGeom>
        </xdr:spPr>
      </xdr:pic>
      <xdr:pic>
        <xdr:nvPicPr>
          <xdr:cNvPr id="236" name="Picture 235"/>
          <xdr:cNvPicPr>
            <a:picLocks noChangeAspect="1"/>
          </xdr:cNvPicPr>
        </xdr:nvPicPr>
        <xdr:blipFill>
          <a:blip xmlns:r="http://schemas.openxmlformats.org/officeDocument/2006/relationships" r:embed="rId8"/>
          <a:stretch>
            <a:fillRect/>
          </a:stretch>
        </xdr:blipFill>
        <xdr:spPr>
          <a:xfrm rot="6033419">
            <a:off x="14555415" y="13170989"/>
            <a:ext cx="393649" cy="521703"/>
          </a:xfrm>
          <a:prstGeom prst="rect">
            <a:avLst/>
          </a:prstGeom>
        </xdr:spPr>
      </xdr:pic>
      <xdr:pic>
        <xdr:nvPicPr>
          <xdr:cNvPr id="237" name="Picture 236"/>
          <xdr:cNvPicPr>
            <a:picLocks noChangeAspect="1"/>
          </xdr:cNvPicPr>
        </xdr:nvPicPr>
        <xdr:blipFill>
          <a:blip xmlns:r="http://schemas.openxmlformats.org/officeDocument/2006/relationships" r:embed="rId8"/>
          <a:stretch>
            <a:fillRect/>
          </a:stretch>
        </xdr:blipFill>
        <xdr:spPr>
          <a:xfrm rot="2909305">
            <a:off x="15655862" y="13158312"/>
            <a:ext cx="393649" cy="521703"/>
          </a:xfrm>
          <a:prstGeom prst="rect">
            <a:avLst/>
          </a:prstGeom>
        </xdr:spPr>
      </xdr:pic>
      <xdr:pic>
        <xdr:nvPicPr>
          <xdr:cNvPr id="238" name="Picture 237"/>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val="0"/>
              </a:ext>
            </a:extLst>
          </a:blip>
          <a:stretch>
            <a:fillRect/>
          </a:stretch>
        </xdr:blipFill>
        <xdr:spPr>
          <a:xfrm>
            <a:off x="15036519" y="13280206"/>
            <a:ext cx="457200" cy="457200"/>
          </a:xfrm>
          <a:prstGeom prst="rect">
            <a:avLst/>
          </a:prstGeom>
        </xdr:spPr>
      </xdr:pic>
      <xdr:pic>
        <xdr:nvPicPr>
          <xdr:cNvPr id="239" name="Picture 238"/>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val="0"/>
              </a:ext>
            </a:extLst>
          </a:blip>
          <a:stretch>
            <a:fillRect/>
          </a:stretch>
        </xdr:blipFill>
        <xdr:spPr>
          <a:xfrm>
            <a:off x="16019319" y="12833635"/>
            <a:ext cx="458863" cy="457200"/>
          </a:xfrm>
          <a:prstGeom prst="rect">
            <a:avLst/>
          </a:prstGeom>
        </xdr:spPr>
      </xdr:pic>
      <xdr:pic>
        <xdr:nvPicPr>
          <xdr:cNvPr id="240" name="Picture 239"/>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val="0"/>
              </a:ext>
            </a:extLst>
          </a:blip>
          <a:stretch>
            <a:fillRect/>
          </a:stretch>
        </xdr:blipFill>
        <xdr:spPr>
          <a:xfrm>
            <a:off x="14084707" y="12833635"/>
            <a:ext cx="462188" cy="457200"/>
          </a:xfrm>
          <a:prstGeom prst="rect">
            <a:avLst/>
          </a:prstGeom>
        </xdr:spPr>
      </xdr:pic>
      <xdr:pic>
        <xdr:nvPicPr>
          <xdr:cNvPr id="241" name="Picture 240"/>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val="0"/>
              </a:ext>
            </a:extLst>
          </a:blip>
          <a:stretch>
            <a:fillRect/>
          </a:stretch>
        </xdr:blipFill>
        <xdr:spPr>
          <a:xfrm>
            <a:off x="14084974" y="11831215"/>
            <a:ext cx="462188" cy="457200"/>
          </a:xfrm>
          <a:prstGeom prst="rect">
            <a:avLst/>
          </a:prstGeom>
        </xdr:spPr>
      </xdr:pic>
      <xdr:pic>
        <xdr:nvPicPr>
          <xdr:cNvPr id="242" name="Picture 241"/>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val="0"/>
              </a:ext>
            </a:extLst>
          </a:blip>
          <a:stretch>
            <a:fillRect/>
          </a:stretch>
        </xdr:blipFill>
        <xdr:spPr>
          <a:xfrm>
            <a:off x="15103667" y="11375572"/>
            <a:ext cx="462188" cy="457200"/>
          </a:xfrm>
          <a:prstGeom prst="rect">
            <a:avLst/>
          </a:prstGeom>
        </xdr:spPr>
      </xdr:pic>
      <xdr:pic>
        <xdr:nvPicPr>
          <xdr:cNvPr id="243" name="Picture 242"/>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val="0"/>
              </a:ext>
            </a:extLst>
          </a:blip>
          <a:stretch>
            <a:fillRect/>
          </a:stretch>
        </xdr:blipFill>
        <xdr:spPr>
          <a:xfrm>
            <a:off x="16019319" y="11884138"/>
            <a:ext cx="462188" cy="457200"/>
          </a:xfrm>
          <a:prstGeom prst="rect">
            <a:avLst/>
          </a:prstGeom>
        </xdr:spPr>
      </xdr:pic>
      <xdr:pic>
        <xdr:nvPicPr>
          <xdr:cNvPr id="244" name="Picture 243"/>
          <xdr:cNvPicPr>
            <a:picLocks noChangeAspect="1"/>
          </xdr:cNvPicPr>
        </xdr:nvPicPr>
        <xdr:blipFill>
          <a:blip xmlns:r="http://schemas.openxmlformats.org/officeDocument/2006/relationships" r:embed="rId8"/>
          <a:stretch>
            <a:fillRect/>
          </a:stretch>
        </xdr:blipFill>
        <xdr:spPr>
          <a:xfrm rot="13242932">
            <a:off x="14501514" y="11454001"/>
            <a:ext cx="393649" cy="521703"/>
          </a:xfrm>
          <a:prstGeom prst="rect">
            <a:avLst/>
          </a:prstGeom>
        </xdr:spPr>
      </xdr:pic>
    </xdr:grpSp>
    <xdr:clientData/>
  </xdr:twoCellAnchor>
  <xdr:twoCellAnchor>
    <xdr:from>
      <xdr:col>11</xdr:col>
      <xdr:colOff>557740</xdr:colOff>
      <xdr:row>33</xdr:row>
      <xdr:rowOff>87350</xdr:rowOff>
    </xdr:from>
    <xdr:to>
      <xdr:col>11</xdr:col>
      <xdr:colOff>780917</xdr:colOff>
      <xdr:row>46</xdr:row>
      <xdr:rowOff>30202</xdr:rowOff>
    </xdr:to>
    <xdr:sp macro="" textlink="">
      <xdr:nvSpPr>
        <xdr:cNvPr id="250" name="Right Brace 249">
          <a:extLst>
            <a:ext uri="{FF2B5EF4-FFF2-40B4-BE49-F238E27FC236}">
              <a16:creationId xmlns:a16="http://schemas.microsoft.com/office/drawing/2014/main" id="{00000000-0008-0000-0600-000030000000}"/>
            </a:ext>
          </a:extLst>
        </xdr:cNvPr>
        <xdr:cNvSpPr/>
      </xdr:nvSpPr>
      <xdr:spPr>
        <a:xfrm>
          <a:off x="16069883" y="10197457"/>
          <a:ext cx="223177" cy="2419352"/>
        </a:xfrm>
        <a:prstGeom prst="rightBrace">
          <a:avLst>
            <a:gd name="adj1" fmla="val 31191"/>
            <a:gd name="adj2" fmla="val 47948"/>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8</xdr:col>
      <xdr:colOff>160835</xdr:colOff>
      <xdr:row>33</xdr:row>
      <xdr:rowOff>140605</xdr:rowOff>
    </xdr:from>
    <xdr:to>
      <xdr:col>8</xdr:col>
      <xdr:colOff>384012</xdr:colOff>
      <xdr:row>46</xdr:row>
      <xdr:rowOff>83457</xdr:rowOff>
    </xdr:to>
    <xdr:sp macro="" textlink="">
      <xdr:nvSpPr>
        <xdr:cNvPr id="251" name="Right Brace 250">
          <a:extLst>
            <a:ext uri="{FF2B5EF4-FFF2-40B4-BE49-F238E27FC236}">
              <a16:creationId xmlns:a16="http://schemas.microsoft.com/office/drawing/2014/main" id="{00000000-0008-0000-0600-000030000000}"/>
            </a:ext>
          </a:extLst>
        </xdr:cNvPr>
        <xdr:cNvSpPr/>
      </xdr:nvSpPr>
      <xdr:spPr>
        <a:xfrm flipH="1">
          <a:off x="13264514" y="10250712"/>
          <a:ext cx="223177" cy="2419352"/>
        </a:xfrm>
        <a:prstGeom prst="rightBrace">
          <a:avLst>
            <a:gd name="adj1" fmla="val 31191"/>
            <a:gd name="adj2" fmla="val 47948"/>
          </a:avLst>
        </a:prstGeom>
        <a:ln w="1905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twoCellAnchor>
    <xdr:from>
      <xdr:col>9</xdr:col>
      <xdr:colOff>734786</xdr:colOff>
      <xdr:row>30</xdr:row>
      <xdr:rowOff>27214</xdr:rowOff>
    </xdr:from>
    <xdr:to>
      <xdr:col>9</xdr:col>
      <xdr:colOff>734786</xdr:colOff>
      <xdr:row>32</xdr:row>
      <xdr:rowOff>27214</xdr:rowOff>
    </xdr:to>
    <xdr:cxnSp macro="">
      <xdr:nvCxnSpPr>
        <xdr:cNvPr id="253" name="Straight Arrow Connector 252">
          <a:extLst>
            <a:ext uri="{FF2B5EF4-FFF2-40B4-BE49-F238E27FC236}">
              <a16:creationId xmlns:a16="http://schemas.microsoft.com/office/drawing/2014/main" id="{00000000-0008-0000-0600-00000C000000}"/>
            </a:ext>
          </a:extLst>
        </xdr:cNvPr>
        <xdr:cNvCxnSpPr/>
      </xdr:nvCxnSpPr>
      <xdr:spPr>
        <a:xfrm>
          <a:off x="14872607" y="9565821"/>
          <a:ext cx="0" cy="38100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615044</xdr:colOff>
      <xdr:row>30</xdr:row>
      <xdr:rowOff>16329</xdr:rowOff>
    </xdr:from>
    <xdr:to>
      <xdr:col>9</xdr:col>
      <xdr:colOff>615044</xdr:colOff>
      <xdr:row>32</xdr:row>
      <xdr:rowOff>16329</xdr:rowOff>
    </xdr:to>
    <xdr:cxnSp macro="">
      <xdr:nvCxnSpPr>
        <xdr:cNvPr id="256" name="Straight Arrow Connector 255">
          <a:extLst>
            <a:ext uri="{FF2B5EF4-FFF2-40B4-BE49-F238E27FC236}">
              <a16:creationId xmlns:a16="http://schemas.microsoft.com/office/drawing/2014/main" id="{00000000-0008-0000-0600-00000C000000}"/>
            </a:ext>
          </a:extLst>
        </xdr:cNvPr>
        <xdr:cNvCxnSpPr/>
      </xdr:nvCxnSpPr>
      <xdr:spPr>
        <a:xfrm>
          <a:off x="14752865" y="9554936"/>
          <a:ext cx="0" cy="381000"/>
        </a:xfrm>
        <a:prstGeom prst="straightConnector1">
          <a:avLst/>
        </a:prstGeom>
        <a:ln w="38100">
          <a:solidFill>
            <a:schemeClr val="accent6">
              <a:lumMod val="7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27</xdr:col>
      <xdr:colOff>68036</xdr:colOff>
      <xdr:row>7</xdr:row>
      <xdr:rowOff>122465</xdr:rowOff>
    </xdr:from>
    <xdr:to>
      <xdr:col>27</xdr:col>
      <xdr:colOff>568234</xdr:colOff>
      <xdr:row>10</xdr:row>
      <xdr:rowOff>54874</xdr:rowOff>
    </xdr:to>
    <xdr:pic>
      <xdr:nvPicPr>
        <xdr:cNvPr id="66" name="Picture 6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112107" y="2081894"/>
          <a:ext cx="500198" cy="500198"/>
        </a:xfrm>
        <a:prstGeom prst="rect">
          <a:avLst/>
        </a:prstGeom>
      </xdr:spPr>
    </xdr:pic>
    <xdr:clientData/>
  </xdr:twoCellAnchor>
  <xdr:twoCellAnchor>
    <xdr:from>
      <xdr:col>21</xdr:col>
      <xdr:colOff>819978</xdr:colOff>
      <xdr:row>11</xdr:row>
      <xdr:rowOff>179239</xdr:rowOff>
    </xdr:from>
    <xdr:to>
      <xdr:col>26</xdr:col>
      <xdr:colOff>16329</xdr:colOff>
      <xdr:row>11</xdr:row>
      <xdr:rowOff>179239</xdr:rowOff>
    </xdr:to>
    <xdr:cxnSp macro="">
      <xdr:nvCxnSpPr>
        <xdr:cNvPr id="71" name="Straight Arrow Connector 70">
          <a:extLst>
            <a:ext uri="{FF2B5EF4-FFF2-40B4-BE49-F238E27FC236}">
              <a16:creationId xmlns:a16="http://schemas.microsoft.com/office/drawing/2014/main" id="{00000000-0008-0000-0600-000017000000}"/>
            </a:ext>
          </a:extLst>
        </xdr:cNvPr>
        <xdr:cNvCxnSpPr/>
      </xdr:nvCxnSpPr>
      <xdr:spPr>
        <a:xfrm>
          <a:off x="22959391" y="2912500"/>
          <a:ext cx="2343742" cy="0"/>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367393</xdr:colOff>
      <xdr:row>9</xdr:row>
      <xdr:rowOff>0</xdr:rowOff>
    </xdr:from>
    <xdr:to>
      <xdr:col>21</xdr:col>
      <xdr:colOff>372717</xdr:colOff>
      <xdr:row>10</xdr:row>
      <xdr:rowOff>49696</xdr:rowOff>
    </xdr:to>
    <xdr:cxnSp macro="">
      <xdr:nvCxnSpPr>
        <xdr:cNvPr id="88" name="Straight Arrow Connector 87">
          <a:extLst>
            <a:ext uri="{FF2B5EF4-FFF2-40B4-BE49-F238E27FC236}">
              <a16:creationId xmlns:a16="http://schemas.microsoft.com/office/drawing/2014/main" id="{00000000-0008-0000-0600-00000C000000}"/>
            </a:ext>
          </a:extLst>
        </xdr:cNvPr>
        <xdr:cNvCxnSpPr/>
      </xdr:nvCxnSpPr>
      <xdr:spPr>
        <a:xfrm>
          <a:off x="22506806" y="2343978"/>
          <a:ext cx="5324" cy="248479"/>
        </a:xfrm>
        <a:prstGeom prst="straightConnector1">
          <a:avLst/>
        </a:prstGeom>
        <a:ln w="38100">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104671</xdr:colOff>
      <xdr:row>6</xdr:row>
      <xdr:rowOff>146537</xdr:rowOff>
    </xdr:from>
    <xdr:to>
      <xdr:col>23</xdr:col>
      <xdr:colOff>454270</xdr:colOff>
      <xdr:row>8</xdr:row>
      <xdr:rowOff>131327</xdr:rowOff>
    </xdr:to>
    <xdr:pic>
      <xdr:nvPicPr>
        <xdr:cNvPr id="98" name="Picture 97"/>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val="0"/>
            </a:ext>
          </a:extLst>
        </a:blip>
        <a:stretch>
          <a:fillRect/>
        </a:stretch>
      </xdr:blipFill>
      <xdr:spPr>
        <a:xfrm>
          <a:off x="23631421" y="1919652"/>
          <a:ext cx="349599" cy="365790"/>
        </a:xfrm>
        <a:prstGeom prst="rect">
          <a:avLst/>
        </a:prstGeom>
      </xdr:spPr>
    </xdr:pic>
    <xdr:clientData/>
  </xdr:twoCellAnchor>
  <xdr:twoCellAnchor>
    <xdr:from>
      <xdr:col>23</xdr:col>
      <xdr:colOff>212322</xdr:colOff>
      <xdr:row>19</xdr:row>
      <xdr:rowOff>183029</xdr:rowOff>
    </xdr:from>
    <xdr:to>
      <xdr:col>24</xdr:col>
      <xdr:colOff>92542</xdr:colOff>
      <xdr:row>22</xdr:row>
      <xdr:rowOff>112059</xdr:rowOff>
    </xdr:to>
    <xdr:pic>
      <xdr:nvPicPr>
        <xdr:cNvPr id="179" name="Picture 178">
          <a:extLst>
            <a:ext uri="{FF2B5EF4-FFF2-40B4-BE49-F238E27FC236}">
              <a16:creationId xmlns:a16="http://schemas.microsoft.com/office/drawing/2014/main" id="{0CEAC210-D0F0-42B2-86A6-63C657034019}"/>
            </a:ext>
          </a:extLst>
        </xdr:cNvPr>
        <xdr:cNvPicPr>
          <a:picLocks noChangeAspect="1"/>
        </xdr:cNvPicPr>
      </xdr:nvPicPr>
      <xdr:blipFill rotWithShape="1">
        <a:blip xmlns:r="http://schemas.openxmlformats.org/officeDocument/2006/relationships" r:embed="rId16" cstate="hqprint">
          <a:extLst>
            <a:ext uri="{28A0092B-C50C-407E-A947-70E740481C1C}">
              <a14:useLocalDpi xmlns:a14="http://schemas.microsoft.com/office/drawing/2010/main" val="0"/>
            </a:ext>
          </a:extLst>
        </a:blip>
        <a:srcRect l="11368" t="10180" r="13055" b="14243"/>
        <a:stretch/>
      </xdr:blipFill>
      <xdr:spPr>
        <a:xfrm>
          <a:off x="23856734" y="4441264"/>
          <a:ext cx="462926" cy="500530"/>
        </a:xfrm>
        <a:prstGeom prst="rect">
          <a:avLst/>
        </a:prstGeom>
      </xdr:spPr>
    </xdr:pic>
    <xdr:clientData/>
  </xdr:twoCellAnchor>
  <xdr:twoCellAnchor>
    <xdr:from>
      <xdr:col>22</xdr:col>
      <xdr:colOff>378198</xdr:colOff>
      <xdr:row>19</xdr:row>
      <xdr:rowOff>183029</xdr:rowOff>
    </xdr:from>
    <xdr:to>
      <xdr:col>23</xdr:col>
      <xdr:colOff>258417</xdr:colOff>
      <xdr:row>22</xdr:row>
      <xdr:rowOff>112059</xdr:rowOff>
    </xdr:to>
    <xdr:pic>
      <xdr:nvPicPr>
        <xdr:cNvPr id="181" name="Picture 180">
          <a:extLst>
            <a:ext uri="{FF2B5EF4-FFF2-40B4-BE49-F238E27FC236}">
              <a16:creationId xmlns:a16="http://schemas.microsoft.com/office/drawing/2014/main" id="{8D1EDCA2-6265-435D-BBFD-5E72032DFB94}"/>
            </a:ext>
          </a:extLst>
        </xdr:cNvPr>
        <xdr:cNvPicPr>
          <a:picLocks noChangeAspect="1"/>
        </xdr:cNvPicPr>
      </xdr:nvPicPr>
      <xdr:blipFill rotWithShape="1">
        <a:blip xmlns:r="http://schemas.openxmlformats.org/officeDocument/2006/relationships" r:embed="rId17" cstate="hqprint">
          <a:extLst>
            <a:ext uri="{28A0092B-C50C-407E-A947-70E740481C1C}">
              <a14:useLocalDpi xmlns:a14="http://schemas.microsoft.com/office/drawing/2010/main" val="0"/>
            </a:ext>
          </a:extLst>
        </a:blip>
        <a:srcRect l="10531" t="11551" r="13894" b="12872"/>
        <a:stretch/>
      </xdr:blipFill>
      <xdr:spPr>
        <a:xfrm>
          <a:off x="23439904" y="4441264"/>
          <a:ext cx="462925" cy="500530"/>
        </a:xfrm>
        <a:prstGeom prst="rect">
          <a:avLst/>
        </a:prstGeom>
      </xdr:spPr>
    </xdr:pic>
    <xdr:clientData/>
  </xdr:twoCellAnchor>
  <xdr:twoCellAnchor>
    <xdr:from>
      <xdr:col>23</xdr:col>
      <xdr:colOff>445504</xdr:colOff>
      <xdr:row>22</xdr:row>
      <xdr:rowOff>141195</xdr:rowOff>
    </xdr:from>
    <xdr:to>
      <xdr:col>23</xdr:col>
      <xdr:colOff>445504</xdr:colOff>
      <xdr:row>23</xdr:row>
      <xdr:rowOff>100853</xdr:rowOff>
    </xdr:to>
    <xdr:cxnSp macro="">
      <xdr:nvCxnSpPr>
        <xdr:cNvPr id="182" name="Straight Arrow Connector 181">
          <a:extLst>
            <a:ext uri="{FF2B5EF4-FFF2-40B4-BE49-F238E27FC236}">
              <a16:creationId xmlns:a16="http://schemas.microsoft.com/office/drawing/2014/main" id="{00000000-0008-0000-0600-000016000000}"/>
            </a:ext>
          </a:extLst>
        </xdr:cNvPr>
        <xdr:cNvCxnSpPr/>
      </xdr:nvCxnSpPr>
      <xdr:spPr>
        <a:xfrm>
          <a:off x="24089916" y="4970930"/>
          <a:ext cx="0" cy="150158"/>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433705</xdr:colOff>
      <xdr:row>23</xdr:row>
      <xdr:rowOff>84117</xdr:rowOff>
    </xdr:from>
    <xdr:to>
      <xdr:col>24</xdr:col>
      <xdr:colOff>399533</xdr:colOff>
      <xdr:row>23</xdr:row>
      <xdr:rowOff>84117</xdr:rowOff>
    </xdr:to>
    <xdr:cxnSp macro="">
      <xdr:nvCxnSpPr>
        <xdr:cNvPr id="183" name="Straight Arrow Connector 182">
          <a:extLst>
            <a:ext uri="{FF2B5EF4-FFF2-40B4-BE49-F238E27FC236}">
              <a16:creationId xmlns:a16="http://schemas.microsoft.com/office/drawing/2014/main" id="{00000000-0008-0000-0600-000017000000}"/>
            </a:ext>
          </a:extLst>
        </xdr:cNvPr>
        <xdr:cNvCxnSpPr/>
      </xdr:nvCxnSpPr>
      <xdr:spPr>
        <a:xfrm>
          <a:off x="23960455" y="5103059"/>
          <a:ext cx="544655"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387074</xdr:colOff>
      <xdr:row>20</xdr:row>
      <xdr:rowOff>33618</xdr:rowOff>
    </xdr:from>
    <xdr:to>
      <xdr:col>24</xdr:col>
      <xdr:colOff>387074</xdr:colOff>
      <xdr:row>23</xdr:row>
      <xdr:rowOff>96371</xdr:rowOff>
    </xdr:to>
    <xdr:cxnSp macro="">
      <xdr:nvCxnSpPr>
        <xdr:cNvPr id="184" name="Straight Arrow Connector 183">
          <a:extLst>
            <a:ext uri="{FF2B5EF4-FFF2-40B4-BE49-F238E27FC236}">
              <a16:creationId xmlns:a16="http://schemas.microsoft.com/office/drawing/2014/main" id="{00000000-0008-0000-0600-000016000000}"/>
            </a:ext>
          </a:extLst>
        </xdr:cNvPr>
        <xdr:cNvCxnSpPr/>
      </xdr:nvCxnSpPr>
      <xdr:spPr>
        <a:xfrm>
          <a:off x="24614192" y="4482353"/>
          <a:ext cx="0" cy="634253"/>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47019</xdr:colOff>
      <xdr:row>19</xdr:row>
      <xdr:rowOff>20258</xdr:rowOff>
    </xdr:from>
    <xdr:to>
      <xdr:col>23</xdr:col>
      <xdr:colOff>47019</xdr:colOff>
      <xdr:row>19</xdr:row>
      <xdr:rowOff>146539</xdr:rowOff>
    </xdr:to>
    <xdr:cxnSp macro="">
      <xdr:nvCxnSpPr>
        <xdr:cNvPr id="185" name="Straight Arrow Connector 184">
          <a:extLst>
            <a:ext uri="{FF2B5EF4-FFF2-40B4-BE49-F238E27FC236}">
              <a16:creationId xmlns:a16="http://schemas.microsoft.com/office/drawing/2014/main" id="{00000000-0008-0000-0600-000016000000}"/>
            </a:ext>
          </a:extLst>
        </xdr:cNvPr>
        <xdr:cNvCxnSpPr/>
      </xdr:nvCxnSpPr>
      <xdr:spPr>
        <a:xfrm>
          <a:off x="23573769" y="4277200"/>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31155</xdr:colOff>
      <xdr:row>19</xdr:row>
      <xdr:rowOff>26795</xdr:rowOff>
    </xdr:from>
    <xdr:to>
      <xdr:col>23</xdr:col>
      <xdr:colOff>461596</xdr:colOff>
      <xdr:row>19</xdr:row>
      <xdr:rowOff>26795</xdr:rowOff>
    </xdr:to>
    <xdr:cxnSp macro="">
      <xdr:nvCxnSpPr>
        <xdr:cNvPr id="187" name="Straight Arrow Connector 186">
          <a:extLst>
            <a:ext uri="{FF2B5EF4-FFF2-40B4-BE49-F238E27FC236}">
              <a16:creationId xmlns:a16="http://schemas.microsoft.com/office/drawing/2014/main" id="{00000000-0008-0000-0600-000017000000}"/>
            </a:ext>
          </a:extLst>
        </xdr:cNvPr>
        <xdr:cNvCxnSpPr/>
      </xdr:nvCxnSpPr>
      <xdr:spPr>
        <a:xfrm>
          <a:off x="23557905" y="4283737"/>
          <a:ext cx="430441" cy="0"/>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463188</xdr:colOff>
      <xdr:row>19</xdr:row>
      <xdr:rowOff>11466</xdr:rowOff>
    </xdr:from>
    <xdr:to>
      <xdr:col>23</xdr:col>
      <xdr:colOff>463188</xdr:colOff>
      <xdr:row>19</xdr:row>
      <xdr:rowOff>137747</xdr:rowOff>
    </xdr:to>
    <xdr:cxnSp macro="">
      <xdr:nvCxnSpPr>
        <xdr:cNvPr id="189" name="Straight Arrow Connector 188">
          <a:extLst>
            <a:ext uri="{FF2B5EF4-FFF2-40B4-BE49-F238E27FC236}">
              <a16:creationId xmlns:a16="http://schemas.microsoft.com/office/drawing/2014/main" id="{00000000-0008-0000-0600-000016000000}"/>
            </a:ext>
          </a:extLst>
        </xdr:cNvPr>
        <xdr:cNvCxnSpPr/>
      </xdr:nvCxnSpPr>
      <xdr:spPr>
        <a:xfrm>
          <a:off x="23989938" y="4268408"/>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256569</xdr:colOff>
      <xdr:row>18</xdr:row>
      <xdr:rowOff>105251</xdr:rowOff>
    </xdr:from>
    <xdr:to>
      <xdr:col>23</xdr:col>
      <xdr:colOff>256569</xdr:colOff>
      <xdr:row>19</xdr:row>
      <xdr:rowOff>41032</xdr:rowOff>
    </xdr:to>
    <xdr:cxnSp macro="">
      <xdr:nvCxnSpPr>
        <xdr:cNvPr id="190" name="Straight Arrow Connector 189">
          <a:extLst>
            <a:ext uri="{FF2B5EF4-FFF2-40B4-BE49-F238E27FC236}">
              <a16:creationId xmlns:a16="http://schemas.microsoft.com/office/drawing/2014/main" id="{00000000-0008-0000-0600-000016000000}"/>
            </a:ext>
          </a:extLst>
        </xdr:cNvPr>
        <xdr:cNvCxnSpPr/>
      </xdr:nvCxnSpPr>
      <xdr:spPr>
        <a:xfrm>
          <a:off x="23783319" y="4171693"/>
          <a:ext cx="0" cy="126281"/>
        </a:xfrm>
        <a:prstGeom prst="straightConnector1">
          <a:avLst/>
        </a:prstGeom>
        <a:ln w="38100">
          <a:solidFill>
            <a:schemeClr val="accent6">
              <a:lumMod val="75000"/>
            </a:schemeClr>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65075</xdr:colOff>
      <xdr:row>9</xdr:row>
      <xdr:rowOff>197008</xdr:rowOff>
    </xdr:from>
    <xdr:to>
      <xdr:col>21</xdr:col>
      <xdr:colOff>753716</xdr:colOff>
      <xdr:row>13</xdr:row>
      <xdr:rowOff>174074</xdr:rowOff>
    </xdr:to>
    <xdr:pic>
      <xdr:nvPicPr>
        <xdr:cNvPr id="193" name="Picture 192">
          <a:extLst>
            <a:ext uri="{FF2B5EF4-FFF2-40B4-BE49-F238E27FC236}">
              <a16:creationId xmlns:a16="http://schemas.microsoft.com/office/drawing/2014/main" id="{823A0C24-9465-4D17-BCA3-495A7F18DB9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val="0"/>
            </a:ext>
          </a:extLst>
        </a:blip>
        <a:srcRect l="17041" t="15588" r="17401" b="18821"/>
        <a:stretch/>
      </xdr:blipFill>
      <xdr:spPr>
        <a:xfrm>
          <a:off x="22204488" y="2540986"/>
          <a:ext cx="688641" cy="747349"/>
        </a:xfrm>
        <a:prstGeom prst="rect">
          <a:avLst/>
        </a:prstGeom>
      </xdr:spPr>
    </xdr:pic>
    <xdr:clientData/>
  </xdr:twoCellAnchor>
  <xdr:twoCellAnchor>
    <xdr:from>
      <xdr:col>7</xdr:col>
      <xdr:colOff>86591</xdr:colOff>
      <xdr:row>3</xdr:row>
      <xdr:rowOff>155863</xdr:rowOff>
    </xdr:from>
    <xdr:to>
      <xdr:col>8</xdr:col>
      <xdr:colOff>692728</xdr:colOff>
      <xdr:row>10</xdr:row>
      <xdr:rowOff>17318</xdr:rowOff>
    </xdr:to>
    <xdr:sp macro="" textlink="">
      <xdr:nvSpPr>
        <xdr:cNvPr id="6" name="Oval 5"/>
        <xdr:cNvSpPr/>
      </xdr:nvSpPr>
      <xdr:spPr>
        <a:xfrm>
          <a:off x="3758046" y="1350818"/>
          <a:ext cx="1194955" cy="1194955"/>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Decentral</a:t>
          </a:r>
          <a:r>
            <a:rPr lang="en-GB" sz="1100" baseline="0">
              <a:solidFill>
                <a:sysClr val="windowText" lastClr="000000"/>
              </a:solidFill>
            </a:rPr>
            <a:t> plant</a:t>
          </a:r>
          <a:r>
            <a:rPr lang="en-GB" sz="1100">
              <a:solidFill>
                <a:sysClr val="windowText" lastClr="000000"/>
              </a:solidFill>
            </a:rPr>
            <a:t> 01</a:t>
          </a:r>
        </a:p>
      </xdr:txBody>
    </xdr:sp>
    <xdr:clientData/>
  </xdr:twoCellAnchor>
  <xdr:twoCellAnchor>
    <xdr:from>
      <xdr:col>14</xdr:col>
      <xdr:colOff>181332</xdr:colOff>
      <xdr:row>7</xdr:row>
      <xdr:rowOff>122733</xdr:rowOff>
    </xdr:from>
    <xdr:to>
      <xdr:col>15</xdr:col>
      <xdr:colOff>14263</xdr:colOff>
      <xdr:row>9</xdr:row>
      <xdr:rowOff>171652</xdr:rowOff>
    </xdr:to>
    <xdr:pic>
      <xdr:nvPicPr>
        <xdr:cNvPr id="81" name="Picture 80"/>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val="0"/>
            </a:ext>
          </a:extLst>
        </a:blip>
        <a:stretch>
          <a:fillRect/>
        </a:stretch>
      </xdr:blipFill>
      <xdr:spPr>
        <a:xfrm>
          <a:off x="8888303" y="1321762"/>
          <a:ext cx="415636" cy="429919"/>
        </a:xfrm>
        <a:prstGeom prst="rect">
          <a:avLst/>
        </a:prstGeom>
      </xdr:spPr>
    </xdr:pic>
    <xdr:clientData/>
  </xdr:twoCellAnchor>
  <xdr:twoCellAnchor>
    <xdr:from>
      <xdr:col>8</xdr:col>
      <xdr:colOff>931719</xdr:colOff>
      <xdr:row>2</xdr:row>
      <xdr:rowOff>152400</xdr:rowOff>
    </xdr:from>
    <xdr:to>
      <xdr:col>10</xdr:col>
      <xdr:colOff>308265</xdr:colOff>
      <xdr:row>9</xdr:row>
      <xdr:rowOff>13855</xdr:rowOff>
    </xdr:to>
    <xdr:sp macro="" textlink="">
      <xdr:nvSpPr>
        <xdr:cNvPr id="83" name="Oval 82"/>
        <xdr:cNvSpPr/>
      </xdr:nvSpPr>
      <xdr:spPr>
        <a:xfrm>
          <a:off x="5191992" y="1156855"/>
          <a:ext cx="1194955" cy="1194955"/>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Decentral</a:t>
          </a:r>
          <a:r>
            <a:rPr lang="en-GB" sz="1100" baseline="0">
              <a:solidFill>
                <a:sysClr val="windowText" lastClr="000000"/>
              </a:solidFill>
            </a:rPr>
            <a:t> plant</a:t>
          </a:r>
          <a:r>
            <a:rPr lang="en-GB" sz="1100">
              <a:solidFill>
                <a:sysClr val="windowText" lastClr="000000"/>
              </a:solidFill>
            </a:rPr>
            <a:t> 02</a:t>
          </a:r>
        </a:p>
      </xdr:txBody>
    </xdr:sp>
    <xdr:clientData/>
  </xdr:twoCellAnchor>
  <xdr:twoCellAnchor>
    <xdr:from>
      <xdr:col>8</xdr:col>
      <xdr:colOff>484910</xdr:colOff>
      <xdr:row>9</xdr:row>
      <xdr:rowOff>103909</xdr:rowOff>
    </xdr:from>
    <xdr:to>
      <xdr:col>9</xdr:col>
      <xdr:colOff>658092</xdr:colOff>
      <xdr:row>15</xdr:row>
      <xdr:rowOff>138546</xdr:rowOff>
    </xdr:to>
    <xdr:sp macro="" textlink="">
      <xdr:nvSpPr>
        <xdr:cNvPr id="87" name="Oval 86"/>
        <xdr:cNvSpPr/>
      </xdr:nvSpPr>
      <xdr:spPr>
        <a:xfrm>
          <a:off x="4745183" y="2441864"/>
          <a:ext cx="1194954" cy="1177637"/>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Decentral</a:t>
          </a:r>
          <a:r>
            <a:rPr lang="en-GB" sz="1100" baseline="0">
              <a:solidFill>
                <a:sysClr val="windowText" lastClr="000000"/>
              </a:solidFill>
            </a:rPr>
            <a:t> plant</a:t>
          </a:r>
          <a:r>
            <a:rPr lang="en-GB" sz="1100">
              <a:solidFill>
                <a:sysClr val="windowText" lastClr="000000"/>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601757</xdr:colOff>
      <xdr:row>27</xdr:row>
      <xdr:rowOff>49217</xdr:rowOff>
    </xdr:from>
    <xdr:to>
      <xdr:col>7</xdr:col>
      <xdr:colOff>531000</xdr:colOff>
      <xdr:row>37</xdr:row>
      <xdr:rowOff>63731</xdr:rowOff>
    </xdr:to>
    <xdr:graphicFrame macro="">
      <xdr:nvGraphicFramePr>
        <xdr:cNvPr id="15" name="Chart 14">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600316</xdr:colOff>
      <xdr:row>27</xdr:row>
      <xdr:rowOff>23264</xdr:rowOff>
    </xdr:from>
    <xdr:to>
      <xdr:col>12</xdr:col>
      <xdr:colOff>3416</xdr:colOff>
      <xdr:row>37</xdr:row>
      <xdr:rowOff>37778</xdr:rowOff>
    </xdr:to>
    <xdr:graphicFrame macro="">
      <xdr:nvGraphicFramePr>
        <xdr:cNvPr id="18" name="Chart 17">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30172</xdr:colOff>
      <xdr:row>15</xdr:row>
      <xdr:rowOff>180070</xdr:rowOff>
    </xdr:from>
    <xdr:to>
      <xdr:col>8</xdr:col>
      <xdr:colOff>22914</xdr:colOff>
      <xdr:row>26</xdr:row>
      <xdr:rowOff>9857</xdr:rowOff>
    </xdr:to>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8818</xdr:colOff>
      <xdr:row>38</xdr:row>
      <xdr:rowOff>56464</xdr:rowOff>
    </xdr:from>
    <xdr:to>
      <xdr:col>7</xdr:col>
      <xdr:colOff>524075</xdr:colOff>
      <xdr:row>48</xdr:row>
      <xdr:rowOff>70979</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38128</xdr:colOff>
      <xdr:row>27</xdr:row>
      <xdr:rowOff>54429</xdr:rowOff>
    </xdr:from>
    <xdr:to>
      <xdr:col>4</xdr:col>
      <xdr:colOff>39943</xdr:colOff>
      <xdr:row>37</xdr:row>
      <xdr:rowOff>68943</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594179</xdr:colOff>
      <xdr:row>15</xdr:row>
      <xdr:rowOff>175079</xdr:rowOff>
    </xdr:from>
    <xdr:to>
      <xdr:col>11</xdr:col>
      <xdr:colOff>378279</xdr:colOff>
      <xdr:row>26</xdr:row>
      <xdr:rowOff>8164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600848</xdr:colOff>
      <xdr:row>38</xdr:row>
      <xdr:rowOff>36282</xdr:rowOff>
    </xdr:from>
    <xdr:to>
      <xdr:col>12</xdr:col>
      <xdr:colOff>3948</xdr:colOff>
      <xdr:row>48</xdr:row>
      <xdr:rowOff>50798</xdr:rowOff>
    </xdr:to>
    <xdr:grpSp>
      <xdr:nvGrpSpPr>
        <xdr:cNvPr id="3" name="Group 2"/>
        <xdr:cNvGrpSpPr/>
      </xdr:nvGrpSpPr>
      <xdr:grpSpPr>
        <a:xfrm>
          <a:off x="8082055" y="6885211"/>
          <a:ext cx="3651250" cy="1828801"/>
          <a:chOff x="8638134" y="6885211"/>
          <a:chExt cx="3657600" cy="1828801"/>
        </a:xfrm>
      </xdr:grpSpPr>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8638134" y="6885211"/>
          <a:ext cx="3657600" cy="1828801"/>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20" name="TextBox 1"/>
          <xdr:cNvSpPr txBox="1"/>
        </xdr:nvSpPr>
        <xdr:spPr>
          <a:xfrm rot="16200000">
            <a:off x="8198385" y="7522401"/>
            <a:ext cx="1361781" cy="3232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a:t>Opertaional costs</a:t>
            </a:r>
          </a:p>
        </xdr:txBody>
      </xdr:sp>
    </xdr:grpSp>
    <xdr:clientData/>
  </xdr:twoCellAnchor>
  <xdr:twoCellAnchor>
    <xdr:from>
      <xdr:col>8</xdr:col>
      <xdr:colOff>600982</xdr:colOff>
      <xdr:row>49</xdr:row>
      <xdr:rowOff>88447</xdr:rowOff>
    </xdr:from>
    <xdr:to>
      <xdr:col>12</xdr:col>
      <xdr:colOff>4083</xdr:colOff>
      <xdr:row>59</xdr:row>
      <xdr:rowOff>102962</xdr:rowOff>
    </xdr:to>
    <xdr:grpSp>
      <xdr:nvGrpSpPr>
        <xdr:cNvPr id="4" name="Group 3"/>
        <xdr:cNvGrpSpPr/>
      </xdr:nvGrpSpPr>
      <xdr:grpSpPr>
        <a:xfrm>
          <a:off x="8082189" y="8933090"/>
          <a:ext cx="3651251" cy="1828801"/>
          <a:chOff x="19333482" y="4587875"/>
          <a:chExt cx="3657601" cy="1828801"/>
        </a:xfrm>
      </xdr:grpSpPr>
      <xdr:graphicFrame macro="">
        <xdr:nvGraphicFramePr>
          <xdr:cNvPr id="19" name="Chart 18">
            <a:extLst>
              <a:ext uri="{FF2B5EF4-FFF2-40B4-BE49-F238E27FC236}">
                <a16:creationId xmlns:a16="http://schemas.microsoft.com/office/drawing/2014/main" id="{00000000-0008-0000-0700-000005000000}"/>
              </a:ext>
            </a:extLst>
          </xdr:cNvPr>
          <xdr:cNvGraphicFramePr>
            <a:graphicFrameLocks/>
          </xdr:cNvGraphicFramePr>
        </xdr:nvGraphicFramePr>
        <xdr:xfrm>
          <a:off x="19333482" y="4587875"/>
          <a:ext cx="3657601" cy="1828801"/>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21" name="TextBox 1"/>
          <xdr:cNvSpPr txBox="1"/>
        </xdr:nvSpPr>
        <xdr:spPr>
          <a:xfrm rot="16200000">
            <a:off x="18884528" y="5109401"/>
            <a:ext cx="1361782" cy="32326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1000"/>
              <a:t>Capital costs</a:t>
            </a:r>
          </a:p>
        </xdr:txBody>
      </xdr:sp>
    </xdr:grpSp>
    <xdr:clientData/>
  </xdr:twoCellAnchor>
  <xdr:twoCellAnchor>
    <xdr:from>
      <xdr:col>1</xdr:col>
      <xdr:colOff>27216</xdr:colOff>
      <xdr:row>38</xdr:row>
      <xdr:rowOff>54429</xdr:rowOff>
    </xdr:from>
    <xdr:to>
      <xdr:col>4</xdr:col>
      <xdr:colOff>29031</xdr:colOff>
      <xdr:row>48</xdr:row>
      <xdr:rowOff>68944</xdr:rowOff>
    </xdr:to>
    <xdr:graphicFrame macro="">
      <xdr:nvGraphicFramePr>
        <xdr:cNvPr id="13" name="Chart 12">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598714</xdr:colOff>
      <xdr:row>15</xdr:row>
      <xdr:rowOff>163287</xdr:rowOff>
    </xdr:from>
    <xdr:to>
      <xdr:col>16</xdr:col>
      <xdr:colOff>10886</xdr:colOff>
      <xdr:row>25</xdr:row>
      <xdr:rowOff>177801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18143</xdr:colOff>
      <xdr:row>84</xdr:row>
      <xdr:rowOff>1</xdr:rowOff>
    </xdr:from>
    <xdr:to>
      <xdr:col>4</xdr:col>
      <xdr:colOff>29029</xdr:colOff>
      <xdr:row>104</xdr:row>
      <xdr:rowOff>29030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18142</xdr:colOff>
      <xdr:row>62</xdr:row>
      <xdr:rowOff>163285</xdr:rowOff>
    </xdr:from>
    <xdr:to>
      <xdr:col>4</xdr:col>
      <xdr:colOff>29028</xdr:colOff>
      <xdr:row>83</xdr:row>
      <xdr:rowOff>10885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45357</xdr:colOff>
      <xdr:row>62</xdr:row>
      <xdr:rowOff>145144</xdr:rowOff>
    </xdr:from>
    <xdr:to>
      <xdr:col>15</xdr:col>
      <xdr:colOff>589643</xdr:colOff>
      <xdr:row>82</xdr:row>
      <xdr:rowOff>174172</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45358</xdr:colOff>
      <xdr:row>84</xdr:row>
      <xdr:rowOff>0</xdr:rowOff>
    </xdr:from>
    <xdr:to>
      <xdr:col>15</xdr:col>
      <xdr:colOff>561704</xdr:colOff>
      <xdr:row>104</xdr:row>
      <xdr:rowOff>29029</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xdr:colOff>
      <xdr:row>106</xdr:row>
      <xdr:rowOff>133350</xdr:rowOff>
    </xdr:from>
    <xdr:to>
      <xdr:col>16</xdr:col>
      <xdr:colOff>28575</xdr:colOff>
      <xdr:row>125</xdr:row>
      <xdr:rowOff>171450</xdr:rowOff>
    </xdr:to>
    <xdr:graphicFrame macro="">
      <xdr:nvGraphicFramePr>
        <xdr:cNvPr id="28" name="Chart 27">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16330</xdr:colOff>
      <xdr:row>49</xdr:row>
      <xdr:rowOff>84365</xdr:rowOff>
    </xdr:from>
    <xdr:to>
      <xdr:col>4</xdr:col>
      <xdr:colOff>7621</xdr:colOff>
      <xdr:row>59</xdr:row>
      <xdr:rowOff>99605</xdr:rowOff>
    </xdr:to>
    <xdr:sp macro="" textlink="">
      <xdr:nvSpPr>
        <xdr:cNvPr id="23" name="Rectangle 22"/>
        <xdr:cNvSpPr/>
      </xdr:nvSpPr>
      <xdr:spPr>
        <a:xfrm>
          <a:off x="125187" y="9350829"/>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195943</xdr:colOff>
      <xdr:row>49</xdr:row>
      <xdr:rowOff>87086</xdr:rowOff>
    </xdr:from>
    <xdr:to>
      <xdr:col>7</xdr:col>
      <xdr:colOff>486592</xdr:colOff>
      <xdr:row>59</xdr:row>
      <xdr:rowOff>102326</xdr:rowOff>
    </xdr:to>
    <xdr:sp macro="" textlink="">
      <xdr:nvSpPr>
        <xdr:cNvPr id="29" name="Rectangle 28"/>
        <xdr:cNvSpPr/>
      </xdr:nvSpPr>
      <xdr:spPr>
        <a:xfrm>
          <a:off x="3788229" y="9353550"/>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13607</xdr:colOff>
      <xdr:row>27</xdr:row>
      <xdr:rowOff>0</xdr:rowOff>
    </xdr:from>
    <xdr:to>
      <xdr:col>16</xdr:col>
      <xdr:colOff>18505</xdr:colOff>
      <xdr:row>37</xdr:row>
      <xdr:rowOff>15240</xdr:rowOff>
    </xdr:to>
    <xdr:sp macro="" textlink="">
      <xdr:nvSpPr>
        <xdr:cNvPr id="30" name="Rectangle 29"/>
        <xdr:cNvSpPr/>
      </xdr:nvSpPr>
      <xdr:spPr>
        <a:xfrm>
          <a:off x="11266714" y="5075464"/>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2721</xdr:colOff>
      <xdr:row>38</xdr:row>
      <xdr:rowOff>16329</xdr:rowOff>
    </xdr:from>
    <xdr:to>
      <xdr:col>16</xdr:col>
      <xdr:colOff>7619</xdr:colOff>
      <xdr:row>48</xdr:row>
      <xdr:rowOff>31569</xdr:rowOff>
    </xdr:to>
    <xdr:sp macro="" textlink="">
      <xdr:nvSpPr>
        <xdr:cNvPr id="31" name="Rectangle 30"/>
        <xdr:cNvSpPr/>
      </xdr:nvSpPr>
      <xdr:spPr>
        <a:xfrm>
          <a:off x="11255828" y="7187293"/>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xdr:colOff>
      <xdr:row>49</xdr:row>
      <xdr:rowOff>54429</xdr:rowOff>
    </xdr:from>
    <xdr:to>
      <xdr:col>16</xdr:col>
      <xdr:colOff>4899</xdr:colOff>
      <xdr:row>59</xdr:row>
      <xdr:rowOff>69669</xdr:rowOff>
    </xdr:to>
    <xdr:sp macro="" textlink="">
      <xdr:nvSpPr>
        <xdr:cNvPr id="32" name="Rectangle 31"/>
        <xdr:cNvSpPr/>
      </xdr:nvSpPr>
      <xdr:spPr>
        <a:xfrm>
          <a:off x="11253108" y="9320893"/>
          <a:ext cx="3474720" cy="192024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99786</xdr:colOff>
      <xdr:row>16</xdr:row>
      <xdr:rowOff>9072</xdr:rowOff>
    </xdr:from>
    <xdr:to>
      <xdr:col>3</xdr:col>
      <xdr:colOff>600529</xdr:colOff>
      <xdr:row>26</xdr:row>
      <xdr:rowOff>23586</xdr:rowOff>
    </xdr:to>
    <xdr:graphicFrame macro="">
      <xdr:nvGraphicFramePr>
        <xdr:cNvPr id="34" name="Chart 33">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0.02358</cdr:x>
      <cdr:y>0.10417</cdr:y>
    </cdr:from>
    <cdr:to>
      <cdr:x>0.11196</cdr:x>
      <cdr:y>0.8488</cdr:y>
    </cdr:to>
    <cdr:sp macro="" textlink="">
      <cdr:nvSpPr>
        <cdr:cNvPr id="2" name="TextBox 1"/>
        <cdr:cNvSpPr txBox="1"/>
      </cdr:nvSpPr>
      <cdr:spPr>
        <a:xfrm xmlns:a="http://schemas.openxmlformats.org/drawingml/2006/main" rot="16200000">
          <a:off x="-433027" y="709759"/>
          <a:ext cx="1361781" cy="3232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00"/>
            <a:t>Revenue distribution</a:t>
          </a:r>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2031725</xdr:colOff>
      <xdr:row>3</xdr:row>
      <xdr:rowOff>47005</xdr:rowOff>
    </xdr:from>
    <xdr:to>
      <xdr:col>6</xdr:col>
      <xdr:colOff>1251856</xdr:colOff>
      <xdr:row>4</xdr:row>
      <xdr:rowOff>126999</xdr:rowOff>
    </xdr:to>
    <xdr:sp macro="" textlink="">
      <xdr:nvSpPr>
        <xdr:cNvPr id="3" name="Flowchart: Alternate Proces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2472939" y="527791"/>
          <a:ext cx="1261203" cy="261422"/>
        </a:xfrm>
        <a:prstGeom prst="flowChartAlternateProcess">
          <a:avLst/>
        </a:prstGeom>
        <a:solidFill>
          <a:schemeClr val="bg1"/>
        </a:solid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ZA" sz="800">
              <a:solidFill>
                <a:schemeClr val="tx1"/>
              </a:solidFill>
            </a:rPr>
            <a:t>&gt; Back to General</a:t>
          </a:r>
          <a:r>
            <a:rPr lang="en-ZA" sz="800" baseline="0">
              <a:solidFill>
                <a:schemeClr val="tx1"/>
              </a:solidFill>
            </a:rPr>
            <a:t> Input</a:t>
          </a:r>
          <a:endParaRPr lang="en-ZA" sz="8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723534</xdr:colOff>
      <xdr:row>2</xdr:row>
      <xdr:rowOff>190500</xdr:rowOff>
    </xdr:from>
    <xdr:to>
      <xdr:col>4</xdr:col>
      <xdr:colOff>299357</xdr:colOff>
      <xdr:row>5</xdr:row>
      <xdr:rowOff>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3200034" y="666750"/>
          <a:ext cx="936537" cy="44903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100"/>
            <a:t>Unit W</a:t>
          </a:r>
          <a:r>
            <a:rPr lang="de-CH" sz="1100" baseline="0"/>
            <a:t> </a:t>
          </a:r>
        </a:p>
        <a:p>
          <a:pPr algn="ctr"/>
          <a:r>
            <a:rPr lang="de-CH" sz="1100" baseline="0"/>
            <a:t>(U-W)</a:t>
          </a:r>
        </a:p>
      </xdr:txBody>
    </xdr:sp>
    <xdr:clientData/>
  </xdr:twoCellAnchor>
  <xdr:twoCellAnchor editAs="oneCell">
    <xdr:from>
      <xdr:col>3</xdr:col>
      <xdr:colOff>761999</xdr:colOff>
      <xdr:row>5</xdr:row>
      <xdr:rowOff>30684</xdr:rowOff>
    </xdr:from>
    <xdr:to>
      <xdr:col>4</xdr:col>
      <xdr:colOff>176893</xdr:colOff>
      <xdr:row>9</xdr:row>
      <xdr:rowOff>35922</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9" y="1146470"/>
          <a:ext cx="775608" cy="767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1006929</xdr:colOff>
      <xdr:row>2</xdr:row>
      <xdr:rowOff>163285</xdr:rowOff>
    </xdr:from>
    <xdr:to>
      <xdr:col>4</xdr:col>
      <xdr:colOff>582752</xdr:colOff>
      <xdr:row>5</xdr:row>
      <xdr:rowOff>13606</xdr:rowOff>
    </xdr:to>
    <xdr:sp macro="" textlink="">
      <xdr:nvSpPr>
        <xdr:cNvPr id="11" name="TextBox 10">
          <a:extLst>
            <a:ext uri="{FF2B5EF4-FFF2-40B4-BE49-F238E27FC236}">
              <a16:creationId xmlns:a16="http://schemas.microsoft.com/office/drawing/2014/main" id="{00000000-0008-0000-0B00-000004000000}"/>
            </a:ext>
          </a:extLst>
        </xdr:cNvPr>
        <xdr:cNvSpPr txBox="1"/>
      </xdr:nvSpPr>
      <xdr:spPr>
        <a:xfrm>
          <a:off x="3211286" y="639535"/>
          <a:ext cx="936537" cy="4898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100"/>
            <a:t>Unit T</a:t>
          </a:r>
          <a:r>
            <a:rPr lang="de-CH" sz="1100" baseline="0"/>
            <a:t> </a:t>
          </a:r>
        </a:p>
        <a:p>
          <a:pPr algn="ctr"/>
          <a:r>
            <a:rPr lang="de-CH" sz="1100" baseline="0"/>
            <a:t>(U-T)</a:t>
          </a:r>
        </a:p>
      </xdr:txBody>
    </xdr:sp>
    <xdr:clientData/>
  </xdr:twoCellAnchor>
  <xdr:twoCellAnchor editAs="oneCell">
    <xdr:from>
      <xdr:col>3</xdr:col>
      <xdr:colOff>1045393</xdr:colOff>
      <xdr:row>5</xdr:row>
      <xdr:rowOff>30684</xdr:rowOff>
    </xdr:from>
    <xdr:to>
      <xdr:col>4</xdr:col>
      <xdr:colOff>460287</xdr:colOff>
      <xdr:row>9</xdr:row>
      <xdr:rowOff>35922</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9750" y="1146470"/>
          <a:ext cx="775608" cy="767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394609</xdr:colOff>
      <xdr:row>2</xdr:row>
      <xdr:rowOff>163284</xdr:rowOff>
    </xdr:from>
    <xdr:to>
      <xdr:col>4</xdr:col>
      <xdr:colOff>411834</xdr:colOff>
      <xdr:row>4</xdr:row>
      <xdr:rowOff>176891</xdr:rowOff>
    </xdr:to>
    <xdr:sp macro="" textlink="">
      <xdr:nvSpPr>
        <xdr:cNvPr id="11" name="TextBox 10">
          <a:extLst>
            <a:ext uri="{FF2B5EF4-FFF2-40B4-BE49-F238E27FC236}">
              <a16:creationId xmlns:a16="http://schemas.microsoft.com/office/drawing/2014/main" id="{00000000-0008-0000-0100-000020000000}"/>
            </a:ext>
          </a:extLst>
        </xdr:cNvPr>
        <xdr:cNvSpPr txBox="1"/>
      </xdr:nvSpPr>
      <xdr:spPr>
        <a:xfrm>
          <a:off x="2598966" y="639534"/>
          <a:ext cx="1214654" cy="462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CH" sz="1050" b="0"/>
            <a:t>Unit H</a:t>
          </a:r>
        </a:p>
        <a:p>
          <a:pPr algn="ctr"/>
          <a:r>
            <a:rPr lang="de-CH" sz="1050" b="0"/>
            <a:t>(U-H)</a:t>
          </a:r>
        </a:p>
      </xdr:txBody>
    </xdr:sp>
    <xdr:clientData/>
  </xdr:twoCellAnchor>
  <xdr:twoCellAnchor>
    <xdr:from>
      <xdr:col>3</xdr:col>
      <xdr:colOff>462526</xdr:colOff>
      <xdr:row>4</xdr:row>
      <xdr:rowOff>203003</xdr:rowOff>
    </xdr:from>
    <xdr:to>
      <xdr:col>4</xdr:col>
      <xdr:colOff>190500</xdr:colOff>
      <xdr:row>8</xdr:row>
      <xdr:rowOff>175927</xdr:rowOff>
    </xdr:to>
    <xdr:pic>
      <xdr:nvPicPr>
        <xdr:cNvPr id="12" name="Picture 11"/>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val="0"/>
            </a:ext>
          </a:extLst>
        </a:blip>
        <a:srcRect l="1" r="-17384"/>
        <a:stretch/>
      </xdr:blipFill>
      <xdr:spPr>
        <a:xfrm>
          <a:off x="2666883" y="1128289"/>
          <a:ext cx="925403" cy="7893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wag\userdata\graumax\My%20Documents\2%20Projects\2%20BSFL%20Indo\1%20Model\BM_N%20_%20P_v2.0_5yrsNPV_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fo"/>
      <sheetName val="1.0-General input"/>
      <sheetName val="2.1-Material input"/>
      <sheetName val="2.2-Equipment input"/>
      <sheetName val="2.3-Staff input"/>
      <sheetName val="2.4 Transport input"/>
      <sheetName val="2-Overview"/>
      <sheetName val="3.0 Financial Results"/>
      <sheetName val="3.1-Financial Analysis"/>
      <sheetName val="3.2-Cost Breakdown Analysis"/>
      <sheetName val="4.0 Appendix"/>
      <sheetName val="5.1-Unit W"/>
      <sheetName val="5.1-Unit T"/>
      <sheetName val="5.1-Unit H"/>
      <sheetName val="5.1-Unit N (17DOL-Egg)"/>
      <sheetName val="5.1-Unit N (Egg-5DOL)"/>
      <sheetName val="5.1-Unit N (5DOL-17DOL)"/>
      <sheetName val="5.1-Unit P"/>
      <sheetName val="5.1-Unit R"/>
      <sheetName val="5.1-Unit SG&amp;A"/>
      <sheetName val="5.2 Internal settings"/>
      <sheetName val="5.3 Database"/>
    </sheetNames>
    <sheetDataSet>
      <sheetData sheetId="0"/>
      <sheetData sheetId="1"/>
      <sheetData sheetId="2">
        <row r="17">
          <cell r="D17" t="str">
            <v>Amount</v>
          </cell>
        </row>
        <row r="108">
          <cell r="E108">
            <v>1920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id="4" name="Equipment_name" displayName="Equipment_name" ref="C6:C106" totalsRowShown="0" headerRowDxfId="963" dataDxfId="961" headerRowBorderDxfId="962" tableBorderDxfId="960">
  <autoFilter ref="C6:C106"/>
  <tableColumns count="1">
    <tableColumn id="1" name="Name" dataDxfId="959"/>
  </tableColumns>
  <tableStyleInfo name="TableStyleMedium24" showFirstColumn="0" showLastColumn="0" showRowStripes="1" showColumnStripes="0"/>
</table>
</file>

<file path=xl/tables/table2.xml><?xml version="1.0" encoding="utf-8"?>
<table xmlns="http://schemas.openxmlformats.org/spreadsheetml/2006/main" id="8" name="Staff_position" displayName="Staff_position" ref="C4:C25" totalsRowShown="0" headerRowDxfId="955" dataDxfId="953" headerRowBorderDxfId="954" tableBorderDxfId="952">
  <autoFilter ref="C4:C25"/>
  <tableColumns count="1">
    <tableColumn id="1" name="Position" dataDxfId="951"/>
  </tableColumns>
  <tableStyleInfo showFirstColumn="0" showLastColumn="0" showRowStripes="1" showColumnStripes="0"/>
</table>
</file>

<file path=xl/tables/table3.xml><?xml version="1.0" encoding="utf-8"?>
<table xmlns="http://schemas.openxmlformats.org/spreadsheetml/2006/main" id="7" name="Staff_net_salary" displayName="Staff_net_salary" ref="H4:H25" totalsRowShown="0" headerRowDxfId="950" dataDxfId="949" tableBorderDxfId="948">
  <tableColumns count="1">
    <tableColumn id="1" name="net salary conversion [yr]" dataDxfId="947">
      <calculatedColumnFormula>IFERROR(G5/(INDEX(Settings_Currency_Table[],MATCH(General_Currency_Selection,Settings_Currency,0),2)),0)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id="6" name="Staff_category" displayName="Staff_category" ref="B24:B27" totalsRowShown="0" tableBorderDxfId="911">
  <autoFilter ref="B24:B27"/>
  <tableColumns count="1">
    <tableColumn id="1" name="Staff category"/>
  </tableColumns>
  <tableStyleInfo name="TableStyleMedium10" showFirstColumn="0" showLastColumn="0" showRowStripes="1" showColumnStripes="0"/>
</table>
</file>

<file path=xl/tables/table5.xml><?xml version="1.0" encoding="utf-8"?>
<table xmlns="http://schemas.openxmlformats.org/spreadsheetml/2006/main" id="12" name="Yes_No_Choice" displayName="Yes_No_Choice" ref="B29:B31" totalsRowShown="0">
  <autoFilter ref="B29:B31"/>
  <tableColumns count="1">
    <tableColumn id="1" name="Yes / No Choice"/>
  </tableColumns>
  <tableStyleInfo name="TableStyleMedium9" showFirstColumn="0" showLastColumn="0" showRowStripes="1" showColumnStripes="0"/>
</table>
</file>

<file path=xl/tables/table6.xml><?xml version="1.0" encoding="utf-8"?>
<table xmlns="http://schemas.openxmlformats.org/spreadsheetml/2006/main" id="13" name="Equipment_Utitliy_Specs_Units" displayName="Equipment_Utitliy_Specs_Units" ref="B33:C37" totalsRowShown="0">
  <autoFilter ref="B33:C37"/>
  <tableColumns count="2">
    <tableColumn id="1" name="Specification"/>
    <tableColumn id="2" name="Units"/>
  </tableColumns>
  <tableStyleInfo name="TableStyleMedium9" showFirstColumn="0" showLastColumn="0" showRowStripes="1" showColumnStripes="0"/>
</table>
</file>

<file path=xl/tables/table7.xml><?xml version="1.0" encoding="utf-8"?>
<table xmlns="http://schemas.openxmlformats.org/spreadsheetml/2006/main" id="14" name="Equipment_Utility_Fuel_Type" displayName="Equipment_Utility_Fuel_Type" ref="B39:B43" totalsRowShown="0">
  <autoFilter ref="B39:B43"/>
  <tableColumns count="1">
    <tableColumn id="1" name="Fuel Type"/>
  </tableColumns>
  <tableStyleInfo name="TableStyleMedium9" showFirstColumn="0" showLastColumn="0" showRowStripes="1" showColumnStripes="0"/>
</table>
</file>

<file path=xl/tables/table8.xml><?xml version="1.0" encoding="utf-8"?>
<table xmlns="http://schemas.openxmlformats.org/spreadsheetml/2006/main" id="1" name="Factory_Renting_Buying" displayName="Factory_Renting_Buying" ref="B45:B48" totalsRowShown="0">
  <autoFilter ref="B45:B48"/>
  <tableColumns count="1">
    <tableColumn id="1" name="Factory Renting or Buying"/>
  </tableColumns>
  <tableStyleInfo name="TableStyleMedium9" showFirstColumn="0" showLastColumn="0" showRowStripes="1" showColumnStripes="0"/>
</table>
</file>

<file path=xl/tables/table9.xml><?xml version="1.0" encoding="utf-8"?>
<table xmlns="http://schemas.openxmlformats.org/spreadsheetml/2006/main" id="5" name="Settings_Currency_Table" displayName="Settings_Currency_Table" ref="B6:C10" totalsRowShown="0" headerRowDxfId="910" dataDxfId="909">
  <autoFilter ref="B6:C10"/>
  <tableColumns count="2">
    <tableColumn id="1" name="Currency" dataDxfId="908"/>
    <tableColumn id="2" name="Exchange rates" dataDxfId="907"/>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table" Target="../tables/table4.xml"/><Relationship Id="rId1" Type="http://schemas.openxmlformats.org/officeDocument/2006/relationships/printerSettings" Target="../printerSettings/printerSettings10.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B1:S77"/>
  <sheetViews>
    <sheetView showGridLines="0" showRowColHeaders="0" tabSelected="1" zoomScale="85" zoomScaleNormal="85" workbookViewId="0">
      <selection activeCell="O19" sqref="O19"/>
    </sheetView>
  </sheetViews>
  <sheetFormatPr defaultColWidth="8.7265625" defaultRowHeight="14.5"/>
  <cols>
    <col min="1" max="1" width="0.81640625" style="15" customWidth="1"/>
    <col min="2" max="16384" width="8.7265625" style="15"/>
  </cols>
  <sheetData>
    <row r="1" spans="2:10" ht="3.75" customHeight="1"/>
    <row r="2" spans="2:10" ht="18.75" customHeight="1"/>
    <row r="3" spans="2:10" ht="18.75" customHeight="1"/>
    <row r="4" spans="2:10" ht="18.5">
      <c r="B4" s="848" t="s">
        <v>956</v>
      </c>
      <c r="C4" s="848"/>
      <c r="D4" s="848"/>
      <c r="E4" s="848"/>
      <c r="F4" s="848"/>
      <c r="G4" s="848"/>
      <c r="H4" s="848"/>
      <c r="I4" s="848"/>
      <c r="J4" s="848"/>
    </row>
    <row r="5" spans="2:10" ht="18.5">
      <c r="B5" s="849" t="s">
        <v>1111</v>
      </c>
      <c r="C5" s="849"/>
      <c r="D5" s="849"/>
      <c r="E5" s="849"/>
      <c r="F5" s="849"/>
      <c r="G5" s="849"/>
      <c r="H5" s="849"/>
      <c r="I5" s="849"/>
      <c r="J5" s="849"/>
    </row>
    <row r="6" spans="2:10">
      <c r="B6" s="238" t="s">
        <v>1079</v>
      </c>
      <c r="C6" s="16"/>
      <c r="D6" s="16"/>
      <c r="E6" s="16"/>
    </row>
    <row r="7" spans="2:10">
      <c r="B7" s="238"/>
      <c r="C7" s="16"/>
      <c r="D7" s="16"/>
      <c r="E7" s="16"/>
    </row>
    <row r="8" spans="2:10">
      <c r="B8" s="238"/>
      <c r="C8" s="16"/>
      <c r="D8" s="16"/>
      <c r="E8" s="16"/>
    </row>
    <row r="9" spans="2:10">
      <c r="B9" s="238"/>
      <c r="C9" s="16"/>
      <c r="D9" s="16"/>
      <c r="E9" s="16"/>
    </row>
    <row r="10" spans="2:10">
      <c r="B10" s="238"/>
      <c r="C10" s="16"/>
      <c r="D10" s="16"/>
      <c r="E10" s="16"/>
    </row>
    <row r="11" spans="2:10">
      <c r="B11" s="238"/>
      <c r="C11" s="16"/>
      <c r="D11" s="16"/>
      <c r="E11" s="16"/>
    </row>
    <row r="12" spans="2:10">
      <c r="B12" s="238"/>
      <c r="C12" s="16"/>
      <c r="D12" s="16"/>
      <c r="E12" s="16"/>
    </row>
    <row r="13" spans="2:10">
      <c r="B13" s="238"/>
      <c r="C13" s="16"/>
      <c r="D13" s="16"/>
      <c r="E13" s="16"/>
    </row>
    <row r="14" spans="2:10">
      <c r="B14" s="238"/>
    </row>
    <row r="15" spans="2:10" s="486" customFormat="1" ht="10.5">
      <c r="B15" s="486" t="s">
        <v>937</v>
      </c>
    </row>
    <row r="16" spans="2:10">
      <c r="B16" s="238"/>
    </row>
    <row r="17" spans="2:19">
      <c r="B17" s="485" t="s">
        <v>802</v>
      </c>
      <c r="C17" s="391"/>
      <c r="D17" s="391"/>
      <c r="E17" s="391"/>
      <c r="F17" s="391"/>
      <c r="G17" s="391"/>
      <c r="H17" s="391"/>
      <c r="I17" s="391"/>
      <c r="J17" s="391"/>
    </row>
    <row r="18" spans="2:19">
      <c r="B18" s="238" t="s">
        <v>934</v>
      </c>
    </row>
    <row r="19" spans="2:19" ht="46.5" customHeight="1">
      <c r="B19" s="853" t="s">
        <v>938</v>
      </c>
      <c r="C19" s="853"/>
      <c r="D19" s="853"/>
      <c r="E19" s="853"/>
      <c r="F19" s="853"/>
      <c r="G19" s="853"/>
      <c r="H19" s="853"/>
      <c r="I19" s="853"/>
      <c r="J19" s="853"/>
      <c r="K19" s="483"/>
      <c r="L19"/>
      <c r="M19" s="483"/>
      <c r="N19" s="483"/>
      <c r="O19" s="483"/>
      <c r="P19" s="483"/>
      <c r="Q19" s="483"/>
      <c r="R19" s="483"/>
      <c r="S19" s="483"/>
    </row>
    <row r="20" spans="2:19" ht="30" customHeight="1">
      <c r="B20" s="853" t="s">
        <v>943</v>
      </c>
      <c r="C20" s="853"/>
      <c r="D20" s="853"/>
      <c r="E20" s="853"/>
      <c r="F20" s="853"/>
      <c r="G20" s="853"/>
      <c r="H20" s="853"/>
      <c r="I20" s="853"/>
      <c r="J20" s="853"/>
    </row>
    <row r="21" spans="2:19" ht="32.25" customHeight="1">
      <c r="B21" s="853" t="s">
        <v>935</v>
      </c>
      <c r="C21" s="853"/>
      <c r="D21" s="853"/>
      <c r="E21" s="853"/>
      <c r="F21" s="853"/>
      <c r="G21" s="853"/>
      <c r="H21" s="853"/>
      <c r="I21" s="853"/>
      <c r="J21" s="853"/>
      <c r="N21"/>
    </row>
    <row r="22" spans="2:19">
      <c r="B22" s="484"/>
    </row>
    <row r="23" spans="2:19">
      <c r="B23" s="485" t="s">
        <v>936</v>
      </c>
      <c r="C23" s="391"/>
      <c r="D23" s="391"/>
      <c r="E23" s="391"/>
      <c r="F23" s="391"/>
      <c r="G23" s="391"/>
      <c r="H23" s="391"/>
      <c r="I23" s="391"/>
      <c r="J23" s="391"/>
    </row>
    <row r="24" spans="2:19" ht="29.5" customHeight="1">
      <c r="B24" s="854" t="s">
        <v>1109</v>
      </c>
      <c r="C24" s="854"/>
      <c r="D24" s="854"/>
      <c r="E24" s="854"/>
      <c r="F24" s="854"/>
      <c r="G24" s="854"/>
      <c r="H24" s="854"/>
      <c r="I24" s="854"/>
      <c r="J24" s="854"/>
    </row>
    <row r="25" spans="2:19" ht="29.5" customHeight="1">
      <c r="B25" s="850" t="s">
        <v>1061</v>
      </c>
      <c r="C25" s="850"/>
      <c r="D25" s="850"/>
      <c r="E25" s="850"/>
      <c r="F25" s="850"/>
      <c r="G25" s="850"/>
      <c r="H25" s="850"/>
      <c r="I25" s="850"/>
      <c r="J25" s="850"/>
    </row>
    <row r="26" spans="2:19">
      <c r="B26" s="850" t="s">
        <v>1110</v>
      </c>
      <c r="C26" s="850"/>
      <c r="D26" s="850"/>
      <c r="E26" s="850"/>
      <c r="F26" s="850"/>
      <c r="G26" s="850"/>
      <c r="H26" s="850"/>
      <c r="I26" s="850"/>
      <c r="J26" s="850"/>
    </row>
    <row r="29" spans="2:19">
      <c r="B29" s="485" t="s">
        <v>930</v>
      </c>
      <c r="C29" s="391"/>
      <c r="D29" s="391"/>
      <c r="E29" s="391"/>
      <c r="F29" s="391"/>
      <c r="G29" s="391"/>
      <c r="H29" s="391"/>
      <c r="I29" s="391"/>
      <c r="J29" s="391"/>
    </row>
    <row r="30" spans="2:19">
      <c r="B30" s="238" t="s">
        <v>944</v>
      </c>
    </row>
    <row r="31" spans="2:19" ht="32.25" customHeight="1">
      <c r="B31" s="852" t="s">
        <v>954</v>
      </c>
      <c r="C31" s="852"/>
      <c r="D31" s="852"/>
      <c r="E31" s="852"/>
      <c r="F31" s="852"/>
      <c r="G31" s="852"/>
      <c r="H31" s="852"/>
      <c r="I31" s="852"/>
      <c r="J31" s="852"/>
    </row>
    <row r="32" spans="2:19">
      <c r="B32" s="15" t="s">
        <v>941</v>
      </c>
    </row>
    <row r="52" spans="2:10">
      <c r="B52" s="485" t="s">
        <v>942</v>
      </c>
      <c r="C52" s="485"/>
      <c r="D52" s="485"/>
      <c r="E52" s="485"/>
      <c r="F52" s="485"/>
      <c r="G52" s="485"/>
      <c r="H52" s="485"/>
      <c r="I52" s="485"/>
      <c r="J52" s="485"/>
    </row>
    <row r="53" spans="2:10">
      <c r="B53" s="15" t="s">
        <v>945</v>
      </c>
    </row>
    <row r="54" spans="2:10">
      <c r="B54" s="194" t="s">
        <v>947</v>
      </c>
    </row>
    <row r="55" spans="2:10" ht="33" customHeight="1">
      <c r="B55" s="850" t="s">
        <v>948</v>
      </c>
      <c r="C55" s="850"/>
      <c r="D55" s="850"/>
      <c r="E55" s="850"/>
      <c r="F55" s="850"/>
      <c r="G55" s="850"/>
      <c r="H55" s="850"/>
      <c r="I55" s="850"/>
      <c r="J55" s="850"/>
    </row>
    <row r="56" spans="2:10" ht="31.5" customHeight="1">
      <c r="B56" s="850" t="s">
        <v>946</v>
      </c>
      <c r="C56" s="850"/>
      <c r="D56" s="850"/>
      <c r="E56" s="850"/>
      <c r="F56" s="850"/>
      <c r="G56" s="850"/>
      <c r="H56" s="850"/>
      <c r="I56" s="850"/>
      <c r="J56" s="850"/>
    </row>
    <row r="58" spans="2:10">
      <c r="B58" s="504" t="s">
        <v>1080</v>
      </c>
    </row>
    <row r="59" spans="2:10" ht="15" customHeight="1">
      <c r="B59" s="851" t="s">
        <v>1081</v>
      </c>
      <c r="C59" s="851"/>
      <c r="D59" s="851"/>
      <c r="E59" s="851"/>
      <c r="F59" s="851"/>
      <c r="G59" s="851"/>
      <c r="H59" s="851"/>
      <c r="I59" s="851"/>
      <c r="J59" s="851"/>
    </row>
    <row r="60" spans="2:10">
      <c r="B60" s="850" t="s">
        <v>1082</v>
      </c>
      <c r="C60" s="850"/>
      <c r="D60" s="850"/>
      <c r="E60" s="850"/>
      <c r="F60" s="850"/>
      <c r="G60" s="850"/>
      <c r="H60" s="850"/>
      <c r="I60" s="850"/>
      <c r="J60" s="850"/>
    </row>
    <row r="61" spans="2:10">
      <c r="B61" s="850" t="s">
        <v>1083</v>
      </c>
      <c r="C61" s="850"/>
      <c r="D61" s="850"/>
      <c r="E61" s="850"/>
      <c r="F61" s="850"/>
      <c r="G61" s="850"/>
      <c r="H61" s="850"/>
      <c r="I61" s="850"/>
      <c r="J61" s="850"/>
    </row>
    <row r="62" spans="2:10">
      <c r="B62" s="706"/>
      <c r="C62" s="706"/>
      <c r="D62" s="706"/>
      <c r="E62" s="706"/>
      <c r="F62" s="706"/>
      <c r="G62" s="706"/>
      <c r="H62" s="706"/>
      <c r="I62" s="706"/>
      <c r="J62" s="706"/>
    </row>
    <row r="63" spans="2:10">
      <c r="B63" s="613" t="s">
        <v>1084</v>
      </c>
      <c r="C63" s="706"/>
      <c r="D63" s="706"/>
      <c r="E63" s="706"/>
      <c r="F63" s="706"/>
      <c r="G63" s="706"/>
      <c r="H63" s="706"/>
      <c r="I63" s="706"/>
      <c r="J63" s="706"/>
    </row>
    <row r="64" spans="2:10">
      <c r="B64" s="15" t="s">
        <v>1085</v>
      </c>
    </row>
    <row r="65" spans="2:10">
      <c r="B65" s="15" t="s">
        <v>1086</v>
      </c>
    </row>
    <row r="66" spans="2:10">
      <c r="B66" s="855" t="s">
        <v>1087</v>
      </c>
      <c r="C66" s="855"/>
      <c r="D66" s="855"/>
      <c r="E66" s="855"/>
      <c r="F66" s="855"/>
      <c r="G66" s="855"/>
      <c r="H66" s="855"/>
      <c r="I66" s="855"/>
      <c r="J66" s="855"/>
    </row>
    <row r="67" spans="2:10">
      <c r="B67" s="15" t="s">
        <v>1088</v>
      </c>
    </row>
    <row r="68" spans="2:10">
      <c r="B68" s="15" t="s">
        <v>1089</v>
      </c>
    </row>
    <row r="69" spans="2:10">
      <c r="B69" s="15" t="s">
        <v>1090</v>
      </c>
    </row>
    <row r="70" spans="2:10">
      <c r="B70" s="15" t="s">
        <v>1091</v>
      </c>
    </row>
    <row r="71" spans="2:10">
      <c r="B71" s="850" t="s">
        <v>1092</v>
      </c>
      <c r="C71" s="850"/>
      <c r="D71" s="850"/>
      <c r="E71" s="850"/>
      <c r="F71" s="850"/>
      <c r="G71" s="850"/>
      <c r="H71" s="850"/>
      <c r="I71" s="850"/>
      <c r="J71" s="850"/>
    </row>
    <row r="73" spans="2:10">
      <c r="B73" s="15" t="s">
        <v>1093</v>
      </c>
    </row>
    <row r="74" spans="2:10">
      <c r="B74" s="850" t="s">
        <v>1094</v>
      </c>
      <c r="C74" s="850"/>
      <c r="D74" s="850"/>
      <c r="E74" s="850"/>
      <c r="F74" s="850"/>
      <c r="G74" s="850"/>
      <c r="H74" s="850"/>
      <c r="I74" s="850"/>
      <c r="J74" s="850"/>
    </row>
    <row r="75" spans="2:10">
      <c r="B75" s="850" t="s">
        <v>1095</v>
      </c>
      <c r="C75" s="850"/>
      <c r="D75" s="850"/>
      <c r="E75" s="850"/>
      <c r="F75" s="850"/>
      <c r="G75" s="850"/>
      <c r="H75" s="850"/>
      <c r="I75" s="850"/>
      <c r="J75" s="850"/>
    </row>
    <row r="77" spans="2:10">
      <c r="B77" s="708" t="s">
        <v>1096</v>
      </c>
    </row>
  </sheetData>
  <sheetProtection algorithmName="SHA-512" hashValue="7tT55aqo8clAqgVVxBdJMtaT6BTFsD7AmWQPvvT+LBFDti3CQj3kHhvRQhM168bdGROKVcUHpCgW92l+KXyd5g==" saltValue="ZqtriGUKAtvNQf7oXCVAtA==" spinCount="100000" sheet="1" objects="1" scenarios="1" selectLockedCells="1" selectUnlockedCells="1"/>
  <mergeCells count="18">
    <mergeCell ref="B75:J75"/>
    <mergeCell ref="B60:J60"/>
    <mergeCell ref="B61:J61"/>
    <mergeCell ref="B66:J66"/>
    <mergeCell ref="B71:J71"/>
    <mergeCell ref="B74:J74"/>
    <mergeCell ref="B4:J4"/>
    <mergeCell ref="B5:J5"/>
    <mergeCell ref="B55:J55"/>
    <mergeCell ref="B56:J56"/>
    <mergeCell ref="B59:J59"/>
    <mergeCell ref="B31:J31"/>
    <mergeCell ref="B25:J25"/>
    <mergeCell ref="B19:J19"/>
    <mergeCell ref="B20:J20"/>
    <mergeCell ref="B21:J21"/>
    <mergeCell ref="B24:J24"/>
    <mergeCell ref="B26:J2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1:C59"/>
  <sheetViews>
    <sheetView showGridLines="0" showRowColHeaders="0" zoomScaleNormal="100" workbookViewId="0">
      <selection activeCell="B7" sqref="B7"/>
    </sheetView>
  </sheetViews>
  <sheetFormatPr defaultColWidth="8.81640625" defaultRowHeight="14.5"/>
  <cols>
    <col min="1" max="1" width="1.54296875" style="15" customWidth="1"/>
    <col min="2" max="2" width="26.81640625" style="15" customWidth="1"/>
    <col min="3" max="3" width="46.54296875" style="15" bestFit="1" customWidth="1"/>
    <col min="4" max="4" width="10.81640625" style="15" customWidth="1"/>
    <col min="5" max="16384" width="8.81640625" style="15"/>
  </cols>
  <sheetData>
    <row r="1" spans="2:3" ht="7.5" customHeight="1"/>
    <row r="2" spans="2:3" ht="18.5">
      <c r="B2" s="487" t="s">
        <v>566</v>
      </c>
      <c r="C2" s="487"/>
    </row>
    <row r="4" spans="2:3" ht="75" customHeight="1">
      <c r="B4" s="855" t="s">
        <v>1105</v>
      </c>
      <c r="C4" s="855"/>
    </row>
    <row r="6" spans="2:3">
      <c r="B6" s="286" t="s">
        <v>694</v>
      </c>
      <c r="C6" s="287" t="s">
        <v>1106</v>
      </c>
    </row>
    <row r="7" spans="2:3">
      <c r="B7" s="832" t="s">
        <v>693</v>
      </c>
      <c r="C7" s="833">
        <v>14862.02</v>
      </c>
    </row>
    <row r="8" spans="2:3">
      <c r="B8" s="834" t="s">
        <v>547</v>
      </c>
      <c r="C8" s="833">
        <v>14122.22</v>
      </c>
    </row>
    <row r="9" spans="2:3">
      <c r="B9" s="833" t="s">
        <v>548</v>
      </c>
      <c r="C9" s="833">
        <v>15837.74</v>
      </c>
    </row>
    <row r="10" spans="2:3">
      <c r="B10" s="835" t="s">
        <v>549</v>
      </c>
      <c r="C10" s="833">
        <v>1</v>
      </c>
    </row>
    <row r="13" spans="2:3">
      <c r="B13" s="162" t="s">
        <v>60</v>
      </c>
      <c r="C13" s="162" t="s">
        <v>61</v>
      </c>
    </row>
    <row r="14" spans="2:3">
      <c r="B14" s="163" t="s">
        <v>62</v>
      </c>
      <c r="C14" s="163" t="s">
        <v>526</v>
      </c>
    </row>
    <row r="15" spans="2:3">
      <c r="B15" s="164" t="s">
        <v>63</v>
      </c>
      <c r="C15" s="164" t="s">
        <v>527</v>
      </c>
    </row>
    <row r="16" spans="2:3">
      <c r="B16" s="163" t="s">
        <v>64</v>
      </c>
      <c r="C16" s="163" t="s">
        <v>528</v>
      </c>
    </row>
    <row r="17" spans="2:3">
      <c r="B17" s="164" t="s">
        <v>520</v>
      </c>
      <c r="C17" s="164" t="s">
        <v>73</v>
      </c>
    </row>
    <row r="18" spans="2:3">
      <c r="B18" s="163" t="s">
        <v>521</v>
      </c>
      <c r="C18" s="163" t="s">
        <v>74</v>
      </c>
    </row>
    <row r="19" spans="2:3">
      <c r="B19" s="136" t="s">
        <v>522</v>
      </c>
      <c r="C19" s="164" t="s">
        <v>430</v>
      </c>
    </row>
    <row r="20" spans="2:3">
      <c r="B20" s="163" t="s">
        <v>525</v>
      </c>
      <c r="C20" s="163" t="s">
        <v>524</v>
      </c>
    </row>
    <row r="21" spans="2:3">
      <c r="B21" s="136" t="s">
        <v>523</v>
      </c>
      <c r="C21" s="164" t="s">
        <v>199</v>
      </c>
    </row>
    <row r="22" spans="2:3">
      <c r="B22" s="165" t="s">
        <v>135</v>
      </c>
      <c r="C22" s="163" t="s">
        <v>134</v>
      </c>
    </row>
    <row r="23" spans="2:3">
      <c r="B23" s="137"/>
      <c r="C23" s="137"/>
    </row>
    <row r="24" spans="2:3">
      <c r="B24" t="s">
        <v>65</v>
      </c>
    </row>
    <row r="25" spans="2:3">
      <c r="B25" s="3" t="s">
        <v>66</v>
      </c>
    </row>
    <row r="26" spans="2:3">
      <c r="B26" s="4" t="s">
        <v>67</v>
      </c>
    </row>
    <row r="27" spans="2:3" ht="29">
      <c r="B27" s="7" t="s">
        <v>134</v>
      </c>
    </row>
    <row r="29" spans="2:3">
      <c r="B29" s="5" t="s">
        <v>955</v>
      </c>
    </row>
    <row r="30" spans="2:3">
      <c r="B30" s="5" t="s">
        <v>432</v>
      </c>
    </row>
    <row r="31" spans="2:3">
      <c r="B31" s="5" t="s">
        <v>433</v>
      </c>
    </row>
    <row r="33" spans="2:3">
      <c r="B33" t="s">
        <v>512</v>
      </c>
      <c r="C33" t="s">
        <v>513</v>
      </c>
    </row>
    <row r="34" spans="2:3">
      <c r="B34" s="5" t="s">
        <v>437</v>
      </c>
      <c r="C34" s="5" t="s">
        <v>438</v>
      </c>
    </row>
    <row r="35" spans="2:3">
      <c r="B35" s="5" t="s">
        <v>100</v>
      </c>
      <c r="C35" s="5" t="s">
        <v>435</v>
      </c>
    </row>
    <row r="36" spans="2:3">
      <c r="B36" s="5" t="s">
        <v>99</v>
      </c>
      <c r="C36" s="5" t="s">
        <v>436</v>
      </c>
    </row>
    <row r="37" spans="2:3">
      <c r="B37" s="5" t="s">
        <v>101</v>
      </c>
      <c r="C37" s="5" t="s">
        <v>544</v>
      </c>
    </row>
    <row r="39" spans="2:3">
      <c r="B39" s="5" t="s">
        <v>508</v>
      </c>
    </row>
    <row r="40" spans="2:3">
      <c r="B40" s="5" t="s">
        <v>510</v>
      </c>
    </row>
    <row r="41" spans="2:3">
      <c r="B41" s="5" t="s">
        <v>105</v>
      </c>
    </row>
    <row r="42" spans="2:3">
      <c r="B42" s="5" t="s">
        <v>511</v>
      </c>
    </row>
    <row r="43" spans="2:3">
      <c r="B43"/>
    </row>
    <row r="45" spans="2:3">
      <c r="B45" t="s">
        <v>690</v>
      </c>
    </row>
    <row r="46" spans="2:3">
      <c r="B46" t="s">
        <v>691</v>
      </c>
    </row>
    <row r="47" spans="2:3">
      <c r="B47" t="s">
        <v>692</v>
      </c>
    </row>
    <row r="48" spans="2:3">
      <c r="B48" t="s">
        <v>873</v>
      </c>
    </row>
    <row r="58" spans="2:2">
      <c r="B58" s="276"/>
    </row>
    <row r="59" spans="2:2">
      <c r="B59" s="276"/>
    </row>
  </sheetData>
  <sheetProtection algorithmName="SHA-512" hashValue="NO96OPCdKLxGvXEZvTllQhIubsRB4L6Axv+CAFgxbPxen/b0EZC8aJFyMj1uy5mz9REJp3LxqGoeM4F6B4xPOQ==" saltValue="CleAb8tl0yb9hffwIbbCWg==" spinCount="100000" sheet="1" objects="1" scenarios="1" selectLockedCells="1"/>
  <mergeCells count="1">
    <mergeCell ref="B4:C4"/>
  </mergeCells>
  <conditionalFormatting sqref="B6">
    <cfRule type="expression" dxfId="914" priority="1">
      <formula>IF($M$15="CHF",TRUE)</formula>
    </cfRule>
    <cfRule type="expression" dxfId="913" priority="2">
      <formula>IF($M$15="EUR",TRUE)</formula>
    </cfRule>
    <cfRule type="expression" dxfId="912" priority="3">
      <formula>IF($M$15="USD",TRUE)</formula>
    </cfRule>
  </conditionalFormatting>
  <dataValidations count="2">
    <dataValidation type="list" allowBlank="1" showInputMessage="1" showErrorMessage="1" sqref="B25:B26">
      <formula1>"Manufacturing Direct Labor, Manufacturing Overhead, General &amp; Admin Overhead"</formula1>
    </dataValidation>
    <dataValidation type="list" allowBlank="1" showInputMessage="1" showErrorMessage="1" sqref="B27">
      <formula1>"Manufacturing Direct Labor, Manufacturing Overhead, Selling, General &amp; Admin Overhead"</formula1>
    </dataValidation>
  </dataValidation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79998168889431442"/>
  </sheetPr>
  <dimension ref="B1:P10"/>
  <sheetViews>
    <sheetView showGridLines="0" showRowColHeaders="0" workbookViewId="0"/>
  </sheetViews>
  <sheetFormatPr defaultColWidth="8.7265625" defaultRowHeight="14.5"/>
  <cols>
    <col min="1" max="1" width="0.81640625" style="15" customWidth="1"/>
    <col min="2" max="2" width="12" style="15" customWidth="1"/>
    <col min="3" max="3" width="25" style="15" customWidth="1"/>
    <col min="4" max="16384" width="8.7265625" style="15"/>
  </cols>
  <sheetData>
    <row r="1" spans="2:16" ht="5.15" customHeight="1"/>
    <row r="2" spans="2:16" ht="18.5">
      <c r="B2" s="872" t="s">
        <v>564</v>
      </c>
      <c r="C2" s="872"/>
      <c r="D2" s="872"/>
      <c r="E2" s="872"/>
      <c r="F2" s="872"/>
      <c r="G2" s="872"/>
      <c r="H2" s="872"/>
      <c r="I2" s="872"/>
      <c r="J2" s="872"/>
      <c r="K2" s="612"/>
      <c r="L2" s="612"/>
      <c r="M2" s="612"/>
      <c r="N2" s="612"/>
      <c r="O2" s="612"/>
      <c r="P2" s="612"/>
    </row>
    <row r="3" spans="2:16">
      <c r="B3" s="16"/>
    </row>
    <row r="4" spans="2:16">
      <c r="B4" s="611" t="s">
        <v>289</v>
      </c>
      <c r="C4" s="611" t="s">
        <v>246</v>
      </c>
      <c r="D4" s="611" t="s">
        <v>201</v>
      </c>
      <c r="E4" s="611"/>
      <c r="F4" s="611"/>
      <c r="G4" s="611"/>
      <c r="H4" s="611"/>
      <c r="I4" s="611"/>
      <c r="J4" s="611"/>
      <c r="K4" s="29"/>
      <c r="L4" s="29"/>
      <c r="M4" s="29"/>
      <c r="N4" s="29"/>
      <c r="O4" s="29"/>
      <c r="P4" s="29"/>
    </row>
    <row r="5" spans="2:16" ht="31.5" customHeight="1">
      <c r="B5" s="359">
        <v>5.0999999999999996</v>
      </c>
      <c r="C5" s="359" t="s">
        <v>931</v>
      </c>
      <c r="D5" s="899" t="s">
        <v>951</v>
      </c>
      <c r="E5" s="899"/>
      <c r="F5" s="899"/>
      <c r="G5" s="899"/>
      <c r="H5" s="899"/>
      <c r="I5" s="899"/>
      <c r="J5" s="899"/>
    </row>
    <row r="6" spans="2:16" ht="30.75" customHeight="1">
      <c r="B6" s="613">
        <v>5.2</v>
      </c>
      <c r="C6" s="359" t="s">
        <v>633</v>
      </c>
      <c r="D6" s="855" t="s">
        <v>952</v>
      </c>
      <c r="E6" s="855"/>
      <c r="F6" s="855"/>
      <c r="G6" s="855"/>
      <c r="H6" s="855"/>
      <c r="I6" s="855"/>
      <c r="J6" s="855"/>
    </row>
    <row r="7" spans="2:16" ht="30.75" customHeight="1">
      <c r="B7" s="359">
        <v>5.3</v>
      </c>
      <c r="C7" s="359" t="s">
        <v>565</v>
      </c>
      <c r="D7" s="855" t="s">
        <v>953</v>
      </c>
      <c r="E7" s="855"/>
      <c r="F7" s="855"/>
      <c r="G7" s="855"/>
      <c r="H7" s="855"/>
      <c r="I7" s="855"/>
      <c r="J7" s="855"/>
    </row>
    <row r="8" spans="2:16" ht="31.5" customHeight="1">
      <c r="B8" s="613"/>
      <c r="C8" s="359"/>
      <c r="D8" s="855"/>
      <c r="E8" s="855"/>
      <c r="F8" s="855"/>
      <c r="G8" s="855"/>
      <c r="H8" s="855"/>
      <c r="I8" s="855"/>
      <c r="J8" s="855"/>
    </row>
    <row r="9" spans="2:16" ht="32.25" customHeight="1">
      <c r="B9" s="359"/>
      <c r="C9" s="359"/>
      <c r="D9" s="855"/>
      <c r="E9" s="855"/>
      <c r="F9" s="855"/>
      <c r="G9" s="855"/>
      <c r="H9" s="855"/>
      <c r="I9" s="855"/>
      <c r="J9" s="855"/>
    </row>
    <row r="10" spans="2:16">
      <c r="D10" s="356"/>
      <c r="E10" s="356"/>
      <c r="F10" s="356"/>
      <c r="G10" s="356"/>
      <c r="H10" s="356"/>
      <c r="I10" s="356"/>
      <c r="J10" s="356"/>
    </row>
  </sheetData>
  <sheetProtection algorithmName="SHA-512" hashValue="3FTVR3V0aG0Qqn9NVgR5aP1Sbr+7A5+REsncuzaVuJcy6oHJmTKWKjmZ2evU9vAqNpdj6ns/zbNM2fUu8ULDIw==" saltValue="8gCZB/GWrro9dIToZN89aA==" spinCount="100000" sheet="1" objects="1" scenarios="1" selectLockedCells="1" selectUnlockedCells="1"/>
  <mergeCells count="6">
    <mergeCell ref="D9:J9"/>
    <mergeCell ref="B2:J2"/>
    <mergeCell ref="D5:J5"/>
    <mergeCell ref="D6:J6"/>
    <mergeCell ref="D7:J7"/>
    <mergeCell ref="D8:J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7" tint="0.79998168889431442"/>
    <pageSetUpPr fitToPage="1"/>
  </sheetPr>
  <dimension ref="A1:S130"/>
  <sheetViews>
    <sheetView showGridLines="0" showRowColHeaders="0" zoomScale="80" zoomScaleNormal="80" workbookViewId="0">
      <pane xSplit="2" ySplit="3" topLeftCell="C4" activePane="bottomRight" state="frozen"/>
      <selection pane="topRight" activeCell="C1" sqref="C1"/>
      <selection pane="bottomLeft" activeCell="A10" sqref="A10"/>
      <selection pane="bottomRight" activeCell="D108" sqref="D108"/>
    </sheetView>
  </sheetViews>
  <sheetFormatPr defaultColWidth="11.1796875" defaultRowHeight="14.5"/>
  <cols>
    <col min="1" max="1" width="0.81640625" style="15" customWidth="1"/>
    <col min="2" max="2" width="35.81640625" style="15" bestFit="1" customWidth="1"/>
    <col min="3" max="3" width="25.81640625" style="15" customWidth="1"/>
    <col min="4" max="4" width="27.54296875" style="15" customWidth="1"/>
    <col min="5" max="5" width="22.7265625" style="15" bestFit="1" customWidth="1"/>
    <col min="6" max="6" width="26.453125" style="15" bestFit="1" customWidth="1"/>
    <col min="7" max="17" width="22.7265625" style="15" bestFit="1" customWidth="1"/>
    <col min="18" max="18" width="22.7265625" style="15" customWidth="1"/>
    <col min="19" max="19" width="20.453125" style="15" bestFit="1" customWidth="1"/>
    <col min="20" max="16384" width="11.1796875" style="15"/>
  </cols>
  <sheetData>
    <row r="1" spans="1:18" ht="18.5">
      <c r="B1" s="392" t="s">
        <v>801</v>
      </c>
      <c r="C1" s="391"/>
      <c r="D1" s="22"/>
      <c r="E1" s="28"/>
      <c r="F1" s="22"/>
    </row>
    <row r="2" spans="1:18">
      <c r="A2" s="22"/>
    </row>
    <row r="3" spans="1:18" ht="16" thickBot="1">
      <c r="A3" s="22"/>
      <c r="C3" s="210" t="s">
        <v>591</v>
      </c>
      <c r="D3" s="210" t="s">
        <v>568</v>
      </c>
      <c r="E3" s="210" t="s">
        <v>569</v>
      </c>
      <c r="F3" s="210" t="s">
        <v>570</v>
      </c>
      <c r="G3" s="210" t="s">
        <v>571</v>
      </c>
      <c r="H3" s="210" t="s">
        <v>572</v>
      </c>
      <c r="I3" s="211"/>
      <c r="J3" s="211"/>
      <c r="K3" s="211"/>
      <c r="L3" s="211"/>
      <c r="M3" s="211"/>
      <c r="N3" s="211"/>
      <c r="O3" s="211"/>
      <c r="P3" s="211"/>
      <c r="Q3" s="211"/>
      <c r="R3" s="211"/>
    </row>
    <row r="4" spans="1:18" ht="18.5">
      <c r="A4" s="22"/>
      <c r="B4" s="229" t="s">
        <v>87</v>
      </c>
      <c r="C4" s="316">
        <v>0</v>
      </c>
      <c r="D4" s="316">
        <v>1</v>
      </c>
      <c r="E4" s="316">
        <v>2</v>
      </c>
      <c r="F4" s="316">
        <v>3</v>
      </c>
      <c r="G4" s="316">
        <v>4</v>
      </c>
      <c r="H4" s="316">
        <v>5</v>
      </c>
      <c r="I4" s="316"/>
      <c r="J4" s="316"/>
      <c r="K4" s="316"/>
      <c r="L4" s="316"/>
      <c r="M4" s="316"/>
      <c r="N4" s="316"/>
      <c r="O4" s="316"/>
      <c r="P4" s="316"/>
      <c r="Q4" s="316"/>
      <c r="R4" s="316"/>
    </row>
    <row r="5" spans="1:18" ht="15.5">
      <c r="A5" s="22"/>
      <c r="B5" s="212"/>
      <c r="C5" s="211"/>
      <c r="D5" s="211"/>
      <c r="E5" s="211"/>
      <c r="F5" s="211"/>
      <c r="G5" s="211"/>
      <c r="H5" s="211"/>
      <c r="I5" s="211"/>
      <c r="J5" s="211"/>
      <c r="K5" s="211"/>
      <c r="L5" s="211"/>
      <c r="M5" s="211"/>
      <c r="N5" s="211"/>
      <c r="O5" s="211"/>
      <c r="P5" s="211"/>
      <c r="Q5" s="211"/>
      <c r="R5" s="211"/>
    </row>
    <row r="6" spans="1:18" s="16" customFormat="1">
      <c r="B6" s="305" t="s">
        <v>612</v>
      </c>
      <c r="C6" s="301">
        <f t="shared" ref="C6:H6" si="0">SUM(C7:C8)</f>
        <v>0</v>
      </c>
      <c r="D6" s="301">
        <f t="shared" si="0"/>
        <v>45510.937499999985</v>
      </c>
      <c r="E6" s="301">
        <f t="shared" si="0"/>
        <v>45510.937499999985</v>
      </c>
      <c r="F6" s="301">
        <f t="shared" si="0"/>
        <v>45510.937499999985</v>
      </c>
      <c r="G6" s="301">
        <f t="shared" si="0"/>
        <v>45510.937499999985</v>
      </c>
      <c r="H6" s="418">
        <f t="shared" si="0"/>
        <v>45510.937499999985</v>
      </c>
      <c r="I6" s="417"/>
      <c r="J6" s="417"/>
      <c r="K6" s="417"/>
      <c r="L6" s="417"/>
      <c r="M6" s="417"/>
      <c r="N6" s="417"/>
      <c r="O6" s="417"/>
      <c r="P6" s="417"/>
      <c r="Q6" s="417"/>
      <c r="R6" s="417"/>
    </row>
    <row r="7" spans="1:18">
      <c r="B7" s="204" t="str">
        <f>IF(INDEX(General_Products,ROWS($B$7:$B7))="","",INDEX(General_Products,ROWS($B$7:$B7)))</f>
        <v>Eggs</v>
      </c>
      <c r="C7" s="300">
        <v>0</v>
      </c>
      <c r="D7" s="300">
        <f>INDEX(General_Products_Amount,MATCH($B7,General_Products,0))*INDEX(General_Products_Prices,MATCH($B7,General_Products,0))</f>
        <v>0</v>
      </c>
      <c r="E7" s="300">
        <f>D7</f>
        <v>0</v>
      </c>
      <c r="F7" s="300">
        <f t="shared" ref="F7:H7" si="1">E7</f>
        <v>0</v>
      </c>
      <c r="G7" s="300">
        <f t="shared" si="1"/>
        <v>0</v>
      </c>
      <c r="H7" s="419">
        <f t="shared" si="1"/>
        <v>0</v>
      </c>
      <c r="I7" s="114"/>
      <c r="J7" s="114"/>
      <c r="K7" s="114"/>
      <c r="L7" s="114"/>
      <c r="M7" s="114"/>
      <c r="N7" s="114"/>
      <c r="O7" s="114"/>
      <c r="P7" s="114"/>
      <c r="Q7" s="114"/>
      <c r="R7" s="114"/>
    </row>
    <row r="8" spans="1:18">
      <c r="B8" s="198" t="str">
        <f>IF(INDEX(General_Products,ROWS($B$7:$B8))="","",INDEX(General_Products,ROWS($B$7:$B8)))</f>
        <v>5DOL</v>
      </c>
      <c r="C8" s="299">
        <v>0</v>
      </c>
      <c r="D8" s="299">
        <f t="shared" ref="D8" si="2">INDEX(General_Products_Amount,MATCH($B8,General_Products,0))*INDEX(General_Products_Prices,MATCH($B8,General_Products,0))</f>
        <v>45510.937499999985</v>
      </c>
      <c r="E8" s="299">
        <f t="shared" ref="E8:H8" si="3">D8</f>
        <v>45510.937499999985</v>
      </c>
      <c r="F8" s="299">
        <f t="shared" si="3"/>
        <v>45510.937499999985</v>
      </c>
      <c r="G8" s="299">
        <f t="shared" si="3"/>
        <v>45510.937499999985</v>
      </c>
      <c r="H8" s="114">
        <f t="shared" si="3"/>
        <v>45510.937499999985</v>
      </c>
      <c r="I8" s="114"/>
      <c r="J8" s="114"/>
      <c r="K8" s="114"/>
      <c r="L8" s="114"/>
      <c r="M8" s="114"/>
      <c r="N8" s="114"/>
      <c r="O8" s="114"/>
      <c r="P8" s="114"/>
      <c r="Q8" s="114"/>
      <c r="R8" s="114"/>
    </row>
    <row r="9" spans="1:18">
      <c r="B9" s="198"/>
      <c r="C9" s="114"/>
      <c r="D9" s="114"/>
      <c r="E9" s="114"/>
      <c r="F9" s="114"/>
      <c r="G9" s="114"/>
      <c r="H9" s="114"/>
      <c r="I9" s="114"/>
      <c r="J9" s="114"/>
      <c r="K9" s="114"/>
      <c r="L9" s="114"/>
      <c r="M9" s="114"/>
      <c r="N9" s="114"/>
      <c r="O9" s="114"/>
      <c r="P9" s="114"/>
      <c r="Q9" s="114"/>
      <c r="R9" s="114"/>
    </row>
    <row r="10" spans="1:18" s="22" customFormat="1">
      <c r="B10" s="203"/>
      <c r="C10" s="114"/>
      <c r="D10" s="278"/>
      <c r="F10" s="114"/>
      <c r="G10" s="114"/>
      <c r="H10" s="114"/>
      <c r="J10" s="114"/>
      <c r="K10" s="114"/>
      <c r="L10" s="114"/>
      <c r="M10" s="114"/>
      <c r="N10" s="114"/>
      <c r="O10" s="114"/>
      <c r="P10" s="114"/>
      <c r="Q10" s="114"/>
      <c r="R10" s="114"/>
    </row>
    <row r="11" spans="1:18" s="22" customFormat="1" ht="18.5">
      <c r="B11" s="229" t="s">
        <v>592</v>
      </c>
      <c r="C11" s="114"/>
      <c r="D11" s="278"/>
      <c r="E11" s="114"/>
      <c r="F11" s="114"/>
      <c r="G11" s="114"/>
      <c r="H11" s="114"/>
      <c r="I11" s="114"/>
      <c r="J11" s="114"/>
      <c r="K11" s="114"/>
      <c r="L11" s="114"/>
      <c r="M11" s="114"/>
      <c r="N11" s="114"/>
      <c r="O11" s="114"/>
      <c r="P11" s="114"/>
      <c r="Q11" s="114"/>
      <c r="R11" s="114"/>
    </row>
    <row r="12" spans="1:18" s="22" customFormat="1">
      <c r="C12" s="114"/>
      <c r="D12" s="114"/>
      <c r="E12" s="114"/>
      <c r="F12" s="114"/>
      <c r="G12" s="114"/>
      <c r="H12" s="114"/>
      <c r="I12" s="114"/>
      <c r="J12" s="114"/>
      <c r="K12" s="114"/>
      <c r="L12" s="114"/>
      <c r="M12" s="114"/>
      <c r="N12" s="114"/>
      <c r="O12" s="114"/>
      <c r="P12" s="114"/>
      <c r="Q12" s="114"/>
      <c r="R12" s="114"/>
    </row>
    <row r="13" spans="1:18" s="16" customFormat="1">
      <c r="B13" s="305" t="s">
        <v>608</v>
      </c>
      <c r="C13" s="302">
        <f>SUM(C14:C23)</f>
        <v>7146.3640277520108</v>
      </c>
      <c r="D13" s="302">
        <f t="shared" ref="D13:G13" si="4">SUM(D14:D23)</f>
        <v>215.97170983032413</v>
      </c>
      <c r="E13" s="302">
        <f t="shared" si="4"/>
        <v>215.97170983032413</v>
      </c>
      <c r="F13" s="302">
        <f t="shared" si="4"/>
        <v>1044.5241612154464</v>
      </c>
      <c r="G13" s="302">
        <f t="shared" si="4"/>
        <v>215.97170983032413</v>
      </c>
      <c r="H13" s="302">
        <f>0</f>
        <v>0</v>
      </c>
      <c r="I13" s="421"/>
      <c r="J13" s="417"/>
      <c r="K13" s="417"/>
      <c r="L13" s="417"/>
      <c r="M13" s="417"/>
      <c r="N13" s="417"/>
      <c r="O13" s="417"/>
      <c r="P13" s="417"/>
      <c r="Q13" s="417"/>
      <c r="R13" s="417"/>
    </row>
    <row r="14" spans="1:18" s="238" customFormat="1">
      <c r="B14" s="284" t="s">
        <v>686</v>
      </c>
      <c r="C14" s="299">
        <f>'5.3-Unit SG&amp;A'!$C$51</f>
        <v>0</v>
      </c>
      <c r="D14" s="299">
        <v>0</v>
      </c>
      <c r="E14" s="299">
        <v>0</v>
      </c>
      <c r="F14" s="299">
        <v>0</v>
      </c>
      <c r="G14" s="299">
        <v>0</v>
      </c>
      <c r="H14" s="114">
        <v>0</v>
      </c>
      <c r="I14" s="114"/>
      <c r="J14" s="114"/>
      <c r="K14" s="114"/>
      <c r="L14" s="114"/>
      <c r="M14" s="114"/>
      <c r="N14" s="114"/>
      <c r="O14" s="114"/>
      <c r="P14" s="114"/>
      <c r="Q14" s="114"/>
      <c r="R14" s="114"/>
    </row>
    <row r="15" spans="1:18" s="238" customFormat="1">
      <c r="B15" s="284" t="s">
        <v>687</v>
      </c>
      <c r="C15" s="299">
        <f>'5.3-Unit SG&amp;A'!$C$52</f>
        <v>0</v>
      </c>
      <c r="D15" s="299">
        <v>0</v>
      </c>
      <c r="E15" s="299">
        <v>0</v>
      </c>
      <c r="F15" s="299">
        <v>0</v>
      </c>
      <c r="G15" s="299">
        <v>0</v>
      </c>
      <c r="H15" s="114">
        <v>0</v>
      </c>
      <c r="I15" s="114"/>
      <c r="K15" s="114"/>
      <c r="L15" s="114"/>
      <c r="M15" s="114"/>
      <c r="N15" s="114"/>
      <c r="O15" s="114"/>
      <c r="P15" s="114"/>
      <c r="Q15" s="114"/>
      <c r="R15" s="114"/>
    </row>
    <row r="16" spans="1:18">
      <c r="B16" s="198" t="s">
        <v>136</v>
      </c>
      <c r="C16" s="299">
        <f>'5.3-Unit W'!H$149</f>
        <v>0</v>
      </c>
      <c r="D16" s="299">
        <f>'5.3-Unit W'!I$149</f>
        <v>0</v>
      </c>
      <c r="E16" s="299">
        <f>'5.3-Unit W'!J$149</f>
        <v>0</v>
      </c>
      <c r="F16" s="408">
        <f>'5.3-Unit W'!K$149</f>
        <v>0</v>
      </c>
      <c r="G16" s="299">
        <f>'5.3-Unit W'!L$149</f>
        <v>0</v>
      </c>
      <c r="H16" s="114">
        <f>'5.3-Unit W'!M$149</f>
        <v>0</v>
      </c>
      <c r="I16" s="114"/>
      <c r="J16" s="114"/>
      <c r="K16" s="114"/>
      <c r="L16" s="114"/>
      <c r="M16" s="114"/>
      <c r="N16" s="114"/>
      <c r="O16" s="114"/>
      <c r="P16" s="114"/>
      <c r="Q16" s="114"/>
      <c r="R16" s="114"/>
    </row>
    <row r="17" spans="2:18">
      <c r="B17" s="198" t="s">
        <v>137</v>
      </c>
      <c r="C17" s="299">
        <f>'5.3-Unit T'!H$149</f>
        <v>527.25421357265361</v>
      </c>
      <c r="D17" s="299">
        <f>'5.3-Unit T'!I$149</f>
        <v>0</v>
      </c>
      <c r="E17" s="299">
        <f>'5.3-Unit T'!J$149</f>
        <v>0</v>
      </c>
      <c r="F17" s="408">
        <f>'5.3-Unit T'!K$149</f>
        <v>191.18807099733613</v>
      </c>
      <c r="G17" s="299">
        <f>'5.3-Unit T'!L$149</f>
        <v>0</v>
      </c>
      <c r="H17" s="114">
        <f>'5.3-Unit T'!M$149</f>
        <v>336.06614257531749</v>
      </c>
      <c r="I17" s="114"/>
      <c r="J17" s="114"/>
      <c r="K17" s="114"/>
      <c r="L17" s="114"/>
      <c r="M17" s="114"/>
      <c r="N17" s="114"/>
      <c r="O17" s="114"/>
      <c r="P17" s="114"/>
      <c r="Q17" s="114"/>
      <c r="R17" s="114"/>
    </row>
    <row r="18" spans="2:18">
      <c r="B18" s="198" t="s">
        <v>138</v>
      </c>
      <c r="C18" s="299">
        <f>'5.3-Unit H'!H$149</f>
        <v>3735.9211228829458</v>
      </c>
      <c r="D18" s="299">
        <f>'5.3-Unit H'!I$149</f>
        <v>0</v>
      </c>
      <c r="E18" s="299">
        <f>'5.3-Unit H'!J$149</f>
        <v>0</v>
      </c>
      <c r="F18" s="408">
        <f>'5.3-Unit H'!K$149</f>
        <v>192.60427893064974</v>
      </c>
      <c r="G18" s="299">
        <f>'5.3-Unit H'!L$149</f>
        <v>0</v>
      </c>
      <c r="H18" s="114">
        <f>'5.3-Unit H'!M$149</f>
        <v>3543.316843952296</v>
      </c>
      <c r="I18" s="114"/>
      <c r="J18" s="114"/>
      <c r="K18" s="114"/>
      <c r="L18" s="114"/>
      <c r="M18" s="114"/>
      <c r="N18" s="114"/>
      <c r="O18" s="114"/>
      <c r="P18" s="114"/>
      <c r="Q18" s="114"/>
      <c r="R18" s="114"/>
    </row>
    <row r="19" spans="2:18">
      <c r="B19" s="198" t="s">
        <v>539</v>
      </c>
      <c r="C19" s="299">
        <f>'5.3-Unit N (17DOL-Egg)'!H$149+'5.3-Unit N (Egg-5DOL)'!H$149+'5.3-Unit N (5DOL-17DOL)'!H$149</f>
        <v>2426.3890521461926</v>
      </c>
      <c r="D19" s="299">
        <f>'5.3-Unit N (17DOL-Egg)'!I$149+'5.3-Unit N (Egg-5DOL)'!I$149+'5.3-Unit N (5DOL-17DOL)'!I$149</f>
        <v>215.97170983032413</v>
      </c>
      <c r="E19" s="299">
        <f>'5.3-Unit N (17DOL-Egg)'!J$149+'5.3-Unit N (Egg-5DOL)'!J$149+'5.3-Unit N (5DOL-17DOL)'!J$149</f>
        <v>215.97170983032413</v>
      </c>
      <c r="F19" s="408">
        <f>'5.3-Unit N (17DOL-Egg)'!K$149+'5.3-Unit N (Egg-5DOL)'!K$149+'5.3-Unit N (5DOL-17DOL)'!K$149</f>
        <v>552.39190438897003</v>
      </c>
      <c r="G19" s="299">
        <f>'5.3-Unit N (17DOL-Egg)'!L$149+'5.3-Unit N (Egg-5DOL)'!L$149+'5.3-Unit N (5DOL-17DOL)'!L$149</f>
        <v>215.97170983032413</v>
      </c>
      <c r="H19" s="114">
        <f>'5.3-Unit N (17DOL-Egg)'!M$149+'5.3-Unit N (Egg-5DOL)'!M$149+'5.3-Unit N (5DOL-17DOL)'!M$149</f>
        <v>2089.9688575875462</v>
      </c>
      <c r="I19" s="114"/>
      <c r="J19" s="114"/>
      <c r="K19" s="114"/>
      <c r="L19" s="114"/>
      <c r="M19" s="114"/>
      <c r="N19" s="114"/>
      <c r="O19" s="114"/>
      <c r="P19" s="114"/>
      <c r="Q19" s="114"/>
      <c r="R19" s="114"/>
    </row>
    <row r="20" spans="2:18">
      <c r="B20" s="198" t="s">
        <v>282</v>
      </c>
      <c r="C20" s="299">
        <f>'5.3-Unit P'!H$149</f>
        <v>282.49807749773055</v>
      </c>
      <c r="D20" s="299">
        <f>'5.3-Unit P'!I$149</f>
        <v>0</v>
      </c>
      <c r="E20" s="408">
        <f>'5.3-Unit P'!J$149</f>
        <v>0</v>
      </c>
      <c r="F20" s="408">
        <f>'5.3-Unit P'!K$149</f>
        <v>108.33990689849048</v>
      </c>
      <c r="G20" s="408">
        <f>'5.3-Unit P'!L$149</f>
        <v>0</v>
      </c>
      <c r="H20" s="114">
        <f>'5.3-Unit P'!M$149</f>
        <v>174.15817059924007</v>
      </c>
      <c r="I20" s="114"/>
      <c r="J20" s="114"/>
      <c r="K20" s="114"/>
      <c r="L20" s="114"/>
      <c r="M20" s="114"/>
      <c r="N20" s="114"/>
      <c r="O20" s="114"/>
      <c r="P20" s="114"/>
      <c r="Q20" s="114"/>
      <c r="R20" s="114"/>
    </row>
    <row r="21" spans="2:18">
      <c r="B21" s="198" t="s">
        <v>192</v>
      </c>
      <c r="C21" s="299">
        <f>'5.3-Unit R'!H$149</f>
        <v>0</v>
      </c>
      <c r="D21" s="299">
        <f>'5.3-Unit R'!I$149</f>
        <v>0</v>
      </c>
      <c r="E21" s="408">
        <f>'5.3-Unit R'!J$149</f>
        <v>0</v>
      </c>
      <c r="F21" s="408">
        <f>'5.3-Unit R'!K$149</f>
        <v>0</v>
      </c>
      <c r="G21" s="408">
        <f>'5.3-Unit R'!L$149</f>
        <v>0</v>
      </c>
      <c r="H21" s="114">
        <f>'5.3-Unit R'!M$149</f>
        <v>0</v>
      </c>
      <c r="I21" s="114"/>
      <c r="J21" s="114"/>
      <c r="K21" s="114"/>
      <c r="L21" s="114"/>
      <c r="M21" s="114"/>
      <c r="N21" s="114"/>
      <c r="O21" s="114"/>
      <c r="P21" s="114"/>
      <c r="Q21" s="114"/>
      <c r="R21" s="114"/>
    </row>
    <row r="22" spans="2:18">
      <c r="B22" s="198" t="s">
        <v>857</v>
      </c>
      <c r="C22" s="299">
        <f>SUM(C16:C21)*General_Process_InstallCost</f>
        <v>174.30156165248809</v>
      </c>
      <c r="D22" s="299"/>
      <c r="E22" s="408"/>
      <c r="F22" s="408"/>
      <c r="G22" s="408"/>
      <c r="H22" s="114"/>
      <c r="I22" s="114"/>
      <c r="J22" s="114"/>
      <c r="K22" s="114"/>
      <c r="L22" s="114"/>
      <c r="M22" s="114"/>
      <c r="N22" s="114"/>
      <c r="O22" s="114"/>
      <c r="P22" s="114"/>
      <c r="Q22" s="114"/>
      <c r="R22" s="114"/>
    </row>
    <row r="23" spans="2:18" s="22" customFormat="1">
      <c r="B23" s="198" t="s">
        <v>1040</v>
      </c>
      <c r="C23" s="114">
        <f>'2.2-Equipment input'!G8*'2.2-Equipment input'!U8</f>
        <v>0</v>
      </c>
      <c r="D23" s="299">
        <f>IFERROR(IF($C$23=0,0,IF(MOD(COLUMNS($C$13:D$13)-1,#REF!)=0,'5.1-Financial Analysis'!$C$23,)),)</f>
        <v>0</v>
      </c>
      <c r="E23" s="408">
        <f>IFERROR(IF($C$23=0,0,IF(MOD(COLUMNS($C$13:E$13)-1,#REF!)=0,'5.1-Financial Analysis'!$C$23,)),)</f>
        <v>0</v>
      </c>
      <c r="F23" s="408">
        <f>IFERROR(IF($C$23=0,0,IF(MOD(COLUMNS($C$13:F$13)-1,#REF!)=0,'5.1-Financial Analysis'!$C$23,)),)</f>
        <v>0</v>
      </c>
      <c r="G23" s="408">
        <f>IFERROR(IF($C$23=0,0,IF(MOD(COLUMNS($C$13:G$13)-1,#REF!)=0,'5.1-Financial Analysis'!$C$23,)),)</f>
        <v>0</v>
      </c>
      <c r="H23" s="114">
        <f>IFERROR(IF($C$23=0,0,IF(MOD(COLUMNS($C$13:H$13)-1,#REF!)=0,'5.1-Financial Analysis'!$C$23,)),)</f>
        <v>0</v>
      </c>
      <c r="I23" s="114"/>
      <c r="J23" s="114"/>
      <c r="K23" s="114"/>
      <c r="L23" s="114"/>
      <c r="M23" s="114"/>
      <c r="N23" s="114"/>
      <c r="O23" s="114"/>
      <c r="P23" s="114"/>
      <c r="Q23" s="114"/>
      <c r="R23" s="114"/>
    </row>
    <row r="24" spans="2:18" s="22" customFormat="1">
      <c r="C24" s="114"/>
      <c r="D24" s="114"/>
      <c r="E24" s="114"/>
      <c r="F24" s="114"/>
      <c r="G24" s="114"/>
      <c r="H24" s="114"/>
      <c r="I24" s="114"/>
      <c r="J24" s="114"/>
      <c r="K24" s="114"/>
      <c r="L24" s="114"/>
      <c r="M24" s="114"/>
      <c r="N24" s="114"/>
      <c r="O24" s="114"/>
      <c r="P24" s="114"/>
      <c r="Q24" s="114"/>
      <c r="R24" s="114"/>
    </row>
    <row r="25" spans="2:18" s="22" customFormat="1">
      <c r="B25" s="213"/>
      <c r="C25" s="114"/>
      <c r="D25" s="114"/>
      <c r="E25" s="114"/>
      <c r="F25" s="114"/>
      <c r="G25" s="114"/>
      <c r="H25" s="114"/>
      <c r="I25" s="114"/>
      <c r="J25" s="114"/>
      <c r="K25" s="114"/>
      <c r="L25" s="114"/>
      <c r="M25" s="114"/>
      <c r="N25" s="114"/>
      <c r="O25" s="114"/>
      <c r="P25" s="114"/>
      <c r="Q25" s="114"/>
      <c r="R25" s="114"/>
    </row>
    <row r="26" spans="2:18" s="22" customFormat="1" ht="18.5">
      <c r="B26" s="229" t="s">
        <v>593</v>
      </c>
      <c r="C26" s="114"/>
      <c r="D26" s="114"/>
      <c r="E26" s="114"/>
      <c r="F26" s="114"/>
      <c r="G26" s="114"/>
      <c r="H26" s="114"/>
      <c r="I26" s="114"/>
      <c r="J26" s="114"/>
      <c r="K26" s="114"/>
      <c r="L26" s="114"/>
      <c r="M26" s="114"/>
      <c r="N26" s="114"/>
      <c r="O26" s="114"/>
      <c r="P26" s="114"/>
      <c r="Q26" s="114"/>
      <c r="R26" s="114"/>
    </row>
    <row r="27" spans="2:18" s="22" customFormat="1">
      <c r="B27" s="214"/>
      <c r="C27" s="114"/>
      <c r="D27" s="114"/>
      <c r="E27" s="114"/>
      <c r="F27" s="114"/>
      <c r="G27" s="114"/>
      <c r="H27" s="114"/>
      <c r="I27" s="114"/>
      <c r="J27" s="114"/>
      <c r="K27" s="114"/>
      <c r="L27" s="114"/>
      <c r="M27" s="114"/>
      <c r="N27" s="114"/>
      <c r="O27" s="114"/>
      <c r="P27" s="114"/>
      <c r="Q27" s="114"/>
      <c r="R27" s="114"/>
    </row>
    <row r="28" spans="2:18">
      <c r="B28" s="305" t="s">
        <v>845</v>
      </c>
      <c r="C28" s="302">
        <f>SUM(C29,C37,C45)</f>
        <v>0</v>
      </c>
      <c r="D28" s="302">
        <f>SUM(D29,D37,D45)</f>
        <v>5602.8582545803711</v>
      </c>
      <c r="E28" s="302">
        <f>SUM(E29,E37,E45)</f>
        <v>5602.8582545803711</v>
      </c>
      <c r="F28" s="302">
        <f t="shared" ref="F28:H28" si="5">SUM(F29,F37,F45)</f>
        <v>5602.8582545803711</v>
      </c>
      <c r="G28" s="302">
        <f t="shared" si="5"/>
        <v>5602.8582545803711</v>
      </c>
      <c r="H28" s="415">
        <f t="shared" si="5"/>
        <v>5602.8582545803711</v>
      </c>
      <c r="I28" s="417"/>
      <c r="J28" s="417"/>
      <c r="K28" s="417"/>
      <c r="L28" s="417"/>
      <c r="M28" s="417"/>
      <c r="N28" s="417"/>
      <c r="O28" s="417"/>
      <c r="P28" s="417"/>
      <c r="Q28" s="417"/>
      <c r="R28" s="417"/>
    </row>
    <row r="29" spans="2:18">
      <c r="B29" s="224" t="s">
        <v>828</v>
      </c>
      <c r="C29" s="303">
        <f t="shared" ref="C29:H29" si="6">SUM(C30:C35)</f>
        <v>0</v>
      </c>
      <c r="D29" s="303">
        <f t="shared" si="6"/>
        <v>1779.0968346336483</v>
      </c>
      <c r="E29" s="303">
        <f t="shared" si="6"/>
        <v>1779.0968346336483</v>
      </c>
      <c r="F29" s="303">
        <f t="shared" si="6"/>
        <v>1779.0968346336483</v>
      </c>
      <c r="G29" s="303">
        <f t="shared" si="6"/>
        <v>1779.0968346336483</v>
      </c>
      <c r="H29" s="420">
        <f t="shared" si="6"/>
        <v>1779.0968346336483</v>
      </c>
      <c r="I29" s="417"/>
      <c r="J29" s="417"/>
      <c r="K29" s="417"/>
      <c r="L29" s="417"/>
      <c r="M29" s="417"/>
      <c r="N29" s="417"/>
      <c r="O29" s="417"/>
      <c r="P29" s="417"/>
      <c r="Q29" s="417"/>
      <c r="R29" s="417"/>
    </row>
    <row r="30" spans="2:18">
      <c r="B30" s="213" t="s">
        <v>136</v>
      </c>
      <c r="C30" s="299">
        <v>0</v>
      </c>
      <c r="D30" s="299">
        <f>'5.3-Unit W'!$G$15</f>
        <v>0</v>
      </c>
      <c r="E30" s="299">
        <f>D30</f>
        <v>0</v>
      </c>
      <c r="F30" s="299">
        <f t="shared" ref="F30:H30" si="7">E30</f>
        <v>0</v>
      </c>
      <c r="G30" s="299">
        <f t="shared" si="7"/>
        <v>0</v>
      </c>
      <c r="H30" s="114">
        <f t="shared" si="7"/>
        <v>0</v>
      </c>
      <c r="I30" s="114"/>
      <c r="J30" s="114"/>
      <c r="K30" s="114"/>
      <c r="L30" s="114"/>
      <c r="M30" s="114"/>
      <c r="N30" s="114"/>
      <c r="O30" s="114"/>
      <c r="P30" s="114"/>
      <c r="Q30" s="114"/>
      <c r="R30" s="114"/>
    </row>
    <row r="31" spans="2:18">
      <c r="B31" s="213" t="s">
        <v>137</v>
      </c>
      <c r="C31" s="299">
        <v>0</v>
      </c>
      <c r="D31" s="299">
        <f>'5.3-Unit T'!$G$15</f>
        <v>0</v>
      </c>
      <c r="E31" s="299">
        <f t="shared" ref="E31:H35" si="8">D31</f>
        <v>0</v>
      </c>
      <c r="F31" s="299">
        <f t="shared" si="8"/>
        <v>0</v>
      </c>
      <c r="G31" s="299">
        <f t="shared" si="8"/>
        <v>0</v>
      </c>
      <c r="H31" s="114">
        <f t="shared" si="8"/>
        <v>0</v>
      </c>
      <c r="I31" s="114"/>
      <c r="J31" s="114"/>
      <c r="K31" s="114"/>
      <c r="L31" s="114"/>
      <c r="M31" s="114"/>
      <c r="N31" s="114"/>
      <c r="O31" s="114"/>
      <c r="P31" s="114"/>
      <c r="Q31" s="114"/>
      <c r="R31" s="114"/>
    </row>
    <row r="32" spans="2:18">
      <c r="B32" s="213" t="s">
        <v>138</v>
      </c>
      <c r="C32" s="299">
        <v>0</v>
      </c>
      <c r="D32" s="299">
        <f>'5.3-Unit H'!$G$15</f>
        <v>0</v>
      </c>
      <c r="E32" s="299">
        <f t="shared" si="8"/>
        <v>0</v>
      </c>
      <c r="F32" s="299">
        <f t="shared" si="8"/>
        <v>0</v>
      </c>
      <c r="G32" s="299">
        <f t="shared" si="8"/>
        <v>0</v>
      </c>
      <c r="H32" s="114">
        <f t="shared" si="8"/>
        <v>0</v>
      </c>
      <c r="I32" s="114"/>
      <c r="J32" s="114"/>
      <c r="K32" s="114"/>
      <c r="L32" s="114"/>
      <c r="M32" s="114"/>
      <c r="N32" s="114"/>
      <c r="O32" s="114"/>
      <c r="P32" s="114"/>
      <c r="Q32" s="114"/>
      <c r="R32" s="114"/>
    </row>
    <row r="33" spans="2:18">
      <c r="B33" s="213" t="s">
        <v>539</v>
      </c>
      <c r="C33" s="299">
        <v>0</v>
      </c>
      <c r="D33" s="299">
        <f>'5.3-Unit N (17DOL-Egg)'!$G$15+'5.3-Unit N (Egg-5DOL)'!$G$15+'5.3-Unit N (5DOL-17DOL)'!$G$15</f>
        <v>1779.0968346336483</v>
      </c>
      <c r="E33" s="299">
        <f t="shared" si="8"/>
        <v>1779.0968346336483</v>
      </c>
      <c r="F33" s="299">
        <f t="shared" si="8"/>
        <v>1779.0968346336483</v>
      </c>
      <c r="G33" s="299">
        <f t="shared" si="8"/>
        <v>1779.0968346336483</v>
      </c>
      <c r="H33" s="114">
        <f t="shared" si="8"/>
        <v>1779.0968346336483</v>
      </c>
      <c r="I33" s="114"/>
      <c r="J33" s="114"/>
      <c r="K33" s="114"/>
      <c r="L33" s="114"/>
      <c r="M33" s="114"/>
      <c r="N33" s="114"/>
      <c r="O33" s="114"/>
      <c r="P33" s="114"/>
      <c r="Q33" s="114"/>
      <c r="R33" s="114"/>
    </row>
    <row r="34" spans="2:18">
      <c r="B34" s="213" t="s">
        <v>282</v>
      </c>
      <c r="C34" s="299">
        <v>0</v>
      </c>
      <c r="D34" s="299">
        <f>'5.3-Unit P'!$G$15</f>
        <v>0</v>
      </c>
      <c r="E34" s="299">
        <f t="shared" si="8"/>
        <v>0</v>
      </c>
      <c r="F34" s="299">
        <f t="shared" si="8"/>
        <v>0</v>
      </c>
      <c r="G34" s="299">
        <f t="shared" si="8"/>
        <v>0</v>
      </c>
      <c r="H34" s="114">
        <f t="shared" si="8"/>
        <v>0</v>
      </c>
      <c r="I34" s="114"/>
      <c r="J34" s="114"/>
      <c r="K34" s="114"/>
      <c r="L34" s="114"/>
      <c r="M34" s="114"/>
      <c r="N34" s="114"/>
      <c r="O34" s="114"/>
      <c r="P34" s="114"/>
      <c r="Q34" s="114"/>
      <c r="R34" s="114"/>
    </row>
    <row r="35" spans="2:18">
      <c r="B35" s="213" t="s">
        <v>192</v>
      </c>
      <c r="C35" s="299">
        <v>0</v>
      </c>
      <c r="D35" s="299">
        <f>'5.3-Unit R'!$G$15</f>
        <v>0</v>
      </c>
      <c r="E35" s="299">
        <f t="shared" si="8"/>
        <v>0</v>
      </c>
      <c r="F35" s="299">
        <f t="shared" si="8"/>
        <v>0</v>
      </c>
      <c r="G35" s="299">
        <f t="shared" si="8"/>
        <v>0</v>
      </c>
      <c r="H35" s="114">
        <f t="shared" si="8"/>
        <v>0</v>
      </c>
      <c r="I35" s="114"/>
      <c r="J35" s="114"/>
      <c r="K35" s="114"/>
      <c r="L35" s="114"/>
      <c r="M35" s="114"/>
      <c r="N35" s="114"/>
      <c r="O35" s="114"/>
      <c r="P35" s="114"/>
      <c r="Q35" s="114"/>
      <c r="R35" s="114"/>
    </row>
    <row r="36" spans="2:18">
      <c r="B36" s="221"/>
      <c r="C36" s="114"/>
      <c r="D36" s="114"/>
      <c r="E36" s="114"/>
      <c r="F36" s="114"/>
      <c r="G36" s="114"/>
      <c r="H36" s="114"/>
      <c r="I36" s="114"/>
      <c r="J36" s="114"/>
      <c r="K36" s="114"/>
      <c r="L36" s="114"/>
      <c r="M36" s="114"/>
      <c r="N36" s="114"/>
      <c r="O36" s="114"/>
      <c r="P36" s="114"/>
      <c r="Q36" s="114"/>
      <c r="R36" s="114"/>
    </row>
    <row r="37" spans="2:18">
      <c r="B37" s="224" t="s">
        <v>827</v>
      </c>
      <c r="C37" s="303">
        <f t="shared" ref="C37:H37" si="9">SUM(C38:C43)</f>
        <v>0</v>
      </c>
      <c r="D37" s="303">
        <f t="shared" si="9"/>
        <v>3823.7614199467225</v>
      </c>
      <c r="E37" s="303">
        <f t="shared" si="9"/>
        <v>3823.7614199467225</v>
      </c>
      <c r="F37" s="303">
        <f t="shared" si="9"/>
        <v>3823.7614199467225</v>
      </c>
      <c r="G37" s="303">
        <f t="shared" si="9"/>
        <v>3823.7614199467225</v>
      </c>
      <c r="H37" s="420">
        <f t="shared" si="9"/>
        <v>3823.7614199467225</v>
      </c>
      <c r="I37" s="417"/>
      <c r="J37" s="417"/>
      <c r="K37" s="417"/>
      <c r="L37" s="417"/>
      <c r="M37" s="417"/>
      <c r="N37" s="417"/>
      <c r="O37" s="417"/>
      <c r="P37" s="417"/>
      <c r="Q37" s="417"/>
      <c r="R37" s="417"/>
    </row>
    <row r="38" spans="2:18">
      <c r="B38" s="213" t="s">
        <v>136</v>
      </c>
      <c r="C38" s="299">
        <v>0</v>
      </c>
      <c r="D38" s="299">
        <f>'5.3-Unit W'!$G$45</f>
        <v>0</v>
      </c>
      <c r="E38" s="299">
        <f>D38</f>
        <v>0</v>
      </c>
      <c r="F38" s="299">
        <f t="shared" ref="F38:H38" si="10">E38</f>
        <v>0</v>
      </c>
      <c r="G38" s="299">
        <f t="shared" si="10"/>
        <v>0</v>
      </c>
      <c r="H38" s="114">
        <f t="shared" si="10"/>
        <v>0</v>
      </c>
      <c r="I38" s="114"/>
      <c r="J38" s="114"/>
      <c r="K38" s="114"/>
      <c r="L38" s="114"/>
      <c r="M38" s="114"/>
      <c r="N38" s="114"/>
      <c r="O38" s="114"/>
      <c r="P38" s="114"/>
      <c r="Q38" s="114"/>
      <c r="R38" s="114"/>
    </row>
    <row r="39" spans="2:18">
      <c r="B39" s="213" t="s">
        <v>137</v>
      </c>
      <c r="C39" s="299">
        <v>0</v>
      </c>
      <c r="D39" s="299">
        <f>'5.3-Unit T'!$G$45</f>
        <v>223.92006629158269</v>
      </c>
      <c r="E39" s="299">
        <f t="shared" ref="E39:H43" si="11">D39</f>
        <v>223.92006629158269</v>
      </c>
      <c r="F39" s="299">
        <f t="shared" si="11"/>
        <v>223.92006629158269</v>
      </c>
      <c r="G39" s="299">
        <f t="shared" si="11"/>
        <v>223.92006629158269</v>
      </c>
      <c r="H39" s="114">
        <f t="shared" si="11"/>
        <v>223.92006629158269</v>
      </c>
      <c r="I39" s="114"/>
      <c r="J39" s="114"/>
      <c r="K39" s="114"/>
      <c r="L39" s="114"/>
      <c r="M39" s="114"/>
      <c r="N39" s="114"/>
      <c r="O39" s="114"/>
      <c r="P39" s="114"/>
      <c r="Q39" s="114"/>
      <c r="R39" s="114"/>
    </row>
    <row r="40" spans="2:18">
      <c r="B40" s="213" t="s">
        <v>138</v>
      </c>
      <c r="C40" s="299">
        <v>0</v>
      </c>
      <c r="D40" s="299">
        <f>'5.3-Unit H'!$G$45</f>
        <v>1475.5294536847382</v>
      </c>
      <c r="E40" s="299">
        <f t="shared" si="11"/>
        <v>1475.5294536847382</v>
      </c>
      <c r="F40" s="299">
        <f t="shared" si="11"/>
        <v>1475.5294536847382</v>
      </c>
      <c r="G40" s="299">
        <f t="shared" si="11"/>
        <v>1475.5294536847382</v>
      </c>
      <c r="H40" s="114">
        <f t="shared" si="11"/>
        <v>1475.5294536847382</v>
      </c>
      <c r="I40" s="114"/>
      <c r="J40" s="114"/>
      <c r="K40" s="114"/>
      <c r="L40" s="114"/>
      <c r="M40" s="114"/>
      <c r="N40" s="114"/>
      <c r="O40" s="114"/>
      <c r="P40" s="114"/>
      <c r="Q40" s="114"/>
      <c r="R40" s="114"/>
    </row>
    <row r="41" spans="2:18">
      <c r="B41" s="213" t="s">
        <v>539</v>
      </c>
      <c r="C41" s="299">
        <v>0</v>
      </c>
      <c r="D41" s="299">
        <f>'5.3-Unit N (17DOL-Egg)'!$G$45+'5.3-Unit N (Egg-5DOL)'!$G$45+'5.3-Unit N (5DOL-17DOL)'!$G$45</f>
        <v>2124.3118999704016</v>
      </c>
      <c r="E41" s="299">
        <f t="shared" si="11"/>
        <v>2124.3118999704016</v>
      </c>
      <c r="F41" s="299">
        <f t="shared" si="11"/>
        <v>2124.3118999704016</v>
      </c>
      <c r="G41" s="299">
        <f t="shared" si="11"/>
        <v>2124.3118999704016</v>
      </c>
      <c r="H41" s="114">
        <f t="shared" si="11"/>
        <v>2124.3118999704016</v>
      </c>
      <c r="I41" s="114"/>
      <c r="J41" s="114"/>
      <c r="K41" s="114"/>
      <c r="L41" s="114"/>
      <c r="M41" s="114"/>
      <c r="N41" s="114"/>
      <c r="O41" s="114"/>
      <c r="P41" s="114"/>
      <c r="Q41" s="114"/>
      <c r="R41" s="114"/>
    </row>
    <row r="42" spans="2:18">
      <c r="B42" s="213" t="s">
        <v>282</v>
      </c>
      <c r="C42" s="299">
        <v>0</v>
      </c>
      <c r="D42" s="299">
        <f>'5.3-Unit P'!$G$45</f>
        <v>0</v>
      </c>
      <c r="E42" s="299">
        <f t="shared" si="11"/>
        <v>0</v>
      </c>
      <c r="F42" s="299">
        <f t="shared" si="11"/>
        <v>0</v>
      </c>
      <c r="G42" s="299">
        <f t="shared" si="11"/>
        <v>0</v>
      </c>
      <c r="H42" s="114">
        <f t="shared" si="11"/>
        <v>0</v>
      </c>
      <c r="I42" s="114"/>
      <c r="J42" s="114"/>
      <c r="K42" s="114"/>
      <c r="L42" s="114"/>
      <c r="M42" s="114"/>
      <c r="N42" s="114"/>
      <c r="O42" s="114"/>
      <c r="P42" s="114"/>
      <c r="Q42" s="114"/>
      <c r="R42" s="114"/>
    </row>
    <row r="43" spans="2:18">
      <c r="B43" s="213" t="s">
        <v>192</v>
      </c>
      <c r="C43" s="299">
        <v>0</v>
      </c>
      <c r="D43" s="299">
        <f>'5.3-Unit R'!$G$45</f>
        <v>0</v>
      </c>
      <c r="E43" s="299">
        <f t="shared" si="11"/>
        <v>0</v>
      </c>
      <c r="F43" s="299">
        <f t="shared" si="11"/>
        <v>0</v>
      </c>
      <c r="G43" s="299">
        <f t="shared" si="11"/>
        <v>0</v>
      </c>
      <c r="H43" s="114">
        <f t="shared" si="11"/>
        <v>0</v>
      </c>
      <c r="I43" s="114"/>
      <c r="K43" s="114"/>
      <c r="L43" s="114"/>
      <c r="M43" s="114"/>
      <c r="N43" s="114"/>
      <c r="O43" s="114"/>
      <c r="P43" s="114"/>
      <c r="Q43" s="114"/>
      <c r="R43" s="114"/>
    </row>
    <row r="44" spans="2:18">
      <c r="B44" s="221"/>
      <c r="C44" s="114"/>
      <c r="D44" s="114"/>
      <c r="E44" s="114"/>
      <c r="F44" s="114"/>
      <c r="G44" s="114"/>
      <c r="H44" s="114"/>
      <c r="I44" s="114"/>
      <c r="J44" s="114"/>
      <c r="K44" s="114"/>
      <c r="L44" s="114"/>
      <c r="M44" s="114"/>
      <c r="N44" s="114"/>
      <c r="O44" s="114"/>
      <c r="P44" s="114"/>
      <c r="Q44" s="114"/>
      <c r="R44" s="114"/>
    </row>
    <row r="45" spans="2:18">
      <c r="B45" s="204" t="s">
        <v>820</v>
      </c>
      <c r="C45" s="222"/>
      <c r="D45" s="114">
        <f>(D29+D37)*'1.0-General input'!$E$85</f>
        <v>0</v>
      </c>
      <c r="E45" s="114">
        <f>(E29+E37)*'1.0-General input'!$E$85</f>
        <v>0</v>
      </c>
      <c r="F45" s="114">
        <f>(F29+F37)*'1.0-General input'!$E$85</f>
        <v>0</v>
      </c>
      <c r="G45" s="114">
        <f>(G29+G37)*'1.0-General input'!$E$85</f>
        <v>0</v>
      </c>
      <c r="H45" s="114">
        <f>(H29+H37)*'1.0-General input'!$E$85</f>
        <v>0</v>
      </c>
      <c r="I45" s="114"/>
      <c r="J45" s="114"/>
      <c r="K45" s="114"/>
      <c r="L45" s="114"/>
      <c r="M45" s="114"/>
      <c r="N45" s="114"/>
      <c r="O45" s="114"/>
      <c r="P45" s="114"/>
      <c r="Q45" s="114"/>
      <c r="R45" s="114"/>
    </row>
    <row r="46" spans="2:18">
      <c r="B46" s="214"/>
      <c r="C46" s="114"/>
      <c r="E46" s="114"/>
      <c r="F46" s="114"/>
      <c r="G46" s="114"/>
      <c r="H46" s="114"/>
      <c r="I46" s="114"/>
      <c r="J46" s="114"/>
      <c r="K46" s="114"/>
      <c r="L46" s="114"/>
      <c r="M46" s="114"/>
      <c r="N46" s="114"/>
      <c r="O46" s="114"/>
      <c r="P46" s="114"/>
      <c r="Q46" s="114"/>
      <c r="R46" s="114"/>
    </row>
    <row r="47" spans="2:18">
      <c r="B47" s="305" t="s">
        <v>844</v>
      </c>
      <c r="C47" s="302">
        <f>SUM(C48,C56,C64,C72,C77)</f>
        <v>0</v>
      </c>
      <c r="D47" s="302">
        <f>SUM(D48,D56,D64,D72,D77)</f>
        <v>2317.6524392215538</v>
      </c>
      <c r="E47" s="302">
        <f t="shared" ref="E47:H47" si="12">SUM(E48,E56,E64,E72,E77)</f>
        <v>2317.6524392215538</v>
      </c>
      <c r="F47" s="302">
        <f t="shared" si="12"/>
        <v>2317.6524392215538</v>
      </c>
      <c r="G47" s="302">
        <f t="shared" si="12"/>
        <v>2317.6524392215538</v>
      </c>
      <c r="H47" s="415">
        <f t="shared" si="12"/>
        <v>2317.6524392215538</v>
      </c>
      <c r="I47" s="417"/>
      <c r="J47" s="417"/>
      <c r="K47" s="417"/>
      <c r="L47" s="417"/>
      <c r="M47" s="417"/>
      <c r="N47" s="417"/>
      <c r="O47" s="417"/>
      <c r="P47" s="417"/>
      <c r="Q47" s="417"/>
      <c r="R47" s="417"/>
    </row>
    <row r="48" spans="2:18">
      <c r="B48" s="224" t="s">
        <v>825</v>
      </c>
      <c r="C48" s="303">
        <f t="shared" ref="C48:H48" si="13">SUM(C49:C54)</f>
        <v>0</v>
      </c>
      <c r="D48" s="303">
        <f t="shared" si="13"/>
        <v>0</v>
      </c>
      <c r="E48" s="303">
        <f t="shared" si="13"/>
        <v>0</v>
      </c>
      <c r="F48" s="303">
        <f t="shared" si="13"/>
        <v>0</v>
      </c>
      <c r="G48" s="303">
        <f t="shared" si="13"/>
        <v>0</v>
      </c>
      <c r="H48" s="420">
        <f t="shared" si="13"/>
        <v>0</v>
      </c>
      <c r="I48" s="417"/>
      <c r="J48" s="417"/>
      <c r="K48" s="417"/>
      <c r="L48" s="417"/>
      <c r="M48" s="417"/>
      <c r="N48" s="417"/>
      <c r="O48" s="417"/>
      <c r="P48" s="417"/>
      <c r="Q48" s="417"/>
      <c r="R48" s="417"/>
    </row>
    <row r="49" spans="2:18">
      <c r="B49" s="213" t="s">
        <v>136</v>
      </c>
      <c r="C49" s="299">
        <v>0</v>
      </c>
      <c r="D49" s="299">
        <f>'5.3-Unit W'!$G$76</f>
        <v>0</v>
      </c>
      <c r="E49" s="299">
        <f>D49</f>
        <v>0</v>
      </c>
      <c r="F49" s="299">
        <f t="shared" ref="F49:H49" si="14">E49</f>
        <v>0</v>
      </c>
      <c r="G49" s="299">
        <f t="shared" si="14"/>
        <v>0</v>
      </c>
      <c r="H49" s="114">
        <f t="shared" si="14"/>
        <v>0</v>
      </c>
      <c r="I49" s="114"/>
      <c r="J49" s="114"/>
      <c r="K49" s="114"/>
      <c r="L49" s="114"/>
      <c r="M49" s="114"/>
      <c r="N49" s="114"/>
      <c r="O49" s="114"/>
      <c r="P49" s="114"/>
      <c r="Q49" s="114"/>
      <c r="R49" s="114"/>
    </row>
    <row r="50" spans="2:18">
      <c r="B50" s="213" t="s">
        <v>137</v>
      </c>
      <c r="C50" s="299">
        <v>0</v>
      </c>
      <c r="D50" s="299">
        <f>'5.3-Unit T'!$G$76</f>
        <v>0</v>
      </c>
      <c r="E50" s="299">
        <f t="shared" ref="E50:H54" si="15">D50</f>
        <v>0</v>
      </c>
      <c r="F50" s="299">
        <f t="shared" si="15"/>
        <v>0</v>
      </c>
      <c r="G50" s="299">
        <f t="shared" si="15"/>
        <v>0</v>
      </c>
      <c r="H50" s="114">
        <f t="shared" si="15"/>
        <v>0</v>
      </c>
      <c r="I50" s="114"/>
      <c r="J50" s="114"/>
      <c r="K50" s="114"/>
      <c r="L50" s="114"/>
      <c r="M50" s="114"/>
      <c r="N50" s="114"/>
      <c r="O50" s="114"/>
      <c r="P50" s="114"/>
      <c r="Q50" s="114"/>
      <c r="R50" s="114"/>
    </row>
    <row r="51" spans="2:18">
      <c r="B51" s="213" t="s">
        <v>138</v>
      </c>
      <c r="C51" s="299">
        <v>0</v>
      </c>
      <c r="D51" s="299">
        <f>'5.3-Unit H'!$G$76</f>
        <v>0</v>
      </c>
      <c r="E51" s="299">
        <f t="shared" si="15"/>
        <v>0</v>
      </c>
      <c r="F51" s="299">
        <f t="shared" si="15"/>
        <v>0</v>
      </c>
      <c r="G51" s="299">
        <f t="shared" si="15"/>
        <v>0</v>
      </c>
      <c r="H51" s="114">
        <f t="shared" si="15"/>
        <v>0</v>
      </c>
      <c r="I51" s="114"/>
      <c r="J51" s="114"/>
      <c r="K51" s="114"/>
      <c r="L51" s="114"/>
      <c r="M51" s="114"/>
      <c r="N51" s="114"/>
      <c r="O51" s="114"/>
      <c r="P51" s="114"/>
      <c r="Q51" s="114"/>
      <c r="R51" s="114"/>
    </row>
    <row r="52" spans="2:18">
      <c r="B52" s="213" t="s">
        <v>539</v>
      </c>
      <c r="C52" s="299">
        <v>0</v>
      </c>
      <c r="D52" s="299">
        <f>'5.3-Unit N (17DOL-Egg)'!$G$76+'5.3-Unit N (Egg-5DOL)'!$G$76+'5.3-Unit N (5DOL-17DOL)'!$G$76</f>
        <v>0</v>
      </c>
      <c r="E52" s="299">
        <f t="shared" si="15"/>
        <v>0</v>
      </c>
      <c r="F52" s="299">
        <f t="shared" si="15"/>
        <v>0</v>
      </c>
      <c r="G52" s="299">
        <f t="shared" si="15"/>
        <v>0</v>
      </c>
      <c r="H52" s="114">
        <f t="shared" si="15"/>
        <v>0</v>
      </c>
      <c r="I52" s="114"/>
      <c r="J52" s="114"/>
      <c r="K52" s="114"/>
      <c r="L52" s="114"/>
      <c r="M52" s="114"/>
      <c r="N52" s="114"/>
      <c r="O52" s="114"/>
      <c r="P52" s="114"/>
      <c r="Q52" s="114"/>
      <c r="R52" s="114"/>
    </row>
    <row r="53" spans="2:18">
      <c r="B53" s="213" t="s">
        <v>282</v>
      </c>
      <c r="C53" s="299">
        <v>0</v>
      </c>
      <c r="D53" s="299">
        <f>'5.3-Unit P'!$G$76</f>
        <v>0</v>
      </c>
      <c r="E53" s="299">
        <f t="shared" si="15"/>
        <v>0</v>
      </c>
      <c r="F53" s="299">
        <f t="shared" si="15"/>
        <v>0</v>
      </c>
      <c r="G53" s="299">
        <f t="shared" si="15"/>
        <v>0</v>
      </c>
      <c r="H53" s="114">
        <f t="shared" si="15"/>
        <v>0</v>
      </c>
      <c r="I53" s="114"/>
      <c r="J53" s="114"/>
      <c r="K53" s="114"/>
      <c r="L53" s="114"/>
      <c r="M53" s="114"/>
      <c r="N53" s="114"/>
      <c r="O53" s="114"/>
      <c r="P53" s="114"/>
      <c r="Q53" s="114"/>
      <c r="R53" s="114"/>
    </row>
    <row r="54" spans="2:18">
      <c r="B54" s="213" t="s">
        <v>192</v>
      </c>
      <c r="C54" s="299">
        <v>0</v>
      </c>
      <c r="D54" s="299">
        <f>'5.3-Unit R'!$G$76</f>
        <v>0</v>
      </c>
      <c r="E54" s="299">
        <f t="shared" si="15"/>
        <v>0</v>
      </c>
      <c r="F54" s="299">
        <f t="shared" si="15"/>
        <v>0</v>
      </c>
      <c r="G54" s="299">
        <f t="shared" si="15"/>
        <v>0</v>
      </c>
      <c r="H54" s="114">
        <f t="shared" si="15"/>
        <v>0</v>
      </c>
      <c r="I54" s="114"/>
      <c r="J54" s="114"/>
      <c r="K54" s="114"/>
      <c r="L54" s="114"/>
      <c r="M54" s="114"/>
      <c r="N54" s="114"/>
      <c r="O54" s="114"/>
      <c r="P54" s="114"/>
      <c r="Q54" s="114"/>
      <c r="R54" s="114"/>
    </row>
    <row r="55" spans="2:18" s="22" customFormat="1">
      <c r="B55" s="221"/>
      <c r="C55" s="114"/>
      <c r="D55" s="114"/>
      <c r="E55" s="114"/>
      <c r="F55" s="114"/>
      <c r="G55" s="114"/>
      <c r="H55" s="114"/>
      <c r="I55" s="114"/>
      <c r="J55" s="114"/>
      <c r="K55" s="114"/>
      <c r="L55" s="114"/>
      <c r="M55" s="114"/>
      <c r="N55" s="114"/>
      <c r="O55" s="114"/>
      <c r="P55" s="114"/>
      <c r="Q55" s="114"/>
      <c r="R55" s="114"/>
    </row>
    <row r="56" spans="2:18">
      <c r="B56" s="304" t="s">
        <v>824</v>
      </c>
      <c r="C56" s="303">
        <f t="shared" ref="C56:H56" si="16">SUM(C57:C62)</f>
        <v>0</v>
      </c>
      <c r="D56" s="303">
        <f t="shared" si="16"/>
        <v>1677.6635212688468</v>
      </c>
      <c r="E56" s="303">
        <f t="shared" si="16"/>
        <v>1677.6635212688468</v>
      </c>
      <c r="F56" s="303">
        <f t="shared" si="16"/>
        <v>1677.6635212688468</v>
      </c>
      <c r="G56" s="303">
        <f t="shared" si="16"/>
        <v>1677.6635212688468</v>
      </c>
      <c r="H56" s="420">
        <f t="shared" si="16"/>
        <v>1677.6635212688468</v>
      </c>
      <c r="I56" s="417"/>
      <c r="J56" s="417"/>
      <c r="K56" s="417"/>
      <c r="L56" s="417"/>
      <c r="M56" s="417"/>
      <c r="N56" s="417"/>
      <c r="O56" s="417"/>
      <c r="P56" s="417"/>
      <c r="Q56" s="417"/>
      <c r="R56" s="417"/>
    </row>
    <row r="57" spans="2:18">
      <c r="B57" s="213" t="s">
        <v>136</v>
      </c>
      <c r="C57" s="299">
        <v>0</v>
      </c>
      <c r="D57" s="299">
        <f>'5.3-Unit W'!$G$105</f>
        <v>0</v>
      </c>
      <c r="E57" s="299">
        <f>D57</f>
        <v>0</v>
      </c>
      <c r="F57" s="299">
        <f t="shared" ref="F57:H57" si="17">E57</f>
        <v>0</v>
      </c>
      <c r="G57" s="299">
        <f t="shared" si="17"/>
        <v>0</v>
      </c>
      <c r="H57" s="114">
        <f t="shared" si="17"/>
        <v>0</v>
      </c>
      <c r="I57" s="114"/>
      <c r="J57" s="114"/>
      <c r="K57" s="114"/>
      <c r="L57" s="114"/>
      <c r="M57" s="114"/>
      <c r="N57" s="114"/>
      <c r="O57" s="114"/>
      <c r="P57" s="114"/>
      <c r="Q57" s="114"/>
      <c r="R57" s="114"/>
    </row>
    <row r="58" spans="2:18">
      <c r="B58" s="213" t="s">
        <v>137</v>
      </c>
      <c r="C58" s="299">
        <v>0</v>
      </c>
      <c r="D58" s="299">
        <f>'5.3-Unit T'!$G$105</f>
        <v>130.94258551417553</v>
      </c>
      <c r="E58" s="299">
        <f t="shared" ref="E58:H62" si="18">D58</f>
        <v>130.94258551417553</v>
      </c>
      <c r="F58" s="299">
        <f t="shared" si="18"/>
        <v>130.94258551417553</v>
      </c>
      <c r="G58" s="299">
        <f t="shared" si="18"/>
        <v>130.94258551417553</v>
      </c>
      <c r="H58" s="114">
        <f t="shared" si="18"/>
        <v>130.94258551417553</v>
      </c>
      <c r="I58" s="114"/>
      <c r="J58" s="114"/>
      <c r="K58" s="114"/>
      <c r="L58" s="114"/>
      <c r="M58" s="114"/>
      <c r="N58" s="114"/>
      <c r="O58" s="114"/>
      <c r="P58" s="114"/>
      <c r="Q58" s="114"/>
      <c r="R58" s="114"/>
    </row>
    <row r="59" spans="2:18">
      <c r="B59" s="213" t="s">
        <v>138</v>
      </c>
      <c r="C59" s="299">
        <v>0</v>
      </c>
      <c r="D59" s="299">
        <f>'5.3-Unit H'!$G$105</f>
        <v>772.86479510067591</v>
      </c>
      <c r="E59" s="299">
        <f t="shared" si="18"/>
        <v>772.86479510067591</v>
      </c>
      <c r="F59" s="299">
        <f t="shared" si="18"/>
        <v>772.86479510067591</v>
      </c>
      <c r="G59" s="299">
        <f t="shared" si="18"/>
        <v>772.86479510067591</v>
      </c>
      <c r="H59" s="114">
        <f t="shared" si="18"/>
        <v>772.86479510067591</v>
      </c>
      <c r="I59" s="114"/>
      <c r="J59" s="114"/>
      <c r="K59" s="114"/>
      <c r="L59" s="114"/>
      <c r="M59" s="114"/>
      <c r="N59" s="114"/>
      <c r="O59" s="114"/>
      <c r="P59" s="114"/>
      <c r="Q59" s="114"/>
      <c r="R59" s="114"/>
    </row>
    <row r="60" spans="2:18">
      <c r="B60" s="213" t="s">
        <v>539</v>
      </c>
      <c r="C60" s="299">
        <v>0</v>
      </c>
      <c r="D60" s="299">
        <f>'5.3-Unit N (17DOL-Egg)'!$G$105+'5.3-Unit N (Egg-5DOL)'!$G$105+'5.3-Unit N (5DOL-17DOL)'!$G$105</f>
        <v>702.91120423465054</v>
      </c>
      <c r="E60" s="299">
        <f t="shared" si="18"/>
        <v>702.91120423465054</v>
      </c>
      <c r="F60" s="299">
        <f t="shared" si="18"/>
        <v>702.91120423465054</v>
      </c>
      <c r="G60" s="299">
        <f t="shared" si="18"/>
        <v>702.91120423465054</v>
      </c>
      <c r="H60" s="114">
        <f t="shared" si="18"/>
        <v>702.91120423465054</v>
      </c>
      <c r="I60" s="114"/>
      <c r="J60" s="114"/>
      <c r="K60" s="114"/>
      <c r="L60" s="114"/>
      <c r="M60" s="114"/>
      <c r="N60" s="114"/>
      <c r="O60" s="114"/>
      <c r="P60" s="114"/>
      <c r="Q60" s="114"/>
      <c r="R60" s="114"/>
    </row>
    <row r="61" spans="2:18">
      <c r="B61" s="213" t="s">
        <v>282</v>
      </c>
      <c r="C61" s="299">
        <v>0</v>
      </c>
      <c r="D61" s="299">
        <f>'5.3-Unit P'!$G$105</f>
        <v>70.944936419344842</v>
      </c>
      <c r="E61" s="299">
        <f t="shared" si="18"/>
        <v>70.944936419344842</v>
      </c>
      <c r="F61" s="299">
        <f t="shared" si="18"/>
        <v>70.944936419344842</v>
      </c>
      <c r="G61" s="299">
        <f t="shared" si="18"/>
        <v>70.944936419344842</v>
      </c>
      <c r="H61" s="114">
        <f t="shared" si="18"/>
        <v>70.944936419344842</v>
      </c>
      <c r="I61" s="114"/>
      <c r="J61" s="114"/>
      <c r="K61" s="114"/>
      <c r="L61" s="114"/>
      <c r="M61" s="114"/>
      <c r="N61" s="114"/>
      <c r="O61" s="114"/>
      <c r="P61" s="114"/>
      <c r="Q61" s="114"/>
      <c r="R61" s="114"/>
    </row>
    <row r="62" spans="2:18">
      <c r="B62" s="213" t="s">
        <v>192</v>
      </c>
      <c r="C62" s="299">
        <v>0</v>
      </c>
      <c r="D62" s="299">
        <f>'5.3-Unit R'!$G$105</f>
        <v>0</v>
      </c>
      <c r="E62" s="299">
        <f t="shared" si="18"/>
        <v>0</v>
      </c>
      <c r="F62" s="299">
        <f t="shared" si="18"/>
        <v>0</v>
      </c>
      <c r="G62" s="299">
        <f t="shared" si="18"/>
        <v>0</v>
      </c>
      <c r="H62" s="114">
        <f t="shared" si="18"/>
        <v>0</v>
      </c>
      <c r="I62" s="114"/>
      <c r="J62" s="114"/>
      <c r="K62" s="114"/>
      <c r="L62" s="114"/>
      <c r="M62" s="114"/>
      <c r="N62" s="114"/>
      <c r="O62" s="114"/>
      <c r="P62" s="114"/>
      <c r="Q62" s="114"/>
      <c r="R62" s="114"/>
    </row>
    <row r="63" spans="2:18" s="22" customFormat="1">
      <c r="B63" s="213"/>
      <c r="C63" s="114"/>
      <c r="D63" s="114"/>
      <c r="E63" s="114"/>
      <c r="F63" s="114"/>
      <c r="G63" s="114"/>
      <c r="H63" s="114"/>
      <c r="I63" s="114"/>
      <c r="J63" s="114"/>
      <c r="K63" s="114"/>
      <c r="L63" s="114"/>
      <c r="M63" s="114"/>
      <c r="N63" s="114"/>
      <c r="O63" s="114"/>
      <c r="P63" s="114"/>
      <c r="Q63" s="114"/>
      <c r="R63" s="114"/>
    </row>
    <row r="64" spans="2:18">
      <c r="B64" s="304" t="s">
        <v>823</v>
      </c>
      <c r="C64" s="303">
        <f t="shared" ref="C64:H64" si="19">SUM(C65:C70)</f>
        <v>0</v>
      </c>
      <c r="D64" s="303">
        <f t="shared" si="19"/>
        <v>348.60312330497618</v>
      </c>
      <c r="E64" s="303">
        <f t="shared" si="19"/>
        <v>348.60312330497618</v>
      </c>
      <c r="F64" s="303">
        <f t="shared" si="19"/>
        <v>348.60312330497618</v>
      </c>
      <c r="G64" s="303">
        <f t="shared" si="19"/>
        <v>348.60312330497618</v>
      </c>
      <c r="H64" s="420">
        <f t="shared" si="19"/>
        <v>348.60312330497618</v>
      </c>
      <c r="I64" s="417"/>
      <c r="J64" s="417"/>
      <c r="K64" s="417"/>
      <c r="L64" s="417"/>
      <c r="M64" s="417"/>
      <c r="N64" s="417"/>
      <c r="O64" s="417"/>
      <c r="P64" s="417"/>
      <c r="Q64" s="417"/>
      <c r="R64" s="417"/>
    </row>
    <row r="65" spans="2:18">
      <c r="B65" s="213" t="s">
        <v>136</v>
      </c>
      <c r="C65" s="299">
        <v>0</v>
      </c>
      <c r="D65" s="299">
        <f>Maintenance_cost_setting*$C$16</f>
        <v>0</v>
      </c>
      <c r="E65" s="299">
        <f>D65</f>
        <v>0</v>
      </c>
      <c r="F65" s="299">
        <f t="shared" ref="F65:H65" si="20">E65</f>
        <v>0</v>
      </c>
      <c r="G65" s="299">
        <f t="shared" si="20"/>
        <v>0</v>
      </c>
      <c r="H65" s="114">
        <f t="shared" si="20"/>
        <v>0</v>
      </c>
      <c r="I65" s="114"/>
      <c r="J65" s="114"/>
      <c r="K65" s="114"/>
      <c r="L65" s="114"/>
      <c r="M65" s="114"/>
      <c r="N65" s="114"/>
      <c r="O65" s="114"/>
      <c r="P65" s="114"/>
      <c r="Q65" s="114"/>
      <c r="R65" s="114"/>
    </row>
    <row r="66" spans="2:18">
      <c r="B66" s="213" t="s">
        <v>137</v>
      </c>
      <c r="C66" s="299">
        <v>0</v>
      </c>
      <c r="D66" s="299">
        <f>Maintenance_cost_setting*$C$17</f>
        <v>26.362710678632681</v>
      </c>
      <c r="E66" s="299">
        <f t="shared" ref="E66:H70" si="21">D66</f>
        <v>26.362710678632681</v>
      </c>
      <c r="F66" s="299">
        <f t="shared" si="21"/>
        <v>26.362710678632681</v>
      </c>
      <c r="G66" s="299">
        <f t="shared" si="21"/>
        <v>26.362710678632681</v>
      </c>
      <c r="H66" s="114">
        <f t="shared" si="21"/>
        <v>26.362710678632681</v>
      </c>
      <c r="I66" s="114"/>
      <c r="J66" s="114"/>
      <c r="K66" s="114"/>
      <c r="L66" s="114"/>
      <c r="M66" s="114"/>
      <c r="N66" s="114"/>
      <c r="O66" s="114"/>
      <c r="P66" s="114"/>
      <c r="Q66" s="114"/>
      <c r="R66" s="114"/>
    </row>
    <row r="67" spans="2:18">
      <c r="B67" s="213" t="s">
        <v>138</v>
      </c>
      <c r="C67" s="299">
        <v>0</v>
      </c>
      <c r="D67" s="299">
        <f>Maintenance_cost_setting*$C$18</f>
        <v>186.79605614414731</v>
      </c>
      <c r="E67" s="299">
        <f t="shared" si="21"/>
        <v>186.79605614414731</v>
      </c>
      <c r="F67" s="299">
        <f t="shared" si="21"/>
        <v>186.79605614414731</v>
      </c>
      <c r="G67" s="299">
        <f t="shared" si="21"/>
        <v>186.79605614414731</v>
      </c>
      <c r="H67" s="114">
        <f t="shared" si="21"/>
        <v>186.79605614414731</v>
      </c>
      <c r="I67" s="114"/>
      <c r="J67" s="114"/>
      <c r="K67" s="114"/>
      <c r="L67" s="114"/>
      <c r="M67" s="114"/>
      <c r="N67" s="114"/>
      <c r="O67" s="114"/>
      <c r="P67" s="114"/>
      <c r="Q67" s="114"/>
      <c r="R67" s="114"/>
    </row>
    <row r="68" spans="2:18">
      <c r="B68" s="213" t="s">
        <v>539</v>
      </c>
      <c r="C68" s="299">
        <v>0</v>
      </c>
      <c r="D68" s="299">
        <f>Maintenance_cost_setting*$C$19</f>
        <v>121.31945260730964</v>
      </c>
      <c r="E68" s="299">
        <f t="shared" si="21"/>
        <v>121.31945260730964</v>
      </c>
      <c r="F68" s="299">
        <f t="shared" si="21"/>
        <v>121.31945260730964</v>
      </c>
      <c r="G68" s="299">
        <f t="shared" si="21"/>
        <v>121.31945260730964</v>
      </c>
      <c r="H68" s="114">
        <f t="shared" si="21"/>
        <v>121.31945260730964</v>
      </c>
      <c r="I68" s="114"/>
      <c r="J68" s="114"/>
      <c r="K68" s="114"/>
      <c r="L68" s="114"/>
      <c r="M68" s="114"/>
      <c r="N68" s="114"/>
      <c r="O68" s="114"/>
      <c r="P68" s="114"/>
      <c r="Q68" s="114"/>
      <c r="R68" s="114"/>
    </row>
    <row r="69" spans="2:18">
      <c r="B69" s="213" t="s">
        <v>282</v>
      </c>
      <c r="C69" s="299">
        <v>0</v>
      </c>
      <c r="D69" s="299">
        <f>Maintenance_cost_setting*$C$20</f>
        <v>14.124903874886527</v>
      </c>
      <c r="E69" s="299">
        <f t="shared" si="21"/>
        <v>14.124903874886527</v>
      </c>
      <c r="F69" s="299">
        <f t="shared" si="21"/>
        <v>14.124903874886527</v>
      </c>
      <c r="G69" s="299">
        <f t="shared" si="21"/>
        <v>14.124903874886527</v>
      </c>
      <c r="H69" s="114">
        <f t="shared" si="21"/>
        <v>14.124903874886527</v>
      </c>
      <c r="I69" s="114"/>
      <c r="J69" s="114"/>
      <c r="K69" s="114"/>
      <c r="L69" s="114"/>
      <c r="M69" s="114"/>
      <c r="N69" s="114"/>
      <c r="O69" s="114"/>
      <c r="P69" s="114"/>
      <c r="Q69" s="114"/>
      <c r="R69" s="114"/>
    </row>
    <row r="70" spans="2:18">
      <c r="B70" s="213" t="s">
        <v>192</v>
      </c>
      <c r="C70" s="299">
        <v>0</v>
      </c>
      <c r="D70" s="299">
        <f>Maintenance_cost_setting*$C$21</f>
        <v>0</v>
      </c>
      <c r="E70" s="299">
        <f t="shared" si="21"/>
        <v>0</v>
      </c>
      <c r="F70" s="299">
        <f t="shared" si="21"/>
        <v>0</v>
      </c>
      <c r="G70" s="299">
        <f t="shared" si="21"/>
        <v>0</v>
      </c>
      <c r="H70" s="114">
        <f t="shared" si="21"/>
        <v>0</v>
      </c>
      <c r="I70" s="114"/>
      <c r="J70" s="114"/>
      <c r="K70" s="114"/>
      <c r="L70" s="114"/>
      <c r="M70" s="114"/>
      <c r="N70" s="114"/>
      <c r="O70" s="114"/>
      <c r="P70" s="114"/>
      <c r="Q70" s="114"/>
      <c r="R70" s="114"/>
    </row>
    <row r="71" spans="2:18" s="22" customFormat="1">
      <c r="B71" s="213"/>
      <c r="C71" s="114"/>
      <c r="D71" s="114"/>
      <c r="E71" s="114"/>
      <c r="F71" s="114"/>
      <c r="G71" s="114"/>
      <c r="H71" s="114"/>
      <c r="I71" s="114"/>
      <c r="J71" s="114"/>
      <c r="K71" s="114"/>
      <c r="L71" s="114"/>
      <c r="M71" s="114"/>
      <c r="N71" s="114"/>
      <c r="O71" s="114"/>
      <c r="P71" s="114"/>
      <c r="Q71" s="114"/>
      <c r="R71" s="114"/>
    </row>
    <row r="72" spans="2:18">
      <c r="B72" s="304" t="s">
        <v>144</v>
      </c>
      <c r="C72" s="303">
        <f t="shared" ref="C72" si="22">SUM(C74:C74)</f>
        <v>0</v>
      </c>
      <c r="D72" s="303">
        <f>SUM(D73:D75)</f>
        <v>291.38579464773085</v>
      </c>
      <c r="E72" s="303">
        <f t="shared" ref="E72:H72" si="23">SUM(E73:E75)</f>
        <v>291.38579464773085</v>
      </c>
      <c r="F72" s="303">
        <f t="shared" si="23"/>
        <v>291.38579464773085</v>
      </c>
      <c r="G72" s="303">
        <f t="shared" si="23"/>
        <v>291.38579464773085</v>
      </c>
      <c r="H72" s="420">
        <f t="shared" si="23"/>
        <v>291.38579464773085</v>
      </c>
      <c r="I72" s="417"/>
      <c r="J72" s="417"/>
      <c r="K72" s="417"/>
      <c r="L72" s="417"/>
      <c r="M72" s="417"/>
      <c r="N72" s="417"/>
      <c r="O72" s="417"/>
      <c r="P72" s="417"/>
      <c r="Q72" s="417"/>
      <c r="R72" s="417"/>
    </row>
    <row r="73" spans="2:18">
      <c r="B73" s="284" t="s">
        <v>100</v>
      </c>
      <c r="C73" s="299">
        <v>0</v>
      </c>
      <c r="D73" s="299">
        <f>IFERROR(SUM('5.3-Unit W'!$F$39,'5.3-Unit T'!$F$39,'5.3-Unit H'!$F$39,'5.3-Unit N (17DOL-Egg)'!$F$39,'5.3-Unit N (Egg-5DOL)'!$F$39,'5.3-Unit N (5DOL-17DOL)'!$F$39,'5.3-Unit P'!$F$39,'5.3-Unit R'!$F$39),)</f>
        <v>1.6034928446560359</v>
      </c>
      <c r="E73" s="299">
        <f>D73</f>
        <v>1.6034928446560359</v>
      </c>
      <c r="F73" s="299">
        <f t="shared" ref="F73:H73" si="24">E73</f>
        <v>1.6034928446560359</v>
      </c>
      <c r="G73" s="299">
        <f t="shared" si="24"/>
        <v>1.6034928446560359</v>
      </c>
      <c r="H73" s="114">
        <f t="shared" si="24"/>
        <v>1.6034928446560359</v>
      </c>
      <c r="I73" s="114"/>
      <c r="J73" s="114"/>
      <c r="K73" s="114"/>
      <c r="L73" s="114"/>
      <c r="M73" s="114"/>
      <c r="N73" s="114"/>
      <c r="O73" s="114"/>
      <c r="P73" s="114"/>
      <c r="Q73" s="114"/>
      <c r="R73" s="114"/>
    </row>
    <row r="74" spans="2:18">
      <c r="B74" s="284" t="s">
        <v>99</v>
      </c>
      <c r="C74" s="299">
        <v>0</v>
      </c>
      <c r="D74" s="299">
        <f>IFERROR(SUM('5.3-Unit W'!$F$40,'5.3-Unit T'!$F$40,'5.3-Unit H'!$F$40,'5.3-Unit N (17DOL-Egg)'!$F$40,'5.3-Unit N (Egg-5DOL)'!$F$40,'5.3-Unit N (5DOL-17DOL)'!$F$40,'5.3-Unit P'!$F$40,'5.3-Unit R'!$F$40),)</f>
        <v>289.7823018030748</v>
      </c>
      <c r="E74" s="299">
        <f t="shared" ref="E74:H78" si="25">D74</f>
        <v>289.7823018030748</v>
      </c>
      <c r="F74" s="299">
        <f t="shared" si="25"/>
        <v>289.7823018030748</v>
      </c>
      <c r="G74" s="299">
        <f t="shared" si="25"/>
        <v>289.7823018030748</v>
      </c>
      <c r="H74" s="114">
        <f t="shared" si="25"/>
        <v>289.7823018030748</v>
      </c>
      <c r="I74" s="114"/>
      <c r="J74" s="114"/>
      <c r="K74" s="114"/>
      <c r="L74" s="114"/>
      <c r="M74" s="114"/>
      <c r="N74" s="114"/>
      <c r="O74" s="114"/>
      <c r="P74" s="114"/>
      <c r="Q74" s="114"/>
      <c r="R74" s="114"/>
    </row>
    <row r="75" spans="2:18">
      <c r="B75" s="284" t="s">
        <v>101</v>
      </c>
      <c r="C75" s="299">
        <v>0</v>
      </c>
      <c r="D75" s="299">
        <f>IFERROR(SUM('5.3-Unit W'!$F$41,'5.3-Unit T'!$F$41,'5.3-Unit H'!$F$41,'5.3-Unit N (17DOL-Egg)'!$F$41,'5.3-Unit N (Egg-5DOL)'!$F$41,'5.3-Unit N (5DOL-17DOL)'!$F$41,'5.3-Unit P'!$F$41,'5.3-Unit R'!$F$41),)</f>
        <v>0</v>
      </c>
      <c r="E75" s="299">
        <f t="shared" si="25"/>
        <v>0</v>
      </c>
      <c r="F75" s="299">
        <f t="shared" si="25"/>
        <v>0</v>
      </c>
      <c r="G75" s="299">
        <f t="shared" si="25"/>
        <v>0</v>
      </c>
      <c r="H75" s="114">
        <f t="shared" si="25"/>
        <v>0</v>
      </c>
      <c r="I75" s="114"/>
      <c r="J75" s="114"/>
      <c r="K75" s="114"/>
      <c r="L75" s="114"/>
      <c r="M75" s="114"/>
      <c r="N75" s="114"/>
      <c r="O75" s="114"/>
      <c r="P75" s="114"/>
      <c r="Q75" s="114"/>
      <c r="R75" s="114"/>
    </row>
    <row r="76" spans="2:18">
      <c r="B76" s="216"/>
      <c r="C76" s="114"/>
      <c r="D76" s="114"/>
      <c r="E76" s="114"/>
      <c r="F76" s="114"/>
      <c r="G76" s="114"/>
      <c r="H76" s="114"/>
      <c r="I76" s="114"/>
      <c r="J76" s="114"/>
      <c r="K76" s="114"/>
      <c r="L76" s="114"/>
      <c r="M76" s="114"/>
      <c r="N76" s="114"/>
      <c r="O76" s="114"/>
      <c r="P76" s="114"/>
      <c r="Q76" s="114"/>
      <c r="R76" s="114"/>
    </row>
    <row r="77" spans="2:18" s="22" customFormat="1">
      <c r="B77" s="304" t="s">
        <v>826</v>
      </c>
      <c r="C77" s="303">
        <f>SUM(C78)</f>
        <v>0</v>
      </c>
      <c r="D77" s="303">
        <f t="shared" ref="D77:H77" si="26">SUM(D78)</f>
        <v>0</v>
      </c>
      <c r="E77" s="303">
        <f t="shared" si="26"/>
        <v>0</v>
      </c>
      <c r="F77" s="303">
        <f t="shared" si="26"/>
        <v>0</v>
      </c>
      <c r="G77" s="303">
        <f t="shared" si="26"/>
        <v>0</v>
      </c>
      <c r="H77" s="420">
        <f t="shared" si="26"/>
        <v>0</v>
      </c>
      <c r="I77" s="417"/>
      <c r="J77" s="417"/>
      <c r="K77" s="417"/>
      <c r="L77" s="417"/>
      <c r="M77" s="417"/>
      <c r="N77" s="417"/>
      <c r="O77" s="417"/>
      <c r="P77" s="417"/>
      <c r="Q77" s="417"/>
      <c r="R77" s="417"/>
    </row>
    <row r="78" spans="2:18">
      <c r="B78" s="388" t="s">
        <v>737</v>
      </c>
      <c r="C78" s="299">
        <v>0</v>
      </c>
      <c r="D78" s="299">
        <v>0</v>
      </c>
      <c r="E78" s="299">
        <f t="shared" si="25"/>
        <v>0</v>
      </c>
      <c r="F78" s="299">
        <f t="shared" si="25"/>
        <v>0</v>
      </c>
      <c r="G78" s="299">
        <f t="shared" si="25"/>
        <v>0</v>
      </c>
      <c r="H78" s="114">
        <f t="shared" si="25"/>
        <v>0</v>
      </c>
      <c r="I78" s="114"/>
      <c r="J78" s="114"/>
      <c r="K78" s="114"/>
      <c r="L78" s="114"/>
      <c r="M78" s="114"/>
      <c r="N78" s="114"/>
      <c r="O78" s="114"/>
      <c r="P78" s="114"/>
      <c r="Q78" s="114"/>
      <c r="R78" s="114"/>
    </row>
    <row r="79" spans="2:18" s="22" customFormat="1">
      <c r="B79" s="214"/>
      <c r="C79" s="114"/>
      <c r="D79" s="114"/>
      <c r="E79" s="114"/>
      <c r="F79" s="114"/>
      <c r="G79" s="114"/>
      <c r="H79" s="114"/>
      <c r="I79" s="114"/>
      <c r="J79" s="114"/>
      <c r="K79" s="114"/>
      <c r="L79" s="114"/>
      <c r="M79" s="114"/>
      <c r="N79" s="114"/>
      <c r="O79" s="114"/>
      <c r="P79" s="114"/>
      <c r="Q79" s="114"/>
      <c r="R79" s="114"/>
    </row>
    <row r="80" spans="2:18">
      <c r="B80" s="305" t="s">
        <v>142</v>
      </c>
      <c r="C80" s="302">
        <f>SUM(C81:C87)</f>
        <v>361.18074360218691</v>
      </c>
      <c r="D80" s="302">
        <f>SUM(D81:D88)</f>
        <v>366.60836050661129</v>
      </c>
      <c r="E80" s="302">
        <f t="shared" ref="E80:H80" si="27">SUM(E81:E88)</f>
        <v>366.60836050661129</v>
      </c>
      <c r="F80" s="302">
        <f t="shared" si="27"/>
        <v>366.60836050661129</v>
      </c>
      <c r="G80" s="302">
        <f t="shared" si="27"/>
        <v>366.60836050661129</v>
      </c>
      <c r="H80" s="302">
        <f t="shared" si="27"/>
        <v>366.60836050661129</v>
      </c>
      <c r="I80" s="417"/>
      <c r="J80" s="417"/>
      <c r="K80" s="417"/>
      <c r="L80" s="417"/>
      <c r="M80" s="417"/>
      <c r="N80" s="417"/>
      <c r="O80" s="417"/>
      <c r="P80" s="417"/>
      <c r="Q80" s="417"/>
      <c r="R80" s="417"/>
    </row>
    <row r="81" spans="2:19">
      <c r="B81" s="213" t="s">
        <v>139</v>
      </c>
      <c r="C81" s="299">
        <v>0</v>
      </c>
      <c r="D81" s="299">
        <f>'5.3-Unit SG&amp;A'!$G$3</f>
        <v>0</v>
      </c>
      <c r="E81" s="299">
        <f>D81*(1+'1.0-General input'!$E$124)</f>
        <v>0</v>
      </c>
      <c r="F81" s="299">
        <f>E81*(1+'1.0-General input'!$E$124)</f>
        <v>0</v>
      </c>
      <c r="G81" s="299">
        <f>F81*(1+'1.0-General input'!$E$124)</f>
        <v>0</v>
      </c>
      <c r="H81" s="114">
        <f>G81*(1+'1.0-General input'!$E$124)</f>
        <v>0</v>
      </c>
      <c r="I81" s="114"/>
      <c r="J81" s="114"/>
      <c r="K81" s="114"/>
      <c r="L81" s="114"/>
      <c r="M81" s="114"/>
      <c r="N81" s="114"/>
      <c r="O81" s="114"/>
      <c r="P81" s="114"/>
      <c r="Q81" s="114"/>
      <c r="R81" s="114"/>
    </row>
    <row r="82" spans="2:19">
      <c r="B82" s="213" t="s">
        <v>738</v>
      </c>
      <c r="C82" s="299">
        <f>'5.3-Unit SG&amp;A'!$C$45</f>
        <v>361.18074360218691</v>
      </c>
      <c r="D82" s="299">
        <f>'5.3-Unit SG&amp;A'!$C$45</f>
        <v>361.18074360218691</v>
      </c>
      <c r="E82" s="299">
        <f>D82</f>
        <v>361.18074360218691</v>
      </c>
      <c r="F82" s="299">
        <f t="shared" ref="F82:H82" si="28">E82</f>
        <v>361.18074360218691</v>
      </c>
      <c r="G82" s="299">
        <f t="shared" si="28"/>
        <v>361.18074360218691</v>
      </c>
      <c r="H82" s="114">
        <f t="shared" si="28"/>
        <v>361.18074360218691</v>
      </c>
      <c r="I82" s="114"/>
      <c r="J82" s="114"/>
      <c r="K82" s="114"/>
      <c r="L82" s="114"/>
      <c r="M82" s="114"/>
      <c r="N82" s="114"/>
      <c r="O82" s="114"/>
      <c r="P82" s="114"/>
      <c r="Q82" s="114"/>
      <c r="R82" s="114"/>
    </row>
    <row r="83" spans="2:19">
      <c r="B83" s="284" t="s">
        <v>623</v>
      </c>
      <c r="C83" s="299">
        <v>0</v>
      </c>
      <c r="D83" s="299">
        <f>'5.3-Unit SG&amp;A'!G59</f>
        <v>0</v>
      </c>
      <c r="E83" s="299">
        <f t="shared" ref="E83:E88" si="29">D83</f>
        <v>0</v>
      </c>
      <c r="F83" s="299">
        <f t="shared" ref="F83:H83" si="30">E83</f>
        <v>0</v>
      </c>
      <c r="G83" s="299">
        <f t="shared" si="30"/>
        <v>0</v>
      </c>
      <c r="H83" s="114">
        <f t="shared" si="30"/>
        <v>0</v>
      </c>
      <c r="I83" s="114"/>
      <c r="J83" s="114"/>
      <c r="K83" s="114"/>
      <c r="L83" s="114"/>
      <c r="M83" s="114"/>
      <c r="N83" s="114"/>
      <c r="O83" s="114"/>
      <c r="P83" s="114"/>
      <c r="Q83" s="114"/>
      <c r="R83" s="114"/>
    </row>
    <row r="84" spans="2:19">
      <c r="B84" s="213" t="s">
        <v>140</v>
      </c>
      <c r="C84" s="299">
        <v>0</v>
      </c>
      <c r="D84" s="299">
        <f>SUM('5.3-Unit SG&amp;A'!C46:C47)</f>
        <v>5.4276169044243758</v>
      </c>
      <c r="E84" s="299">
        <f t="shared" si="29"/>
        <v>5.4276169044243758</v>
      </c>
      <c r="F84" s="299">
        <f>E84</f>
        <v>5.4276169044243758</v>
      </c>
      <c r="G84" s="299">
        <f t="shared" ref="F84:H87" si="31">F84</f>
        <v>5.4276169044243758</v>
      </c>
      <c r="H84" s="114">
        <f t="shared" si="31"/>
        <v>5.4276169044243758</v>
      </c>
      <c r="I84" s="114"/>
      <c r="K84" s="114"/>
      <c r="L84" s="114"/>
      <c r="M84" s="114"/>
      <c r="N84" s="114"/>
      <c r="O84" s="114"/>
      <c r="P84" s="114"/>
      <c r="Q84" s="114"/>
      <c r="R84" s="114"/>
    </row>
    <row r="85" spans="2:19">
      <c r="B85" s="213" t="s">
        <v>141</v>
      </c>
      <c r="C85" s="299">
        <v>0</v>
      </c>
      <c r="D85" s="299">
        <v>0</v>
      </c>
      <c r="E85" s="299">
        <f t="shared" si="29"/>
        <v>0</v>
      </c>
      <c r="F85" s="299">
        <f t="shared" si="31"/>
        <v>0</v>
      </c>
      <c r="G85" s="299">
        <f t="shared" si="31"/>
        <v>0</v>
      </c>
      <c r="H85" s="114">
        <f t="shared" si="31"/>
        <v>0</v>
      </c>
      <c r="I85" s="114"/>
      <c r="J85" s="114"/>
      <c r="K85" s="114"/>
      <c r="L85" s="114"/>
      <c r="M85" s="114"/>
      <c r="N85" s="114"/>
      <c r="O85" s="114"/>
      <c r="P85" s="114"/>
      <c r="Q85" s="114"/>
      <c r="R85" s="114"/>
    </row>
    <row r="86" spans="2:19">
      <c r="B86" s="213" t="s">
        <v>143</v>
      </c>
      <c r="C86" s="299">
        <v>0</v>
      </c>
      <c r="D86" s="299">
        <v>0</v>
      </c>
      <c r="E86" s="299">
        <f t="shared" si="29"/>
        <v>0</v>
      </c>
      <c r="F86" s="299">
        <f t="shared" si="31"/>
        <v>0</v>
      </c>
      <c r="G86" s="299">
        <f t="shared" si="31"/>
        <v>0</v>
      </c>
      <c r="H86" s="114">
        <f>G86</f>
        <v>0</v>
      </c>
      <c r="I86" s="114"/>
      <c r="J86" s="114"/>
      <c r="K86" s="114"/>
      <c r="L86" s="114"/>
      <c r="M86" s="114"/>
      <c r="N86" s="114"/>
      <c r="O86" s="114"/>
      <c r="P86" s="114"/>
      <c r="Q86" s="114"/>
      <c r="R86" s="114"/>
    </row>
    <row r="87" spans="2:19">
      <c r="B87" s="213" t="s">
        <v>158</v>
      </c>
      <c r="C87" s="299">
        <v>0</v>
      </c>
      <c r="D87" s="299">
        <f>'5.3-Unit SG&amp;A'!G54-'5.3-Unit SG&amp;A'!G59</f>
        <v>0</v>
      </c>
      <c r="E87" s="299">
        <f t="shared" si="29"/>
        <v>0</v>
      </c>
      <c r="F87" s="299">
        <f>E87</f>
        <v>0</v>
      </c>
      <c r="G87" s="299">
        <f>F87</f>
        <v>0</v>
      </c>
      <c r="H87" s="299">
        <f t="shared" si="31"/>
        <v>0</v>
      </c>
      <c r="I87" s="114"/>
      <c r="J87" s="114"/>
      <c r="K87" s="114"/>
      <c r="L87" s="114"/>
      <c r="M87" s="114"/>
      <c r="N87" s="114"/>
      <c r="O87" s="114"/>
      <c r="P87" s="114"/>
      <c r="Q87" s="114"/>
      <c r="R87" s="114"/>
    </row>
    <row r="88" spans="2:19">
      <c r="B88" s="213" t="s">
        <v>1036</v>
      </c>
      <c r="C88" s="299">
        <v>0</v>
      </c>
      <c r="D88" s="299">
        <f>IF('1.0-General input'!E67="Yes",'2.4-Transport Input'!D76,0)</f>
        <v>0</v>
      </c>
      <c r="E88" s="299">
        <f t="shared" si="29"/>
        <v>0</v>
      </c>
      <c r="F88" s="299">
        <f>E88</f>
        <v>0</v>
      </c>
      <c r="G88" s="299">
        <f>F88</f>
        <v>0</v>
      </c>
      <c r="H88" s="299">
        <f t="shared" ref="H88" si="32">G88</f>
        <v>0</v>
      </c>
      <c r="I88" s="114"/>
      <c r="J88" s="114"/>
      <c r="K88" s="114"/>
      <c r="L88" s="114"/>
      <c r="M88" s="114"/>
      <c r="N88" s="114"/>
      <c r="O88" s="114"/>
      <c r="P88" s="114"/>
      <c r="Q88" s="114"/>
      <c r="R88" s="114"/>
    </row>
    <row r="89" spans="2:19">
      <c r="B89" s="213"/>
      <c r="C89" s="299"/>
      <c r="D89" s="299"/>
      <c r="E89" s="299"/>
      <c r="F89" s="299"/>
      <c r="G89" s="299"/>
      <c r="H89" s="114"/>
      <c r="I89" s="114"/>
      <c r="J89" s="114"/>
      <c r="K89" s="114"/>
      <c r="L89" s="114"/>
      <c r="M89" s="114"/>
      <c r="N89" s="114"/>
      <c r="O89" s="114"/>
      <c r="P89" s="114"/>
      <c r="Q89" s="114"/>
      <c r="R89" s="114"/>
    </row>
    <row r="90" spans="2:19">
      <c r="B90" s="213" t="s">
        <v>742</v>
      </c>
      <c r="C90" s="299"/>
      <c r="D90" s="299">
        <f>IF('5.1-Financial Analysis'!D114&gt;0,'1.0-General input'!$E$121*'5.1-Financial Analysis'!D114,0)</f>
        <v>8189.2400580521198</v>
      </c>
      <c r="E90" s="299">
        <f>IF('5.1-Financial Analysis'!E114&gt;0,'1.0-General input'!$E$121*'5.1-Financial Analysis'!E114,0)</f>
        <v>8189.2400580521198</v>
      </c>
      <c r="F90" s="299">
        <f>IF('5.1-Financial Analysis'!F114&gt;0,'1.0-General input'!$E$121*'5.1-Financial Analysis'!F114,0)</f>
        <v>8189.2400580521198</v>
      </c>
      <c r="G90" s="299">
        <f>IF('5.1-Financial Analysis'!G114&gt;0,'1.0-General input'!$E$121*'5.1-Financial Analysis'!G114,0)</f>
        <v>8189.2400580521198</v>
      </c>
      <c r="H90" s="114">
        <f>IF('5.1-Financial Analysis'!H114&gt;0,'1.0-General input'!$E$121*'5.1-Financial Analysis'!H114,0)</f>
        <v>8189.2400580521198</v>
      </c>
      <c r="I90" s="114"/>
      <c r="J90" s="114"/>
      <c r="K90" s="114"/>
      <c r="L90" s="114"/>
      <c r="M90" s="114"/>
      <c r="N90" s="114"/>
      <c r="O90" s="114"/>
      <c r="P90" s="114"/>
      <c r="Q90" s="114"/>
      <c r="R90" s="114"/>
    </row>
    <row r="91" spans="2:19">
      <c r="B91" s="213" t="s">
        <v>743</v>
      </c>
      <c r="C91" s="299"/>
      <c r="D91" s="299">
        <f>IF('1.0-General input'!$E$108&gt;0,IF(COLUMNS($D$3:D$3)&lt;='1.0-General input'!$E$110,-CUMIPMT('1.0-General input'!$E$112,'1.0-General input'!$E$111,'1.0-General input'!$E$108,COLUMNS($D$3:D$3)*12-11,COLUMNS($D$3:D$3)*12,0),0),0)</f>
        <v>414.14881488358799</v>
      </c>
      <c r="E91" s="299">
        <f>IF('1.0-General input'!$E$108&gt;0,IF(COLUMNS($D$3:E$3)&lt;='1.0-General input'!$E$110,-CUMIPMT('1.0-General input'!$E$112,'1.0-General input'!$E$111,'1.0-General input'!$E$108,COLUMNS($D$3:E$3)*12-11,COLUMNS($D$3:E$3)*12,0),0),0)</f>
        <v>380.97092036161166</v>
      </c>
      <c r="F91" s="299">
        <f>IF('1.0-General input'!$E$108&gt;0,IF(COLUMNS($D$3:F$3)&lt;='1.0-General input'!$E$110,-CUMIPMT('1.0-General input'!$E$112,'1.0-General input'!$E$111,'1.0-General input'!$E$108,COLUMNS($D$3:F$3)*12-11,COLUMNS($D$3:F$3)*12,0),0),0)</f>
        <v>345.74668590324904</v>
      </c>
      <c r="G91" s="299">
        <f>IF('1.0-General input'!$E$108&gt;0,IF(COLUMNS($D$3:G$3)&lt;='1.0-General input'!$E$110,-CUMIPMT('1.0-General input'!$E$112,'1.0-General input'!$E$111,'1.0-General input'!$E$108,COLUMNS($D$3:G$3)*12-11,COLUMNS($D$3:G$3)*12,0),0),0)</f>
        <v>308.3498977388922</v>
      </c>
      <c r="H91" s="114">
        <f>IF('1.0-General input'!$E$108&gt;0,IF(COLUMNS($D$3:H$3)&lt;='1.0-General input'!$E$110,-CUMIPMT('1.0-General input'!$E$112,'1.0-General input'!$E$111,'1.0-General input'!$E$108,COLUMNS($D$3:H$3)*12-11,COLUMNS($D$3:H$3)*12,0),0),0)</f>
        <v>268.64655750979784</v>
      </c>
      <c r="I91" s="114"/>
      <c r="J91" s="114"/>
      <c r="K91" s="114"/>
      <c r="L91" s="114"/>
      <c r="M91" s="114"/>
      <c r="N91" s="114"/>
      <c r="O91" s="114"/>
      <c r="P91" s="114"/>
      <c r="Q91" s="114"/>
      <c r="R91" s="114"/>
      <c r="S91" s="82"/>
    </row>
    <row r="92" spans="2:19" s="22" customFormat="1">
      <c r="B92" s="28"/>
      <c r="C92" s="114"/>
      <c r="D92" s="114"/>
      <c r="E92" s="114"/>
      <c r="F92" s="114"/>
      <c r="G92" s="114"/>
      <c r="H92" s="114"/>
      <c r="I92" s="114"/>
      <c r="J92" s="114"/>
      <c r="K92" s="114"/>
      <c r="L92" s="114"/>
      <c r="M92" s="114"/>
      <c r="N92" s="114"/>
      <c r="O92" s="114"/>
      <c r="P92" s="114"/>
      <c r="Q92" s="114"/>
      <c r="R92" s="114"/>
      <c r="S92" s="114"/>
    </row>
    <row r="93" spans="2:19" s="22" customFormat="1">
      <c r="B93" s="28"/>
      <c r="C93" s="114"/>
      <c r="D93" s="114"/>
      <c r="E93" s="114"/>
      <c r="F93" s="114"/>
      <c r="G93" s="114"/>
      <c r="H93" s="114"/>
      <c r="I93" s="114"/>
      <c r="J93" s="114"/>
      <c r="K93" s="114"/>
      <c r="L93" s="114"/>
      <c r="M93" s="114"/>
      <c r="N93" s="114"/>
      <c r="O93" s="114"/>
      <c r="P93" s="114"/>
      <c r="Q93" s="114"/>
      <c r="R93" s="114"/>
    </row>
    <row r="94" spans="2:19" s="22" customFormat="1" ht="18.5">
      <c r="B94" s="230" t="s">
        <v>615</v>
      </c>
      <c r="C94" s="114"/>
      <c r="D94" s="114"/>
      <c r="E94" s="114"/>
      <c r="F94" s="114"/>
      <c r="G94" s="114"/>
      <c r="H94" s="114"/>
      <c r="I94" s="114"/>
      <c r="J94" s="114"/>
      <c r="K94" s="114"/>
      <c r="L94" s="114"/>
      <c r="M94" s="114"/>
      <c r="N94" s="114"/>
      <c r="O94" s="114"/>
      <c r="P94" s="114"/>
      <c r="Q94" s="114"/>
      <c r="R94" s="114"/>
    </row>
    <row r="95" spans="2:19" s="22" customFormat="1" ht="18.5">
      <c r="B95" s="217"/>
      <c r="C95" s="114"/>
      <c r="D95" s="114"/>
      <c r="E95" s="114"/>
      <c r="F95" s="114"/>
      <c r="G95" s="114"/>
      <c r="H95" s="114"/>
      <c r="I95" s="114"/>
      <c r="J95" s="114"/>
      <c r="K95" s="114"/>
      <c r="L95" s="114"/>
      <c r="M95" s="114"/>
      <c r="N95" s="114"/>
      <c r="O95" s="114"/>
      <c r="P95" s="114"/>
      <c r="Q95" s="114"/>
      <c r="R95" s="114"/>
    </row>
    <row r="96" spans="2:19">
      <c r="B96" s="28" t="s">
        <v>87</v>
      </c>
      <c r="C96" s="299">
        <f t="shared" ref="C96:H96" si="33">C6</f>
        <v>0</v>
      </c>
      <c r="D96" s="299">
        <f t="shared" si="33"/>
        <v>45510.937499999985</v>
      </c>
      <c r="E96" s="299">
        <f t="shared" si="33"/>
        <v>45510.937499999985</v>
      </c>
      <c r="F96" s="299">
        <f t="shared" si="33"/>
        <v>45510.937499999985</v>
      </c>
      <c r="G96" s="299">
        <f t="shared" si="33"/>
        <v>45510.937499999985</v>
      </c>
      <c r="H96" s="114">
        <f t="shared" si="33"/>
        <v>45510.937499999985</v>
      </c>
      <c r="I96" s="114"/>
      <c r="J96" s="114"/>
      <c r="K96" s="114"/>
      <c r="L96" s="114"/>
      <c r="M96" s="114"/>
      <c r="N96" s="114"/>
      <c r="O96" s="114"/>
      <c r="P96" s="114"/>
      <c r="Q96" s="114"/>
      <c r="R96" s="114"/>
      <c r="S96" s="82"/>
    </row>
    <row r="97" spans="2:19">
      <c r="B97" s="28" t="s">
        <v>609</v>
      </c>
      <c r="C97" s="299">
        <f t="shared" ref="C97:H97" si="34">-C13</f>
        <v>-7146.3640277520108</v>
      </c>
      <c r="D97" s="299">
        <f>-D13</f>
        <v>-215.97170983032413</v>
      </c>
      <c r="E97" s="299">
        <f t="shared" si="34"/>
        <v>-215.97170983032413</v>
      </c>
      <c r="F97" s="299">
        <f t="shared" si="34"/>
        <v>-1044.5241612154464</v>
      </c>
      <c r="G97" s="299">
        <f t="shared" si="34"/>
        <v>-215.97170983032413</v>
      </c>
      <c r="H97" s="114">
        <f t="shared" si="34"/>
        <v>0</v>
      </c>
      <c r="I97" s="114"/>
      <c r="J97" s="114"/>
      <c r="K97" s="114"/>
      <c r="L97" s="114"/>
      <c r="M97" s="114"/>
      <c r="N97" s="114"/>
      <c r="O97" s="114"/>
      <c r="P97" s="114"/>
      <c r="Q97" s="114"/>
      <c r="R97" s="114"/>
      <c r="S97" s="82"/>
    </row>
    <row r="98" spans="2:19">
      <c r="B98" s="28" t="s">
        <v>879</v>
      </c>
      <c r="C98" s="299">
        <f>-(C29+C37+C45+C48+C64+C72+C80-C87)</f>
        <v>-361.18074360218691</v>
      </c>
      <c r="D98" s="299">
        <f>-(D29+D37+D45+D48+D64+D72+D80-D87)</f>
        <v>-6609.4555330396897</v>
      </c>
      <c r="E98" s="299">
        <f t="shared" ref="E98:H98" si="35">-(E29+E37+E45+E48+E64+E72+E80-E87)</f>
        <v>-6609.4555330396897</v>
      </c>
      <c r="F98" s="299">
        <f t="shared" si="35"/>
        <v>-6609.4555330396897</v>
      </c>
      <c r="G98" s="299">
        <f t="shared" si="35"/>
        <v>-6609.4555330396897</v>
      </c>
      <c r="H98" s="114">
        <f t="shared" si="35"/>
        <v>-6609.4555330396897</v>
      </c>
      <c r="I98" s="114"/>
      <c r="J98" s="114"/>
      <c r="K98" s="114"/>
      <c r="L98" s="114"/>
      <c r="M98" s="114"/>
      <c r="N98" s="114"/>
      <c r="O98" s="114"/>
      <c r="P98" s="114"/>
      <c r="Q98" s="114"/>
      <c r="R98" s="114"/>
      <c r="S98" s="82"/>
    </row>
    <row r="99" spans="2:19">
      <c r="B99" s="28" t="s">
        <v>877</v>
      </c>
      <c r="C99" s="114"/>
      <c r="D99" s="299">
        <f>D96/((1+'1.0-General input'!$E$123)^(COLUMNS($C$3:C$3)))</f>
        <v>41000.844594594579</v>
      </c>
      <c r="E99" s="299">
        <f>E96/((1+'1.0-General input'!$E$123)^(COLUMNS($C$3:D$3)))</f>
        <v>36937.697832968086</v>
      </c>
      <c r="F99" s="299">
        <f>F96/((1+'1.0-General input'!$E$123)^(COLUMNS($C$3:E$3)))</f>
        <v>33277.205254926201</v>
      </c>
      <c r="G99" s="299">
        <f>G96/((1+'1.0-General input'!$E$123)^(COLUMNS($C$3:F$3)))</f>
        <v>29979.464193627206</v>
      </c>
      <c r="H99" s="114">
        <f>H96/((1+'1.0-General input'!$E$123)^(COLUMNS($C$3:G$3)))</f>
        <v>27008.526300565049</v>
      </c>
      <c r="I99" s="114"/>
      <c r="J99" s="114"/>
      <c r="K99" s="114"/>
      <c r="L99" s="114"/>
      <c r="M99" s="114"/>
      <c r="N99" s="114"/>
      <c r="O99" s="114"/>
      <c r="P99" s="114"/>
      <c r="Q99" s="114"/>
      <c r="R99" s="114"/>
      <c r="S99" s="299">
        <f>SUM(D99:R99)</f>
        <v>168203.73817668113</v>
      </c>
    </row>
    <row r="100" spans="2:19">
      <c r="B100" s="28" t="s">
        <v>878</v>
      </c>
      <c r="C100" s="299">
        <f>(C97+C98)</f>
        <v>-7507.544771354198</v>
      </c>
      <c r="D100" s="299">
        <f>(D97+D98)/((1+'1.0-General input'!$E$123)^(COLUMNS($C$3:C$3)))</f>
        <v>-6149.0335521351471</v>
      </c>
      <c r="E100" s="299">
        <f>(E97+E98)/((1+'1.0-General input'!$E$123)^(COLUMNS($C$3:D$3)))</f>
        <v>-5539.6698667884211</v>
      </c>
      <c r="F100" s="299">
        <f>(F97+F98)/((1+'1.0-General input'!$E$123)^(COLUMNS($C$3:E$3)))</f>
        <v>-5596.5239850918379</v>
      </c>
      <c r="G100" s="299">
        <f>(G97+G98)/((1+'1.0-General input'!$E$123)^(COLUMNS($C$3:F$3)))</f>
        <v>-4496.1203366515865</v>
      </c>
      <c r="H100" s="114">
        <f>(H97+H98)/((1+'1.0-General input'!$E$123)^(COLUMNS($C$3:G$3)))</f>
        <v>-3922.3901638263924</v>
      </c>
      <c r="I100" s="114"/>
      <c r="J100" s="114"/>
      <c r="K100" s="114"/>
      <c r="L100" s="114"/>
      <c r="M100" s="114"/>
      <c r="N100" s="114"/>
      <c r="O100" s="114"/>
      <c r="P100" s="114"/>
      <c r="Q100" s="114"/>
      <c r="R100" s="114"/>
      <c r="S100" s="299">
        <f>SUM(C100:R100)</f>
        <v>-33211.282675847586</v>
      </c>
    </row>
    <row r="101" spans="2:19" s="22" customFormat="1">
      <c r="C101" s="114"/>
      <c r="D101" s="114"/>
      <c r="E101" s="114"/>
      <c r="F101" s="114"/>
      <c r="G101" s="114"/>
      <c r="H101" s="114"/>
      <c r="I101" s="114"/>
      <c r="J101" s="114"/>
      <c r="K101" s="114"/>
      <c r="L101" s="114"/>
      <c r="M101" s="114"/>
      <c r="N101" s="114"/>
      <c r="O101" s="114"/>
      <c r="P101" s="114"/>
      <c r="Q101" s="114"/>
      <c r="R101" s="114"/>
      <c r="S101" s="414"/>
    </row>
    <row r="102" spans="2:19">
      <c r="B102" s="28" t="s">
        <v>610</v>
      </c>
      <c r="C102" s="299">
        <f>SUM(C96:C98)</f>
        <v>-7507.544771354198</v>
      </c>
      <c r="D102" s="299">
        <f>SUM(D96:D98)</f>
        <v>38685.510257129972</v>
      </c>
      <c r="E102" s="299">
        <f>SUM(E96:E98)</f>
        <v>38685.510257129972</v>
      </c>
      <c r="F102" s="299">
        <f>SUM(F96:F98)</f>
        <v>37856.957805744845</v>
      </c>
      <c r="G102" s="299">
        <f t="shared" ref="G102:H102" si="36">SUM(G96:G98)</f>
        <v>38685.510257129972</v>
      </c>
      <c r="H102" s="114">
        <f t="shared" si="36"/>
        <v>38901.481966960295</v>
      </c>
      <c r="I102" s="114"/>
      <c r="J102" s="114"/>
      <c r="K102" s="114"/>
      <c r="L102" s="114"/>
      <c r="M102" s="114"/>
      <c r="N102" s="114"/>
      <c r="O102" s="114"/>
      <c r="P102" s="114"/>
      <c r="Q102" s="114"/>
      <c r="R102" s="114"/>
    </row>
    <row r="103" spans="2:19">
      <c r="B103" s="28" t="s">
        <v>611</v>
      </c>
      <c r="C103" s="299">
        <f>SUM(C96:C98)</f>
        <v>-7507.544771354198</v>
      </c>
      <c r="D103" s="299">
        <f>C103+D102</f>
        <v>31177.965485775774</v>
      </c>
      <c r="E103" s="299">
        <f>D103+E102</f>
        <v>69863.47574290575</v>
      </c>
      <c r="F103" s="299">
        <f>E103+F102</f>
        <v>107720.43354865059</v>
      </c>
      <c r="G103" s="299">
        <f t="shared" ref="G103:H103" si="37">F103+G102</f>
        <v>146405.94380578055</v>
      </c>
      <c r="H103" s="114">
        <f t="shared" si="37"/>
        <v>185307.42577274085</v>
      </c>
      <c r="I103" s="114"/>
      <c r="J103" s="114"/>
      <c r="K103" s="114"/>
      <c r="L103" s="114"/>
      <c r="M103" s="114"/>
      <c r="N103" s="114"/>
      <c r="O103" s="114"/>
      <c r="P103" s="114"/>
      <c r="Q103" s="114"/>
      <c r="R103" s="114"/>
    </row>
    <row r="104" spans="2:19">
      <c r="B104" s="28" t="s">
        <v>646</v>
      </c>
      <c r="C104" s="299">
        <f>C103</f>
        <v>-7507.544771354198</v>
      </c>
      <c r="D104" s="299">
        <f>D102/((1+'1.0-General input'!$E$123)^(COLUMNS($C$3:C$3)))</f>
        <v>34851.811042459434</v>
      </c>
      <c r="E104" s="299">
        <f>E102/((1+'1.0-General input'!$E$123)^(COLUMNS($C$3:D$3)))</f>
        <v>31398.027966179667</v>
      </c>
      <c r="F104" s="299">
        <f>F102/((1+'1.0-General input'!$E$123)^(COLUMNS($C$3:E$3)))</f>
        <v>27680.68126983436</v>
      </c>
      <c r="G104" s="299">
        <f>G102/((1+'1.0-General input'!$E$123)^(COLUMNS($C$3:F$3)))</f>
        <v>25483.343856975622</v>
      </c>
      <c r="H104" s="114">
        <f>H102/((1+'1.0-General input'!$E$123)^(COLUMNS($C$3:G$3)))</f>
        <v>23086.136136738656</v>
      </c>
      <c r="I104" s="114"/>
      <c r="J104" s="114"/>
      <c r="K104" s="114"/>
      <c r="L104" s="114"/>
      <c r="M104" s="114"/>
      <c r="N104" s="114"/>
      <c r="O104" s="114"/>
      <c r="P104" s="114"/>
      <c r="Q104" s="114"/>
      <c r="R104" s="114"/>
      <c r="S104" s="82"/>
    </row>
    <row r="105" spans="2:19">
      <c r="B105" s="28" t="s">
        <v>647</v>
      </c>
      <c r="C105" s="299">
        <f>C104</f>
        <v>-7507.544771354198</v>
      </c>
      <c r="D105" s="299">
        <f>D104+C105</f>
        <v>27344.266271105236</v>
      </c>
      <c r="E105" s="299">
        <f t="shared" ref="E105:H105" si="38">E104+D105</f>
        <v>58742.294237284907</v>
      </c>
      <c r="F105" s="299">
        <f t="shared" si="38"/>
        <v>86422.975507119263</v>
      </c>
      <c r="G105" s="299">
        <f t="shared" si="38"/>
        <v>111906.31936409489</v>
      </c>
      <c r="H105" s="114">
        <f t="shared" si="38"/>
        <v>134992.45550083354</v>
      </c>
      <c r="I105" s="114"/>
      <c r="J105" s="114"/>
      <c r="K105" s="114"/>
      <c r="L105" s="114"/>
      <c r="M105" s="114"/>
      <c r="N105" s="114"/>
      <c r="O105" s="114"/>
      <c r="P105" s="114"/>
      <c r="Q105" s="114"/>
      <c r="R105" s="114"/>
    </row>
    <row r="106" spans="2:19" s="22" customFormat="1">
      <c r="B106" s="28"/>
      <c r="C106" s="27"/>
      <c r="D106" s="114"/>
      <c r="E106" s="27"/>
      <c r="F106" s="27"/>
      <c r="G106" s="27"/>
      <c r="H106" s="27"/>
      <c r="I106" s="27"/>
      <c r="J106" s="27"/>
      <c r="K106" s="27"/>
      <c r="L106" s="27"/>
      <c r="M106" s="27"/>
      <c r="N106" s="27"/>
      <c r="O106" s="27"/>
      <c r="P106" s="27"/>
      <c r="Q106" s="27"/>
      <c r="R106" s="27"/>
    </row>
    <row r="107" spans="2:19" s="22" customFormat="1">
      <c r="B107" s="28"/>
      <c r="C107" s="114"/>
      <c r="D107" s="114"/>
      <c r="E107" s="114"/>
      <c r="F107" s="114"/>
      <c r="G107" s="114"/>
      <c r="H107" s="114"/>
      <c r="I107" s="114"/>
      <c r="J107" s="114"/>
      <c r="K107" s="114"/>
      <c r="L107" s="114"/>
      <c r="M107" s="114"/>
      <c r="N107" s="114"/>
      <c r="O107" s="114"/>
      <c r="P107" s="114"/>
      <c r="Q107" s="114"/>
      <c r="R107" s="114"/>
    </row>
    <row r="108" spans="2:19" s="22" customFormat="1" ht="18.5">
      <c r="B108" s="230" t="s">
        <v>89</v>
      </c>
      <c r="C108" s="114"/>
      <c r="D108" s="114"/>
      <c r="E108" s="27"/>
      <c r="F108" s="114"/>
      <c r="G108" s="114"/>
      <c r="H108" s="114"/>
      <c r="I108" s="114"/>
      <c r="J108" s="114"/>
      <c r="K108" s="114"/>
      <c r="L108" s="114"/>
      <c r="M108" s="114"/>
      <c r="N108" s="114"/>
      <c r="O108" s="114"/>
      <c r="P108" s="114"/>
      <c r="Q108" s="114"/>
      <c r="R108" s="114"/>
    </row>
    <row r="109" spans="2:19" s="22" customFormat="1" ht="15.5">
      <c r="B109" s="223"/>
      <c r="C109" s="226"/>
      <c r="D109" s="114"/>
      <c r="E109" s="226"/>
      <c r="F109" s="226"/>
      <c r="G109" s="226"/>
      <c r="H109" s="226"/>
      <c r="I109" s="226"/>
      <c r="J109" s="226"/>
      <c r="K109" s="226"/>
      <c r="L109" s="226"/>
      <c r="M109" s="226"/>
      <c r="N109" s="226"/>
      <c r="O109" s="226"/>
      <c r="P109" s="226"/>
      <c r="Q109" s="226"/>
      <c r="R109" s="226"/>
    </row>
    <row r="110" spans="2:19">
      <c r="B110" s="215" t="s">
        <v>90</v>
      </c>
      <c r="C110" s="299">
        <f t="shared" ref="C110:H110" si="39">C6</f>
        <v>0</v>
      </c>
      <c r="D110" s="299">
        <f t="shared" si="39"/>
        <v>45510.937499999985</v>
      </c>
      <c r="E110" s="299">
        <f t="shared" si="39"/>
        <v>45510.937499999985</v>
      </c>
      <c r="F110" s="299">
        <f t="shared" si="39"/>
        <v>45510.937499999985</v>
      </c>
      <c r="G110" s="299">
        <f t="shared" si="39"/>
        <v>45510.937499999985</v>
      </c>
      <c r="H110" s="114">
        <f t="shared" si="39"/>
        <v>45510.937499999985</v>
      </c>
      <c r="I110" s="114"/>
      <c r="K110" s="114"/>
      <c r="L110" s="114"/>
      <c r="M110" s="114"/>
      <c r="N110" s="114"/>
      <c r="O110" s="114"/>
      <c r="P110" s="114"/>
      <c r="Q110" s="114"/>
      <c r="R110" s="114"/>
    </row>
    <row r="111" spans="2:19">
      <c r="B111" s="215" t="s">
        <v>846</v>
      </c>
      <c r="C111" s="299"/>
      <c r="D111" s="299">
        <f>D28+D47</f>
        <v>7920.5106938019253</v>
      </c>
      <c r="E111" s="299">
        <f t="shared" ref="E111:H111" si="40">E29+E37+E48+E56+E64+E72</f>
        <v>7920.5106938019253</v>
      </c>
      <c r="F111" s="299">
        <f t="shared" si="40"/>
        <v>7920.5106938019253</v>
      </c>
      <c r="G111" s="299">
        <f t="shared" si="40"/>
        <v>7920.5106938019253</v>
      </c>
      <c r="H111" s="114">
        <f t="shared" si="40"/>
        <v>7920.5106938019253</v>
      </c>
      <c r="I111" s="114"/>
      <c r="J111" s="114"/>
      <c r="K111" s="114"/>
      <c r="L111" s="114"/>
      <c r="M111" s="114"/>
      <c r="N111" s="114"/>
      <c r="O111" s="114"/>
      <c r="P111" s="114"/>
      <c r="Q111" s="114"/>
      <c r="R111" s="114"/>
    </row>
    <row r="112" spans="2:19">
      <c r="B112" s="218" t="s">
        <v>91</v>
      </c>
      <c r="C112" s="299">
        <f>C6-C28-C47</f>
        <v>0</v>
      </c>
      <c r="D112" s="299">
        <f>D110-D111</f>
        <v>37590.426806198062</v>
      </c>
      <c r="E112" s="299">
        <f t="shared" ref="E112:H112" si="41">E110-E111</f>
        <v>37590.426806198062</v>
      </c>
      <c r="F112" s="299">
        <f t="shared" si="41"/>
        <v>37590.426806198062</v>
      </c>
      <c r="G112" s="299">
        <f t="shared" si="41"/>
        <v>37590.426806198062</v>
      </c>
      <c r="H112" s="114">
        <f t="shared" si="41"/>
        <v>37590.426806198062</v>
      </c>
      <c r="I112" s="114"/>
      <c r="J112" s="114"/>
      <c r="K112" s="114"/>
      <c r="L112" s="114"/>
      <c r="M112" s="114"/>
      <c r="N112" s="114"/>
      <c r="O112" s="114"/>
      <c r="P112" s="114"/>
      <c r="Q112" s="114"/>
      <c r="R112" s="114"/>
    </row>
    <row r="113" spans="2:18">
      <c r="B113" s="215" t="s">
        <v>157</v>
      </c>
      <c r="C113" s="299">
        <f t="shared" ref="C113:H113" si="42">C112-C80+C56+C83+C87</f>
        <v>-361.18074360218691</v>
      </c>
      <c r="D113" s="299">
        <f>D112-D80+D56+D83+D87</f>
        <v>38901.481966960302</v>
      </c>
      <c r="E113" s="299">
        <f t="shared" si="42"/>
        <v>38901.481966960302</v>
      </c>
      <c r="F113" s="299">
        <f t="shared" si="42"/>
        <v>38901.481966960302</v>
      </c>
      <c r="G113" s="299">
        <f t="shared" si="42"/>
        <v>38901.481966960302</v>
      </c>
      <c r="H113" s="114">
        <f t="shared" si="42"/>
        <v>38901.481966960302</v>
      </c>
      <c r="I113" s="114"/>
      <c r="J113" s="114"/>
      <c r="K113" s="114"/>
      <c r="L113" s="114"/>
      <c r="M113" s="114"/>
      <c r="N113" s="114"/>
      <c r="O113" s="114"/>
      <c r="P113" s="114"/>
      <c r="Q113" s="114"/>
      <c r="R113" s="114"/>
    </row>
    <row r="114" spans="2:18">
      <c r="B114" s="215" t="s">
        <v>155</v>
      </c>
      <c r="C114" s="299">
        <f t="shared" ref="C114:H114" si="43">C112-C80</f>
        <v>-361.18074360218691</v>
      </c>
      <c r="D114" s="299">
        <f>D112-D80</f>
        <v>37223.818445691453</v>
      </c>
      <c r="E114" s="299">
        <f t="shared" si="43"/>
        <v>37223.818445691453</v>
      </c>
      <c r="F114" s="299">
        <f t="shared" si="43"/>
        <v>37223.818445691453</v>
      </c>
      <c r="G114" s="299">
        <f t="shared" si="43"/>
        <v>37223.818445691453</v>
      </c>
      <c r="H114" s="114">
        <f t="shared" si="43"/>
        <v>37223.818445691453</v>
      </c>
      <c r="I114" s="114"/>
      <c r="J114" s="114"/>
      <c r="K114" s="114"/>
      <c r="L114" s="114"/>
      <c r="M114" s="114"/>
      <c r="N114" s="114"/>
      <c r="O114" s="114"/>
      <c r="P114" s="114"/>
      <c r="Q114" s="114"/>
      <c r="R114" s="114"/>
    </row>
    <row r="115" spans="2:18">
      <c r="B115" s="215" t="s">
        <v>746</v>
      </c>
      <c r="C115" s="299">
        <v>0</v>
      </c>
      <c r="D115" s="299">
        <f t="shared" ref="D115:H115" si="44">D90</f>
        <v>8189.2400580521198</v>
      </c>
      <c r="E115" s="299">
        <f t="shared" si="44"/>
        <v>8189.2400580521198</v>
      </c>
      <c r="F115" s="299">
        <f t="shared" si="44"/>
        <v>8189.2400580521198</v>
      </c>
      <c r="G115" s="299">
        <f t="shared" si="44"/>
        <v>8189.2400580521198</v>
      </c>
      <c r="H115" s="114">
        <f t="shared" si="44"/>
        <v>8189.2400580521198</v>
      </c>
      <c r="I115" s="114"/>
      <c r="J115" s="114"/>
      <c r="K115" s="114"/>
      <c r="L115" s="114"/>
      <c r="M115" s="114"/>
      <c r="N115" s="114"/>
      <c r="O115" s="114"/>
      <c r="P115" s="114"/>
      <c r="Q115" s="114"/>
      <c r="R115" s="114"/>
    </row>
    <row r="116" spans="2:18">
      <c r="B116" s="215" t="s">
        <v>747</v>
      </c>
      <c r="C116" s="299">
        <v>0</v>
      </c>
      <c r="D116" s="299">
        <f t="shared" ref="D116:H116" si="45">D91</f>
        <v>414.14881488358799</v>
      </c>
      <c r="E116" s="299">
        <f t="shared" si="45"/>
        <v>380.97092036161166</v>
      </c>
      <c r="F116" s="299">
        <f t="shared" si="45"/>
        <v>345.74668590324904</v>
      </c>
      <c r="G116" s="299">
        <f t="shared" si="45"/>
        <v>308.3498977388922</v>
      </c>
      <c r="H116" s="114">
        <f t="shared" si="45"/>
        <v>268.64655750979784</v>
      </c>
      <c r="I116" s="114"/>
      <c r="J116" s="114"/>
      <c r="K116" s="114"/>
      <c r="L116" s="114"/>
      <c r="M116" s="114"/>
      <c r="N116" s="114"/>
      <c r="O116" s="114"/>
      <c r="P116" s="114"/>
      <c r="Q116" s="114"/>
      <c r="R116" s="114"/>
    </row>
    <row r="117" spans="2:18">
      <c r="B117" s="218" t="s">
        <v>92</v>
      </c>
      <c r="C117" s="299">
        <f>C114-C115-C116</f>
        <v>-361.18074360218691</v>
      </c>
      <c r="D117" s="299">
        <f>D114-D115-D116</f>
        <v>28620.429572755744</v>
      </c>
      <c r="E117" s="299">
        <f>E114-E115-E116</f>
        <v>28653.607467277721</v>
      </c>
      <c r="F117" s="299">
        <f t="shared" ref="F117:H117" si="46">F114-F115-F116</f>
        <v>28688.831701736082</v>
      </c>
      <c r="G117" s="299">
        <f t="shared" si="46"/>
        <v>28726.228489900441</v>
      </c>
      <c r="H117" s="114">
        <f t="shared" si="46"/>
        <v>28765.931830129535</v>
      </c>
      <c r="I117" s="114"/>
      <c r="J117" s="114"/>
      <c r="K117" s="114"/>
      <c r="L117" s="114"/>
      <c r="M117" s="114"/>
      <c r="N117" s="114"/>
      <c r="O117" s="114"/>
      <c r="P117" s="114"/>
      <c r="Q117" s="114"/>
      <c r="R117" s="114"/>
    </row>
    <row r="118" spans="2:18" s="22" customFormat="1">
      <c r="B118" s="227"/>
      <c r="C118" s="114"/>
      <c r="D118" s="114"/>
      <c r="E118" s="114"/>
      <c r="F118" s="114"/>
      <c r="G118" s="114"/>
      <c r="H118" s="114"/>
      <c r="I118" s="114"/>
      <c r="J118" s="114"/>
      <c r="K118" s="114"/>
      <c r="L118" s="114"/>
      <c r="M118" s="114"/>
      <c r="N118" s="114"/>
      <c r="O118" s="114"/>
      <c r="P118" s="114"/>
      <c r="Q118" s="114"/>
      <c r="R118" s="114"/>
    </row>
    <row r="119" spans="2:18">
      <c r="B119" s="227" t="s">
        <v>93</v>
      </c>
      <c r="C119" s="228" t="str">
        <f t="shared" ref="C119:H119" si="47">IFERROR(C112/C110,"N/A")</f>
        <v>N/A</v>
      </c>
      <c r="D119" s="228">
        <f>IFERROR(D112/D110,"N/A")</f>
        <v>0.8259646773085717</v>
      </c>
      <c r="E119" s="228">
        <f t="shared" si="47"/>
        <v>0.8259646773085717</v>
      </c>
      <c r="F119" s="228">
        <f t="shared" si="47"/>
        <v>0.8259646773085717</v>
      </c>
      <c r="G119" s="228">
        <f t="shared" si="47"/>
        <v>0.8259646773085717</v>
      </c>
      <c r="H119" s="416">
        <f t="shared" si="47"/>
        <v>0.8259646773085717</v>
      </c>
      <c r="I119" s="278"/>
      <c r="J119" s="278"/>
      <c r="K119" s="278"/>
      <c r="L119" s="278"/>
      <c r="M119" s="278"/>
      <c r="N119" s="278"/>
      <c r="O119" s="278"/>
      <c r="P119" s="278"/>
      <c r="Q119" s="278"/>
      <c r="R119" s="278"/>
    </row>
    <row r="120" spans="2:18">
      <c r="B120" s="215" t="s">
        <v>156</v>
      </c>
      <c r="C120" s="219" t="str">
        <f>IFERROR(C114/C110,"N/A")</f>
        <v>N/A</v>
      </c>
      <c r="D120" s="219">
        <f>IFERROR(D114/D110,"N/A")</f>
        <v>0.81790928709590882</v>
      </c>
      <c r="E120" s="219">
        <f t="shared" ref="E120:H120" si="48">IFERROR(E114/E110,"N/A")</f>
        <v>0.81790928709590882</v>
      </c>
      <c r="F120" s="219">
        <f t="shared" si="48"/>
        <v>0.81790928709590882</v>
      </c>
      <c r="G120" s="219">
        <f t="shared" si="48"/>
        <v>0.81790928709590882</v>
      </c>
      <c r="H120" s="416">
        <f t="shared" si="48"/>
        <v>0.81790928709590882</v>
      </c>
      <c r="I120" s="278"/>
      <c r="J120" s="278"/>
      <c r="K120" s="278"/>
      <c r="L120" s="278"/>
      <c r="M120" s="278"/>
      <c r="N120" s="278"/>
      <c r="O120" s="278"/>
      <c r="P120" s="278"/>
      <c r="Q120" s="278"/>
      <c r="R120" s="278"/>
    </row>
    <row r="121" spans="2:18">
      <c r="B121" s="215" t="s">
        <v>159</v>
      </c>
      <c r="C121" s="219" t="str">
        <f>IFERROR(C113/C110,"N/A")</f>
        <v>N/A</v>
      </c>
      <c r="D121" s="219">
        <f>IFERROR(D113/D110,"N/A")</f>
        <v>0.85477215157258224</v>
      </c>
      <c r="E121" s="219">
        <f t="shared" ref="E121:H121" si="49">IFERROR(E113/E110,"N/A")</f>
        <v>0.85477215157258224</v>
      </c>
      <c r="F121" s="219">
        <f t="shared" si="49"/>
        <v>0.85477215157258224</v>
      </c>
      <c r="G121" s="219">
        <f t="shared" si="49"/>
        <v>0.85477215157258224</v>
      </c>
      <c r="H121" s="416">
        <f t="shared" si="49"/>
        <v>0.85477215157258224</v>
      </c>
      <c r="I121" s="278"/>
      <c r="J121" s="278"/>
      <c r="K121" s="278"/>
      <c r="L121" s="278"/>
      <c r="M121" s="278"/>
      <c r="N121" s="278"/>
      <c r="O121" s="278"/>
      <c r="P121" s="278"/>
      <c r="Q121" s="278"/>
      <c r="R121" s="278"/>
    </row>
    <row r="122" spans="2:18">
      <c r="B122" s="218" t="s">
        <v>94</v>
      </c>
      <c r="C122" s="219" t="str">
        <f>IFERROR(C117/C110,"N/A")</f>
        <v>N/A</v>
      </c>
      <c r="D122" s="219">
        <f>IFERROR(D117/D110,"N/A")</f>
        <v>0.6288692596753418</v>
      </c>
      <c r="E122" s="219">
        <f t="shared" ref="E122:H122" si="50">IFERROR(E117/E110,"N/A")</f>
        <v>0.62959826892772164</v>
      </c>
      <c r="F122" s="219">
        <f t="shared" si="50"/>
        <v>0.63037224187561702</v>
      </c>
      <c r="G122" s="219">
        <f t="shared" si="50"/>
        <v>0.63119395178138116</v>
      </c>
      <c r="H122" s="416">
        <f t="shared" si="50"/>
        <v>0.63206634295612008</v>
      </c>
      <c r="I122" s="278"/>
      <c r="J122" s="278"/>
      <c r="K122" s="278"/>
      <c r="L122" s="278"/>
      <c r="M122" s="278"/>
      <c r="N122" s="278"/>
      <c r="O122" s="278"/>
      <c r="P122" s="278"/>
      <c r="Q122" s="278"/>
      <c r="R122" s="278"/>
    </row>
    <row r="123" spans="2:18">
      <c r="B123" s="215" t="s">
        <v>645</v>
      </c>
      <c r="C123" s="278"/>
      <c r="D123" s="278">
        <f>(D110-(D28+D47))/(D28+D47)</f>
        <v>4.7459599840719715</v>
      </c>
      <c r="E123" s="278">
        <f t="shared" ref="E123:H123" si="51">(E110-(E28+E47))/(E28+E47)</f>
        <v>4.7459599840719715</v>
      </c>
      <c r="F123" s="278">
        <f t="shared" si="51"/>
        <v>4.7459599840719715</v>
      </c>
      <c r="G123" s="278">
        <f t="shared" si="51"/>
        <v>4.7459599840719715</v>
      </c>
      <c r="H123" s="278">
        <f t="shared" si="51"/>
        <v>4.7459599840719715</v>
      </c>
      <c r="I123" s="278"/>
      <c r="J123" s="278"/>
      <c r="K123" s="278"/>
      <c r="L123" s="278"/>
      <c r="M123" s="278"/>
      <c r="N123" s="278"/>
      <c r="O123" s="278"/>
      <c r="P123" s="278"/>
      <c r="Q123" s="278"/>
      <c r="R123" s="278"/>
    </row>
    <row r="124" spans="2:18">
      <c r="B124" s="215"/>
      <c r="C124" s="278"/>
      <c r="D124" s="278"/>
      <c r="E124" s="278"/>
      <c r="F124" s="278"/>
      <c r="G124" s="278"/>
      <c r="H124" s="278"/>
      <c r="I124" s="278"/>
      <c r="J124" s="278"/>
      <c r="K124" s="278"/>
      <c r="L124" s="278"/>
      <c r="M124" s="278"/>
      <c r="N124" s="278"/>
      <c r="O124" s="278"/>
      <c r="P124" s="278"/>
      <c r="Q124" s="278"/>
      <c r="R124" s="278"/>
    </row>
    <row r="125" spans="2:18" s="22" customFormat="1"/>
    <row r="126" spans="2:18">
      <c r="B126" s="15" t="s">
        <v>618</v>
      </c>
      <c r="C126" s="269">
        <f>INTERCEPT($C$4:$R$4,C103:R103)</f>
        <v>0.19300613749793971</v>
      </c>
    </row>
    <row r="127" spans="2:18">
      <c r="B127" s="15" t="s">
        <v>724</v>
      </c>
      <c r="C127" s="269">
        <f>INTERCEPT($C$4:$R$4,C105:R105)</f>
        <v>9.6315990174063781E-2</v>
      </c>
    </row>
    <row r="128" spans="2:18">
      <c r="B128" s="15" t="s">
        <v>616</v>
      </c>
      <c r="C128" s="279">
        <f>IFERROR(IRR(C102:H102,0.1),"N/A")</f>
        <v>5.1498719254121248</v>
      </c>
    </row>
    <row r="129" spans="2:5">
      <c r="B129" s="15" t="s">
        <v>617</v>
      </c>
      <c r="C129" s="299">
        <f>NPV(General_Financial_WACC,D102:H102)+C102</f>
        <v>134992.45550083354</v>
      </c>
      <c r="D129" s="220" t="s">
        <v>648</v>
      </c>
      <c r="E129" s="192"/>
    </row>
    <row r="130" spans="2:5">
      <c r="C130" s="299">
        <f>SUM(C104:H104)</f>
        <v>134992.45550083354</v>
      </c>
      <c r="D130" s="15" t="s">
        <v>649</v>
      </c>
    </row>
  </sheetData>
  <sheetProtection algorithmName="SHA-512" hashValue="pyWa5NDOnJlW72HaaSzla9x4EgSOqvgviJ4TKGVUPxFZC51VP6K7b15ptFAhUDog+ejvZXn2AjjWHEpB4UWQRA==" saltValue="52MzqIR0q4GrPwDrLAdmKg==" spinCount="100000" sheet="1" objects="1" scenarios="1" selectLockedCells="1" selectUnlockedCells="1"/>
  <conditionalFormatting sqref="C117 C111:C114 C119:R124 F110:I110 K110:Q110 J114">
    <cfRule type="cellIs" dxfId="906" priority="136" operator="greaterThan">
      <formula>0</formula>
    </cfRule>
  </conditionalFormatting>
  <conditionalFormatting sqref="C117 C111:C114 C119:R124 F110:I110 K110:Q110 J114">
    <cfRule type="cellIs" dxfId="905" priority="135" operator="lessThan">
      <formula>0</formula>
    </cfRule>
  </conditionalFormatting>
  <conditionalFormatting sqref="D117 D110 D112:D114 E112:R112">
    <cfRule type="cellIs" dxfId="904" priority="134" operator="greaterThan">
      <formula>0</formula>
    </cfRule>
  </conditionalFormatting>
  <conditionalFormatting sqref="D117 D110 D112:D114 E112:R112">
    <cfRule type="cellIs" dxfId="903" priority="133" operator="lessThan">
      <formula>0</formula>
    </cfRule>
  </conditionalFormatting>
  <conditionalFormatting sqref="E117 E110 E112:E114">
    <cfRule type="cellIs" dxfId="902" priority="132" operator="greaterThan">
      <formula>0</formula>
    </cfRule>
  </conditionalFormatting>
  <conditionalFormatting sqref="E117 E110 E112:E114">
    <cfRule type="cellIs" dxfId="901" priority="131" operator="lessThan">
      <formula>0</formula>
    </cfRule>
  </conditionalFormatting>
  <conditionalFormatting sqref="F117:Q117 F112:Q113 F114:I114 K114:Q114">
    <cfRule type="cellIs" dxfId="900" priority="130" operator="greaterThan">
      <formula>0</formula>
    </cfRule>
  </conditionalFormatting>
  <conditionalFormatting sqref="F117:Q117 F112:Q113 F114:I114 K114:Q114">
    <cfRule type="cellIs" dxfId="899" priority="129" operator="lessThan">
      <formula>0</formula>
    </cfRule>
  </conditionalFormatting>
  <conditionalFormatting sqref="R117 R110 R112:R114">
    <cfRule type="cellIs" dxfId="898" priority="128" operator="greaterThan">
      <formula>0</formula>
    </cfRule>
  </conditionalFormatting>
  <conditionalFormatting sqref="R117 R110 R112:R114">
    <cfRule type="cellIs" dxfId="897" priority="127" operator="lessThan">
      <formula>0</formula>
    </cfRule>
  </conditionalFormatting>
  <conditionalFormatting sqref="C7:C8 C110:I110 K110:R110 C111:R117">
    <cfRule type="expression" dxfId="896" priority="120">
      <formula>IF(INDIRECT("General_Currency_Selection")="CHF",TRUE)</formula>
    </cfRule>
    <cfRule type="expression" dxfId="895" priority="121">
      <formula>IF(INDIRECT("General_Currency_Selection")="EUR",TRUE)</formula>
    </cfRule>
    <cfRule type="expression" dxfId="894" priority="122">
      <formula>IF(INDIRECT("General_Currency_Selection")="USD",TRUE)</formula>
    </cfRule>
  </conditionalFormatting>
  <conditionalFormatting sqref="D7:R8">
    <cfRule type="expression" dxfId="893" priority="117">
      <formula>IF(INDIRECT("General_Currency_Selection")="CHF",TRUE)</formula>
    </cfRule>
    <cfRule type="expression" dxfId="892" priority="118">
      <formula>IF(INDIRECT("General_Currency_Selection")="EUR",TRUE)</formula>
    </cfRule>
    <cfRule type="expression" dxfId="891" priority="119">
      <formula>IF(INDIRECT("General_Currency_Selection")="USD",TRUE)</formula>
    </cfRule>
  </conditionalFormatting>
  <conditionalFormatting sqref="C6">
    <cfRule type="expression" dxfId="890" priority="114">
      <formula>IF(INDIRECT("General_Currency_Selection")="CHF",TRUE)</formula>
    </cfRule>
    <cfRule type="expression" dxfId="889" priority="115">
      <formula>IF(INDIRECT("General_Currency_Selection")="EUR",TRUE)</formula>
    </cfRule>
    <cfRule type="expression" dxfId="888" priority="116">
      <formula>IF(INDIRECT("General_Currency_Selection")="USD",TRUE)</formula>
    </cfRule>
  </conditionalFormatting>
  <conditionalFormatting sqref="D6:R6">
    <cfRule type="expression" dxfId="887" priority="111">
      <formula>IF(INDIRECT("General_Currency_Selection")="CHF",TRUE)</formula>
    </cfRule>
    <cfRule type="expression" dxfId="886" priority="112">
      <formula>IF(INDIRECT("General_Currency_Selection")="EUR",TRUE)</formula>
    </cfRule>
    <cfRule type="expression" dxfId="885" priority="113">
      <formula>IF(INDIRECT("General_Currency_Selection")="USD",TRUE)</formula>
    </cfRule>
  </conditionalFormatting>
  <conditionalFormatting sqref="C14:C22">
    <cfRule type="expression" dxfId="884" priority="105">
      <formula>IF(INDIRECT("General_Currency_Selection")="CHF",TRUE)</formula>
    </cfRule>
    <cfRule type="expression" dxfId="883" priority="106">
      <formula>IF(INDIRECT("General_Currency_Selection")="EUR",TRUE)</formula>
    </cfRule>
    <cfRule type="expression" dxfId="882" priority="107">
      <formula>IF(INDIRECT("General_Currency_Selection")="USD",TRUE)</formula>
    </cfRule>
  </conditionalFormatting>
  <conditionalFormatting sqref="C13:H13">
    <cfRule type="expression" dxfId="881" priority="102">
      <formula>IF(INDIRECT("General_Currency_Selection")="CHF",TRUE)</formula>
    </cfRule>
    <cfRule type="expression" dxfId="880" priority="103">
      <formula>IF(INDIRECT("General_Currency_Selection")="EUR",TRUE)</formula>
    </cfRule>
    <cfRule type="expression" dxfId="879" priority="104">
      <formula>IF(INDIRECT("General_Currency_Selection")="USD",TRUE)</formula>
    </cfRule>
  </conditionalFormatting>
  <conditionalFormatting sqref="I13:R13">
    <cfRule type="expression" dxfId="878" priority="99">
      <formula>IF(INDIRECT("General_Currency_Selection")="CHF",TRUE)</formula>
    </cfRule>
    <cfRule type="expression" dxfId="877" priority="100">
      <formula>IF(INDIRECT("General_Currency_Selection")="EUR",TRUE)</formula>
    </cfRule>
    <cfRule type="expression" dxfId="876" priority="101">
      <formula>IF(INDIRECT("General_Currency_Selection")="USD",TRUE)</formula>
    </cfRule>
  </conditionalFormatting>
  <conditionalFormatting sqref="D14:R14 D16:R22 D15:I15 K15:R15">
    <cfRule type="expression" dxfId="875" priority="96">
      <formula>IF(INDIRECT("General_Currency_Selection")="CHF",TRUE)</formula>
    </cfRule>
    <cfRule type="expression" dxfId="874" priority="97">
      <formula>IF(INDIRECT("General_Currency_Selection")="EUR",TRUE)</formula>
    </cfRule>
    <cfRule type="expression" dxfId="873" priority="98">
      <formula>IF(INDIRECT("General_Currency_Selection")="USD",TRUE)</formula>
    </cfRule>
  </conditionalFormatting>
  <conditionalFormatting sqref="C28:R28">
    <cfRule type="expression" dxfId="872" priority="93">
      <formula>IF(INDIRECT("General_Currency_Selection")="CHF",TRUE)</formula>
    </cfRule>
    <cfRule type="expression" dxfId="871" priority="94">
      <formula>IF(INDIRECT("General_Currency_Selection")="EUR",TRUE)</formula>
    </cfRule>
    <cfRule type="expression" dxfId="870" priority="95">
      <formula>IF(INDIRECT("General_Currency_Selection")="USD",TRUE)</formula>
    </cfRule>
  </conditionalFormatting>
  <conditionalFormatting sqref="C29">
    <cfRule type="expression" dxfId="869" priority="90">
      <formula>IF(INDIRECT("General_Currency_Selection")="CHF",TRUE)</formula>
    </cfRule>
    <cfRule type="expression" dxfId="868" priority="91">
      <formula>IF(INDIRECT("General_Currency_Selection")="EUR",TRUE)</formula>
    </cfRule>
    <cfRule type="expression" dxfId="867" priority="92">
      <formula>IF(INDIRECT("General_Currency_Selection")="USD",TRUE)</formula>
    </cfRule>
  </conditionalFormatting>
  <conditionalFormatting sqref="D29:R29">
    <cfRule type="expression" dxfId="866" priority="87">
      <formula>IF(INDIRECT("General_Currency_Selection")="CHF",TRUE)</formula>
    </cfRule>
    <cfRule type="expression" dxfId="865" priority="88">
      <formula>IF(INDIRECT("General_Currency_Selection")="EUR",TRUE)</formula>
    </cfRule>
    <cfRule type="expression" dxfId="864" priority="89">
      <formula>IF(INDIRECT("General_Currency_Selection")="USD",TRUE)</formula>
    </cfRule>
  </conditionalFormatting>
  <conditionalFormatting sqref="C30:R35">
    <cfRule type="expression" dxfId="863" priority="84">
      <formula>IF(INDIRECT("General_Currency_Selection")="CHF",TRUE)</formula>
    </cfRule>
    <cfRule type="expression" dxfId="862" priority="85">
      <formula>IF(INDIRECT("General_Currency_Selection")="EUR",TRUE)</formula>
    </cfRule>
    <cfRule type="expression" dxfId="861" priority="86">
      <formula>IF(INDIRECT("General_Currency_Selection")="USD",TRUE)</formula>
    </cfRule>
  </conditionalFormatting>
  <conditionalFormatting sqref="C37">
    <cfRule type="expression" dxfId="860" priority="81">
      <formula>IF(INDIRECT("General_Currency_Selection")="CHF",TRUE)</formula>
    </cfRule>
    <cfRule type="expression" dxfId="859" priority="82">
      <formula>IF(INDIRECT("General_Currency_Selection")="EUR",TRUE)</formula>
    </cfRule>
    <cfRule type="expression" dxfId="858" priority="83">
      <formula>IF(INDIRECT("General_Currency_Selection")="USD",TRUE)</formula>
    </cfRule>
  </conditionalFormatting>
  <conditionalFormatting sqref="D37:R37">
    <cfRule type="expression" dxfId="857" priority="78">
      <formula>IF(INDIRECT("General_Currency_Selection")="CHF",TRUE)</formula>
    </cfRule>
    <cfRule type="expression" dxfId="856" priority="79">
      <formula>IF(INDIRECT("General_Currency_Selection")="EUR",TRUE)</formula>
    </cfRule>
    <cfRule type="expression" dxfId="855" priority="80">
      <formula>IF(INDIRECT("General_Currency_Selection")="USD",TRUE)</formula>
    </cfRule>
  </conditionalFormatting>
  <conditionalFormatting sqref="C38:R42 C43:I43 K43:R43">
    <cfRule type="expression" dxfId="854" priority="75">
      <formula>IF(INDIRECT("General_Currency_Selection")="CHF",TRUE)</formula>
    </cfRule>
    <cfRule type="expression" dxfId="853" priority="76">
      <formula>IF(INDIRECT("General_Currency_Selection")="EUR",TRUE)</formula>
    </cfRule>
    <cfRule type="expression" dxfId="852" priority="77">
      <formula>IF(INDIRECT("General_Currency_Selection")="USD",TRUE)</formula>
    </cfRule>
  </conditionalFormatting>
  <conditionalFormatting sqref="C47:R47">
    <cfRule type="expression" dxfId="851" priority="72">
      <formula>IF(INDIRECT("General_Currency_Selection")="CHF",TRUE)</formula>
    </cfRule>
    <cfRule type="expression" dxfId="850" priority="73">
      <formula>IF(INDIRECT("General_Currency_Selection")="EUR",TRUE)</formula>
    </cfRule>
    <cfRule type="expression" dxfId="849" priority="74">
      <formula>IF(INDIRECT("General_Currency_Selection")="USD",TRUE)</formula>
    </cfRule>
  </conditionalFormatting>
  <conditionalFormatting sqref="C48:R48">
    <cfRule type="expression" dxfId="848" priority="69">
      <formula>IF(INDIRECT("General_Currency_Selection")="CHF",TRUE)</formula>
    </cfRule>
    <cfRule type="expression" dxfId="847" priority="70">
      <formula>IF(INDIRECT("General_Currency_Selection")="EUR",TRUE)</formula>
    </cfRule>
    <cfRule type="expression" dxfId="846" priority="71">
      <formula>IF(INDIRECT("General_Currency_Selection")="USD",TRUE)</formula>
    </cfRule>
  </conditionalFormatting>
  <conditionalFormatting sqref="C49:R54">
    <cfRule type="expression" dxfId="845" priority="66">
      <formula>IF(INDIRECT("General_Currency_Selection")="CHF",TRUE)</formula>
    </cfRule>
    <cfRule type="expression" dxfId="844" priority="67">
      <formula>IF(INDIRECT("General_Currency_Selection")="EUR",TRUE)</formula>
    </cfRule>
    <cfRule type="expression" dxfId="843" priority="68">
      <formula>IF(INDIRECT("General_Currency_Selection")="USD",TRUE)</formula>
    </cfRule>
  </conditionalFormatting>
  <conditionalFormatting sqref="C56:R56">
    <cfRule type="expression" dxfId="842" priority="63">
      <formula>IF(INDIRECT("General_Currency_Selection")="CHF",TRUE)</formula>
    </cfRule>
    <cfRule type="expression" dxfId="841" priority="64">
      <formula>IF(INDIRECT("General_Currency_Selection")="EUR",TRUE)</formula>
    </cfRule>
    <cfRule type="expression" dxfId="840" priority="65">
      <formula>IF(INDIRECT("General_Currency_Selection")="USD",TRUE)</formula>
    </cfRule>
  </conditionalFormatting>
  <conditionalFormatting sqref="C57:R62">
    <cfRule type="expression" dxfId="839" priority="60">
      <formula>IF(INDIRECT("General_Currency_Selection")="CHF",TRUE)</formula>
    </cfRule>
    <cfRule type="expression" dxfId="838" priority="61">
      <formula>IF(INDIRECT("General_Currency_Selection")="EUR",TRUE)</formula>
    </cfRule>
    <cfRule type="expression" dxfId="837" priority="62">
      <formula>IF(INDIRECT("General_Currency_Selection")="USD",TRUE)</formula>
    </cfRule>
  </conditionalFormatting>
  <conditionalFormatting sqref="C64:R64">
    <cfRule type="expression" dxfId="836" priority="57">
      <formula>IF(INDIRECT("General_Currency_Selection")="CHF",TRUE)</formula>
    </cfRule>
    <cfRule type="expression" dxfId="835" priority="58">
      <formula>IF(INDIRECT("General_Currency_Selection")="EUR",TRUE)</formula>
    </cfRule>
    <cfRule type="expression" dxfId="834" priority="59">
      <formula>IF(INDIRECT("General_Currency_Selection")="USD",TRUE)</formula>
    </cfRule>
  </conditionalFormatting>
  <conditionalFormatting sqref="C65:R70">
    <cfRule type="expression" dxfId="833" priority="54">
      <formula>IF(INDIRECT("General_Currency_Selection")="CHF",TRUE)</formula>
    </cfRule>
    <cfRule type="expression" dxfId="832" priority="55">
      <formula>IF(INDIRECT("General_Currency_Selection")="EUR",TRUE)</formula>
    </cfRule>
    <cfRule type="expression" dxfId="831" priority="56">
      <formula>IF(INDIRECT("General_Currency_Selection")="USD",TRUE)</formula>
    </cfRule>
  </conditionalFormatting>
  <conditionalFormatting sqref="C72:R72">
    <cfRule type="expression" dxfId="830" priority="51">
      <formula>IF(INDIRECT("General_Currency_Selection")="CHF",TRUE)</formula>
    </cfRule>
    <cfRule type="expression" dxfId="829" priority="52">
      <formula>IF(INDIRECT("General_Currency_Selection")="EUR",TRUE)</formula>
    </cfRule>
    <cfRule type="expression" dxfId="828" priority="53">
      <formula>IF(INDIRECT("General_Currency_Selection")="USD",TRUE)</formula>
    </cfRule>
  </conditionalFormatting>
  <conditionalFormatting sqref="C73:R75">
    <cfRule type="expression" dxfId="827" priority="48">
      <formula>IF(INDIRECT("General_Currency_Selection")="CHF",TRUE)</formula>
    </cfRule>
    <cfRule type="expression" dxfId="826" priority="49">
      <formula>IF(INDIRECT("General_Currency_Selection")="EUR",TRUE)</formula>
    </cfRule>
    <cfRule type="expression" dxfId="825" priority="50">
      <formula>IF(INDIRECT("General_Currency_Selection")="USD",TRUE)</formula>
    </cfRule>
  </conditionalFormatting>
  <conditionalFormatting sqref="C77:R77">
    <cfRule type="expression" dxfId="824" priority="45">
      <formula>IF(INDIRECT("General_Currency_Selection")="CHF",TRUE)</formula>
    </cfRule>
    <cfRule type="expression" dxfId="823" priority="46">
      <formula>IF(INDIRECT("General_Currency_Selection")="EUR",TRUE)</formula>
    </cfRule>
    <cfRule type="expression" dxfId="822" priority="47">
      <formula>IF(INDIRECT("General_Currency_Selection")="USD",TRUE)</formula>
    </cfRule>
  </conditionalFormatting>
  <conditionalFormatting sqref="C78:R78">
    <cfRule type="expression" dxfId="821" priority="42">
      <formula>IF(INDIRECT("General_Currency_Selection")="CHF",TRUE)</formula>
    </cfRule>
    <cfRule type="expression" dxfId="820" priority="43">
      <formula>IF(INDIRECT("General_Currency_Selection")="EUR",TRUE)</formula>
    </cfRule>
    <cfRule type="expression" dxfId="819" priority="44">
      <formula>IF(INDIRECT("General_Currency_Selection")="USD",TRUE)</formula>
    </cfRule>
  </conditionalFormatting>
  <conditionalFormatting sqref="C80:R80">
    <cfRule type="expression" dxfId="818" priority="39">
      <formula>IF(INDIRECT("General_Currency_Selection")="CHF",TRUE)</formula>
    </cfRule>
    <cfRule type="expression" dxfId="817" priority="40">
      <formula>IF(INDIRECT("General_Currency_Selection")="EUR",TRUE)</formula>
    </cfRule>
    <cfRule type="expression" dxfId="816" priority="41">
      <formula>IF(INDIRECT("General_Currency_Selection")="USD",TRUE)</formula>
    </cfRule>
  </conditionalFormatting>
  <conditionalFormatting sqref="C81:R83 C84:I84 K84:R84 C85:R91">
    <cfRule type="expression" dxfId="815" priority="33">
      <formula>IF(INDIRECT("General_Currency_Selection")="CHF",TRUE)</formula>
    </cfRule>
    <cfRule type="expression" dxfId="814" priority="34">
      <formula>IF(INDIRECT("General_Currency_Selection")="EUR",TRUE)</formula>
    </cfRule>
    <cfRule type="expression" dxfId="813" priority="35">
      <formula>IF(INDIRECT("General_Currency_Selection")="USD",TRUE)</formula>
    </cfRule>
  </conditionalFormatting>
  <conditionalFormatting sqref="C96:R98 C99">
    <cfRule type="expression" dxfId="812" priority="30">
      <formula>IF(INDIRECT("General_Currency_Selection")="CHF",TRUE)</formula>
    </cfRule>
    <cfRule type="expression" dxfId="811" priority="31">
      <formula>IF(INDIRECT("General_Currency_Selection")="EUR",TRUE)</formula>
    </cfRule>
    <cfRule type="expression" dxfId="810" priority="32">
      <formula>IF(INDIRECT("General_Currency_Selection")="USD",TRUE)</formula>
    </cfRule>
  </conditionalFormatting>
  <conditionalFormatting sqref="C102:R105">
    <cfRule type="expression" dxfId="809" priority="27">
      <formula>IF(INDIRECT("General_Currency_Selection")="CHF",TRUE)</formula>
    </cfRule>
    <cfRule type="expression" dxfId="808" priority="28">
      <formula>IF(INDIRECT("General_Currency_Selection")="EUR",TRUE)</formula>
    </cfRule>
    <cfRule type="expression" dxfId="807" priority="29">
      <formula>IF(INDIRECT("General_Currency_Selection")="USD",TRUE)</formula>
    </cfRule>
  </conditionalFormatting>
  <conditionalFormatting sqref="C129:C130">
    <cfRule type="expression" dxfId="806" priority="16">
      <formula>IF(INDIRECT("General_Currency_Selection")="CHF",TRUE)</formula>
    </cfRule>
    <cfRule type="expression" dxfId="805" priority="17">
      <formula>IF(INDIRECT("General_Currency_Selection")="EUR",TRUE)</formula>
    </cfRule>
    <cfRule type="expression" dxfId="804" priority="18">
      <formula>IF(INDIRECT("General_Currency_Selection")="USD",TRUE)</formula>
    </cfRule>
  </conditionalFormatting>
  <conditionalFormatting sqref="C129:C130">
    <cfRule type="cellIs" dxfId="803" priority="20" operator="greaterThan">
      <formula>0</formula>
    </cfRule>
  </conditionalFormatting>
  <conditionalFormatting sqref="C129:C130">
    <cfRule type="cellIs" dxfId="802" priority="19" operator="lessThan">
      <formula>0</formula>
    </cfRule>
  </conditionalFormatting>
  <conditionalFormatting sqref="D106:D108">
    <cfRule type="expression" dxfId="801" priority="13">
      <formula>IF(INDIRECT("General_Currency_Selection")="CHF",TRUE)</formula>
    </cfRule>
    <cfRule type="expression" dxfId="800" priority="14">
      <formula>IF(INDIRECT("General_Currency_Selection")="EUR",TRUE)</formula>
    </cfRule>
    <cfRule type="expression" dxfId="799" priority="15">
      <formula>IF(INDIRECT("General_Currency_Selection")="USD",TRUE)</formula>
    </cfRule>
  </conditionalFormatting>
  <conditionalFormatting sqref="D109">
    <cfRule type="expression" dxfId="798" priority="10">
      <formula>IF(INDIRECT("General_Currency_Selection")="CHF",TRUE)</formula>
    </cfRule>
    <cfRule type="expression" dxfId="797" priority="11">
      <formula>IF(INDIRECT("General_Currency_Selection")="EUR",TRUE)</formula>
    </cfRule>
    <cfRule type="expression" dxfId="796" priority="12">
      <formula>IF(INDIRECT("General_Currency_Selection")="USD",TRUE)</formula>
    </cfRule>
  </conditionalFormatting>
  <conditionalFormatting sqref="D99:R99">
    <cfRule type="expression" dxfId="795" priority="7">
      <formula>IF(INDIRECT("General_Currency_Selection")="CHF",TRUE)</formula>
    </cfRule>
    <cfRule type="expression" dxfId="794" priority="8">
      <formula>IF(INDIRECT("General_Currency_Selection")="EUR",TRUE)</formula>
    </cfRule>
    <cfRule type="expression" dxfId="793" priority="9">
      <formula>IF(INDIRECT("General_Currency_Selection")="USD",TRUE)</formula>
    </cfRule>
  </conditionalFormatting>
  <conditionalFormatting sqref="C100:R100">
    <cfRule type="expression" dxfId="792" priority="4">
      <formula>IF(INDIRECT("General_Currency_Selection")="CHF",TRUE)</formula>
    </cfRule>
    <cfRule type="expression" dxfId="791" priority="5">
      <formula>IF(INDIRECT("General_Currency_Selection")="EUR",TRUE)</formula>
    </cfRule>
    <cfRule type="expression" dxfId="790" priority="6">
      <formula>IF(INDIRECT("General_Currency_Selection")="USD",TRUE)</formula>
    </cfRule>
  </conditionalFormatting>
  <conditionalFormatting sqref="S99:S100">
    <cfRule type="expression" dxfId="789" priority="1">
      <formula>IF(INDIRECT("General_Currency_Selection")="CHF",TRUE)</formula>
    </cfRule>
    <cfRule type="expression" dxfId="788" priority="2">
      <formula>IF(INDIRECT("General_Currency_Selection")="EUR",TRUE)</formula>
    </cfRule>
    <cfRule type="expression" dxfId="787" priority="3">
      <formula>IF(INDIRECT("General_Currency_Selection")="USD",TRUE)</formula>
    </cfRule>
  </conditionalFormatting>
  <pageMargins left="0.7" right="0.7" top="0.75" bottom="0.75" header="0.3" footer="0.3"/>
  <pageSetup paperSize="9" scale="48" orientation="portrait" horizontalDpi="4294967293" verticalDpi="12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79998168889431442"/>
  </sheetPr>
  <dimension ref="B1:N74"/>
  <sheetViews>
    <sheetView showGridLines="0" showRowColHeaders="0" zoomScale="70" zoomScaleNormal="70" workbookViewId="0">
      <selection activeCell="E10" sqref="E10 I10"/>
    </sheetView>
  </sheetViews>
  <sheetFormatPr defaultColWidth="11.1796875" defaultRowHeight="14.5"/>
  <cols>
    <col min="1" max="1" width="0.81640625" style="15" customWidth="1"/>
    <col min="2" max="2" width="22.453125" style="15" customWidth="1"/>
    <col min="3" max="3" width="22.1796875" style="15" bestFit="1" customWidth="1"/>
    <col min="4" max="4" width="24.453125" style="15" customWidth="1"/>
    <col min="5" max="5" width="26.1796875" style="15" customWidth="1"/>
    <col min="6" max="6" width="25.1796875" style="15" customWidth="1"/>
    <col min="7" max="7" width="36.1796875" style="15" customWidth="1"/>
    <col min="8" max="8" width="18.26953125" style="15" bestFit="1" customWidth="1"/>
    <col min="9" max="9" width="24.453125" style="15" customWidth="1"/>
    <col min="10" max="11" width="27.7265625" style="15" customWidth="1"/>
    <col min="12" max="13" width="20.453125" style="15" customWidth="1"/>
    <col min="14" max="14" width="21.81640625" style="15" customWidth="1"/>
    <col min="15" max="15" width="18.54296875" style="15" customWidth="1"/>
    <col min="16" max="16" width="20.1796875" style="15" customWidth="1"/>
    <col min="17" max="17" width="27.7265625" style="15" customWidth="1"/>
    <col min="18" max="18" width="43.7265625" style="15" bestFit="1" customWidth="1"/>
    <col min="19" max="19" width="12.54296875" style="15" customWidth="1"/>
    <col min="20" max="20" width="17.81640625" style="15" bestFit="1" customWidth="1"/>
    <col min="21" max="21" width="20.1796875" style="15" bestFit="1" customWidth="1"/>
    <col min="22" max="22" width="5" style="15" bestFit="1" customWidth="1"/>
    <col min="23" max="23" width="17.453125" style="15" bestFit="1" customWidth="1"/>
    <col min="24" max="24" width="4.54296875" style="15" bestFit="1" customWidth="1"/>
    <col min="25" max="25" width="22.81640625" style="15" bestFit="1" customWidth="1"/>
    <col min="26" max="26" width="5" style="15" bestFit="1" customWidth="1"/>
    <col min="27" max="16384" width="11.1796875" style="15"/>
  </cols>
  <sheetData>
    <row r="1" spans="2:10" ht="5.15" customHeight="1"/>
    <row r="2" spans="2:10" ht="18.5">
      <c r="B2" s="433" t="s">
        <v>633</v>
      </c>
      <c r="C2" s="434"/>
      <c r="D2" s="435"/>
      <c r="E2" s="435"/>
      <c r="F2" s="435"/>
      <c r="G2" s="435"/>
      <c r="H2" s="435"/>
      <c r="I2" s="435"/>
    </row>
    <row r="4" spans="2:10">
      <c r="B4" s="15" t="s">
        <v>863</v>
      </c>
    </row>
    <row r="6" spans="2:10" ht="15" thickBot="1">
      <c r="B6" s="404" t="s">
        <v>862</v>
      </c>
      <c r="C6" s="407" t="s">
        <v>828</v>
      </c>
      <c r="D6" s="404" t="s">
        <v>827</v>
      </c>
      <c r="E6" s="404" t="s">
        <v>825</v>
      </c>
      <c r="F6" s="404" t="s">
        <v>824</v>
      </c>
      <c r="G6" s="404" t="s">
        <v>869</v>
      </c>
      <c r="H6" s="404" t="s">
        <v>144</v>
      </c>
      <c r="I6" s="407" t="s">
        <v>860</v>
      </c>
    </row>
    <row r="7" spans="2:10">
      <c r="B7" s="15" t="s">
        <v>676</v>
      </c>
      <c r="C7" s="408">
        <f>'5.1-Financial Analysis'!D30</f>
        <v>0</v>
      </c>
      <c r="D7" s="299">
        <f>'5.1-Financial Analysis'!D38</f>
        <v>0</v>
      </c>
      <c r="E7" s="299">
        <f>'5.1-Financial Analysis'!D49</f>
        <v>0</v>
      </c>
      <c r="F7" s="299">
        <f>'5.1-Financial Analysis'!D57</f>
        <v>0</v>
      </c>
      <c r="G7" s="299">
        <f>'5.1-Financial Analysis'!D65</f>
        <v>0</v>
      </c>
      <c r="H7" s="114">
        <f>'5.3-Unit W'!$G$35</f>
        <v>0</v>
      </c>
      <c r="I7" s="408">
        <f t="shared" ref="I7:I12" si="0">SUM(C7:H7)</f>
        <v>0</v>
      </c>
    </row>
    <row r="8" spans="2:10">
      <c r="B8" s="15" t="s">
        <v>677</v>
      </c>
      <c r="C8" s="408">
        <f>'5.1-Financial Analysis'!D31</f>
        <v>0</v>
      </c>
      <c r="D8" s="299">
        <f>'5.1-Financial Analysis'!D39</f>
        <v>223.92006629158269</v>
      </c>
      <c r="E8" s="299">
        <f>'5.1-Financial Analysis'!D50</f>
        <v>0</v>
      </c>
      <c r="F8" s="299">
        <f>'5.1-Financial Analysis'!D58</f>
        <v>130.94258551417553</v>
      </c>
      <c r="G8" s="299">
        <f>'5.1-Financial Analysis'!D66</f>
        <v>26.362710678632681</v>
      </c>
      <c r="H8" s="114">
        <f>'5.3-Unit T'!$G$35</f>
        <v>1.6023715209884439</v>
      </c>
      <c r="I8" s="408">
        <f t="shared" si="0"/>
        <v>382.82773400537934</v>
      </c>
    </row>
    <row r="9" spans="2:10">
      <c r="B9" s="15" t="s">
        <v>678</v>
      </c>
      <c r="C9" s="408">
        <f>'5.1-Financial Analysis'!D32</f>
        <v>0</v>
      </c>
      <c r="D9" s="299">
        <f>'5.1-Financial Analysis'!D40</f>
        <v>1475.5294536847382</v>
      </c>
      <c r="E9" s="299">
        <f>'5.1-Financial Analysis'!D51</f>
        <v>0</v>
      </c>
      <c r="F9" s="299">
        <f>'5.1-Financial Analysis'!D59</f>
        <v>772.86479510067591</v>
      </c>
      <c r="G9" s="299">
        <f>'5.1-Financial Analysis'!D67</f>
        <v>186.79605614414731</v>
      </c>
      <c r="H9" s="114">
        <f>'5.3-Unit H'!$G$35</f>
        <v>1.8253504700345988</v>
      </c>
      <c r="I9" s="408">
        <f t="shared" si="0"/>
        <v>2437.0156553995962</v>
      </c>
      <c r="J9" s="410"/>
    </row>
    <row r="10" spans="2:10">
      <c r="B10" s="15" t="s">
        <v>679</v>
      </c>
      <c r="C10" s="408">
        <f>'5.1-Financial Analysis'!D33</f>
        <v>1779.0968346336483</v>
      </c>
      <c r="D10" s="299">
        <f>'5.1-Financial Analysis'!D41</f>
        <v>2124.3118999704016</v>
      </c>
      <c r="E10" s="299">
        <f>'5.1-Financial Analysis'!D52</f>
        <v>0</v>
      </c>
      <c r="F10" s="299">
        <f>'5.1-Financial Analysis'!D60</f>
        <v>702.91120423465054</v>
      </c>
      <c r="G10" s="299">
        <f>'5.1-Financial Analysis'!D68</f>
        <v>121.31945260730964</v>
      </c>
      <c r="H10" s="114">
        <f>'5.3-Unit N (17DOL-Egg)'!$G$35+'5.3-Unit N (Egg-5DOL)'!$G$35+'5.3-Unit N (5DOL-17DOL)'!$G$35</f>
        <v>287.05006212814766</v>
      </c>
      <c r="I10" s="408">
        <f t="shared" si="0"/>
        <v>5014.6894535741576</v>
      </c>
      <c r="J10" s="410"/>
    </row>
    <row r="11" spans="2:10">
      <c r="B11" s="15" t="s">
        <v>680</v>
      </c>
      <c r="C11" s="408">
        <f>'5.1-Financial Analysis'!D34</f>
        <v>0</v>
      </c>
      <c r="D11" s="299">
        <f>'5.1-Financial Analysis'!D42</f>
        <v>0</v>
      </c>
      <c r="E11" s="299">
        <f>'5.1-Financial Analysis'!D53</f>
        <v>0</v>
      </c>
      <c r="F11" s="299">
        <f>'5.1-Financial Analysis'!D61</f>
        <v>70.944936419344842</v>
      </c>
      <c r="G11" s="299">
        <f>'5.1-Financial Analysis'!D69</f>
        <v>14.124903874886527</v>
      </c>
      <c r="H11" s="114">
        <f>'5.3-Unit P'!$G$35</f>
        <v>0.90801052856011832</v>
      </c>
      <c r="I11" s="408">
        <f t="shared" si="0"/>
        <v>85.977850822791481</v>
      </c>
    </row>
    <row r="12" spans="2:10" ht="15" thickBot="1">
      <c r="B12" s="54" t="s">
        <v>681</v>
      </c>
      <c r="C12" s="409">
        <f>'5.1-Financial Analysis'!D35</f>
        <v>0</v>
      </c>
      <c r="D12" s="405">
        <f>'5.1-Financial Analysis'!D43</f>
        <v>0</v>
      </c>
      <c r="E12" s="405">
        <f>'5.1-Financial Analysis'!D54</f>
        <v>0</v>
      </c>
      <c r="F12" s="405">
        <f>'5.1-Financial Analysis'!D62</f>
        <v>0</v>
      </c>
      <c r="G12" s="405">
        <f>'5.1-Financial Analysis'!D70</f>
        <v>0</v>
      </c>
      <c r="H12" s="406">
        <f>'5.3-Unit R'!$G$35</f>
        <v>0</v>
      </c>
      <c r="I12" s="409">
        <f t="shared" si="0"/>
        <v>0</v>
      </c>
    </row>
    <row r="13" spans="2:10">
      <c r="B13" s="15" t="s">
        <v>860</v>
      </c>
      <c r="C13" s="410">
        <f>SUM(C7:C12)</f>
        <v>1779.0968346336483</v>
      </c>
      <c r="D13" s="82">
        <f t="shared" ref="D13:G13" si="1">SUM(D7:D12)</f>
        <v>3823.7614199467225</v>
      </c>
      <c r="E13" s="82">
        <f t="shared" si="1"/>
        <v>0</v>
      </c>
      <c r="F13" s="82">
        <f t="shared" si="1"/>
        <v>1677.6635212688468</v>
      </c>
      <c r="G13" s="82">
        <f t="shared" si="1"/>
        <v>348.60312330497618</v>
      </c>
      <c r="H13" s="82">
        <f t="shared" ref="H13" si="2">SUM(H7:H12)</f>
        <v>291.38579464773079</v>
      </c>
      <c r="I13" s="410">
        <f t="shared" ref="I13" si="3">SUM(I7:I12)</f>
        <v>7920.5106938019253</v>
      </c>
      <c r="J13" s="22"/>
    </row>
    <row r="14" spans="2:10">
      <c r="H14" s="82"/>
      <c r="I14" s="82"/>
      <c r="J14" s="22"/>
    </row>
    <row r="15" spans="2:10">
      <c r="B15" s="15" t="s">
        <v>861</v>
      </c>
      <c r="H15" s="82"/>
      <c r="I15" s="82"/>
      <c r="J15" s="22"/>
    </row>
    <row r="16" spans="2:10">
      <c r="J16" s="22"/>
    </row>
    <row r="17" spans="2:12" ht="15" thickBot="1">
      <c r="B17" s="404" t="s">
        <v>862</v>
      </c>
      <c r="C17" s="407" t="s">
        <v>828</v>
      </c>
      <c r="D17" s="404" t="s">
        <v>827</v>
      </c>
      <c r="E17" s="404" t="s">
        <v>825</v>
      </c>
      <c r="F17" s="404" t="s">
        <v>824</v>
      </c>
      <c r="G17" s="404" t="s">
        <v>823</v>
      </c>
      <c r="H17" s="404" t="s">
        <v>144</v>
      </c>
      <c r="J17" s="22"/>
    </row>
    <row r="18" spans="2:12">
      <c r="B18" s="15" t="s">
        <v>136</v>
      </c>
      <c r="C18" s="155">
        <f t="shared" ref="C18:H23" si="4">C7/C$13</f>
        <v>0</v>
      </c>
      <c r="D18" s="155">
        <f t="shared" si="4"/>
        <v>0</v>
      </c>
      <c r="E18" s="155" t="e">
        <f t="shared" si="4"/>
        <v>#DIV/0!</v>
      </c>
      <c r="F18" s="155">
        <f t="shared" si="4"/>
        <v>0</v>
      </c>
      <c r="G18" s="155">
        <f t="shared" si="4"/>
        <v>0</v>
      </c>
      <c r="H18" s="155">
        <f t="shared" si="4"/>
        <v>0</v>
      </c>
      <c r="I18" s="314"/>
      <c r="J18" s="22"/>
    </row>
    <row r="19" spans="2:12">
      <c r="B19" s="15" t="s">
        <v>137</v>
      </c>
      <c r="C19" s="155">
        <f t="shared" si="4"/>
        <v>0</v>
      </c>
      <c r="D19" s="155">
        <f t="shared" si="4"/>
        <v>5.8560156270079898E-2</v>
      </c>
      <c r="E19" s="155" t="e">
        <f t="shared" si="4"/>
        <v>#DIV/0!</v>
      </c>
      <c r="F19" s="155">
        <f t="shared" si="4"/>
        <v>7.8050564880341039E-2</v>
      </c>
      <c r="G19" s="155">
        <f t="shared" si="4"/>
        <v>7.5623851067935524E-2</v>
      </c>
      <c r="H19" s="155">
        <f t="shared" si="4"/>
        <v>5.499140831232428E-3</v>
      </c>
      <c r="I19" s="314"/>
      <c r="J19" s="22"/>
    </row>
    <row r="20" spans="2:12">
      <c r="B20" s="15" t="s">
        <v>138</v>
      </c>
      <c r="C20" s="155">
        <f t="shared" si="4"/>
        <v>0</v>
      </c>
      <c r="D20" s="155">
        <f t="shared" si="4"/>
        <v>0.38588428817436449</v>
      </c>
      <c r="E20" s="155" t="e">
        <f t="shared" si="4"/>
        <v>#DIV/0!</v>
      </c>
      <c r="F20" s="155">
        <f t="shared" si="4"/>
        <v>0.46067926333413062</v>
      </c>
      <c r="G20" s="155">
        <f t="shared" si="4"/>
        <v>0.53584160225876232</v>
      </c>
      <c r="H20" s="155">
        <f t="shared" si="4"/>
        <v>6.2643769997138875E-3</v>
      </c>
      <c r="I20" s="314"/>
    </row>
    <row r="21" spans="2:12">
      <c r="B21" s="15" t="s">
        <v>539</v>
      </c>
      <c r="C21" s="155">
        <f t="shared" si="4"/>
        <v>1</v>
      </c>
      <c r="D21" s="155">
        <f t="shared" si="4"/>
        <v>0.55555555555555558</v>
      </c>
      <c r="E21" s="155" t="e">
        <f t="shared" si="4"/>
        <v>#DIV/0!</v>
      </c>
      <c r="F21" s="155">
        <f t="shared" si="4"/>
        <v>0.41898223053871153</v>
      </c>
      <c r="G21" s="155">
        <f t="shared" si="4"/>
        <v>0.34801596571231252</v>
      </c>
      <c r="H21" s="155">
        <f t="shared" si="4"/>
        <v>0.98512030236468873</v>
      </c>
      <c r="I21" s="314"/>
    </row>
    <row r="22" spans="2:12">
      <c r="B22" s="15" t="s">
        <v>282</v>
      </c>
      <c r="C22" s="155">
        <f t="shared" si="4"/>
        <v>0</v>
      </c>
      <c r="D22" s="155">
        <f t="shared" si="4"/>
        <v>0</v>
      </c>
      <c r="E22" s="155" t="e">
        <f t="shared" si="4"/>
        <v>#DIV/0!</v>
      </c>
      <c r="F22" s="155">
        <f t="shared" si="4"/>
        <v>4.2287941246816833E-2</v>
      </c>
      <c r="G22" s="155">
        <f t="shared" si="4"/>
        <v>4.0518580960989627E-2</v>
      </c>
      <c r="H22" s="155">
        <f t="shared" si="4"/>
        <v>3.1161798043650431E-3</v>
      </c>
      <c r="I22" s="314"/>
    </row>
    <row r="23" spans="2:12" ht="15" thickBot="1">
      <c r="B23" s="54" t="s">
        <v>192</v>
      </c>
      <c r="C23" s="412">
        <f t="shared" si="4"/>
        <v>0</v>
      </c>
      <c r="D23" s="412">
        <f t="shared" si="4"/>
        <v>0</v>
      </c>
      <c r="E23" s="412" t="e">
        <f t="shared" si="4"/>
        <v>#DIV/0!</v>
      </c>
      <c r="F23" s="412">
        <f t="shared" si="4"/>
        <v>0</v>
      </c>
      <c r="G23" s="412">
        <f t="shared" si="4"/>
        <v>0</v>
      </c>
      <c r="H23" s="412">
        <f t="shared" si="4"/>
        <v>0</v>
      </c>
      <c r="I23" s="314"/>
    </row>
    <row r="24" spans="2:12">
      <c r="B24" s="22" t="s">
        <v>859</v>
      </c>
      <c r="C24" s="25">
        <f>SUM(C18:C23)</f>
        <v>1</v>
      </c>
      <c r="D24" s="25">
        <f t="shared" ref="D24:H24" si="5">SUM(D18:D23)</f>
        <v>1</v>
      </c>
      <c r="E24" s="25" t="e">
        <f t="shared" si="5"/>
        <v>#DIV/0!</v>
      </c>
      <c r="F24" s="25">
        <f t="shared" si="5"/>
        <v>1</v>
      </c>
      <c r="G24" s="25">
        <f t="shared" si="5"/>
        <v>1</v>
      </c>
      <c r="H24" s="25">
        <f t="shared" si="5"/>
        <v>1</v>
      </c>
      <c r="L24" s="114"/>
    </row>
    <row r="27" spans="2:12" ht="15" thickBot="1">
      <c r="B27" s="404" t="s">
        <v>870</v>
      </c>
      <c r="C27" s="404" t="s">
        <v>136</v>
      </c>
      <c r="D27" s="404" t="s">
        <v>137</v>
      </c>
      <c r="E27" s="404" t="s">
        <v>138</v>
      </c>
      <c r="F27" s="404" t="s">
        <v>539</v>
      </c>
      <c r="G27" s="404" t="s">
        <v>282</v>
      </c>
      <c r="H27" s="404" t="s">
        <v>192</v>
      </c>
    </row>
    <row r="28" spans="2:12">
      <c r="B28" s="28" t="s">
        <v>828</v>
      </c>
      <c r="C28" s="155">
        <f>IFERROR(C7/$I$7,)</f>
        <v>0</v>
      </c>
      <c r="D28" s="155">
        <f>C8/$I$8</f>
        <v>0</v>
      </c>
      <c r="E28" s="155">
        <f>C9/$I$9</f>
        <v>0</v>
      </c>
      <c r="F28" s="155">
        <f>C10/$I$10</f>
        <v>0.35477707066498787</v>
      </c>
      <c r="G28" s="155">
        <f>C11/$I$11</f>
        <v>0</v>
      </c>
      <c r="H28" s="155">
        <f>IFERROR(C12/$I$12,)</f>
        <v>0</v>
      </c>
    </row>
    <row r="29" spans="2:12">
      <c r="B29" s="28" t="s">
        <v>827</v>
      </c>
      <c r="C29" s="155">
        <f>IFERROR(D7/$I$7,)</f>
        <v>0</v>
      </c>
      <c r="D29" s="155">
        <f>D8/$I$8</f>
        <v>0.58491077422420046</v>
      </c>
      <c r="E29" s="155">
        <f>D9/$I$9</f>
        <v>0.60546572625229866</v>
      </c>
      <c r="F29" s="155">
        <f>D10/$I$10</f>
        <v>0.42361783708387457</v>
      </c>
      <c r="G29" s="155">
        <f>D11/$I$11</f>
        <v>0</v>
      </c>
      <c r="H29" s="155">
        <f>IFERROR(D12/$I$12,)</f>
        <v>0</v>
      </c>
    </row>
    <row r="30" spans="2:12">
      <c r="B30" s="28" t="s">
        <v>825</v>
      </c>
      <c r="C30" s="155">
        <f>IFERROR(E7/$I$7,)</f>
        <v>0</v>
      </c>
      <c r="D30" s="155">
        <f>E8/$I$8</f>
        <v>0</v>
      </c>
      <c r="E30" s="155">
        <f>E9/$I$9</f>
        <v>0</v>
      </c>
      <c r="F30" s="155">
        <f>E10/$I$10</f>
        <v>0</v>
      </c>
      <c r="G30" s="155">
        <f>E11/$I$11</f>
        <v>0</v>
      </c>
      <c r="H30" s="155">
        <f>IFERROR(E12/$I$12,)</f>
        <v>0</v>
      </c>
    </row>
    <row r="31" spans="2:12">
      <c r="B31" s="28" t="s">
        <v>824</v>
      </c>
      <c r="C31" s="155">
        <f>IFERROR(F7/$I$7,)</f>
        <v>0</v>
      </c>
      <c r="D31" s="155">
        <f>F8/$I$8</f>
        <v>0.34204048944984633</v>
      </c>
      <c r="E31" s="155">
        <f>F9/$I$9</f>
        <v>0.31713575306267355</v>
      </c>
      <c r="F31" s="155">
        <f>F10/$I$10</f>
        <v>0.14017043542619759</v>
      </c>
      <c r="G31" s="155">
        <f>F11/$I$11</f>
        <v>0.82515363829655497</v>
      </c>
      <c r="H31" s="155">
        <f>IFERROR(F12/$I$12,)</f>
        <v>0</v>
      </c>
    </row>
    <row r="32" spans="2:12">
      <c r="B32" s="28" t="s">
        <v>823</v>
      </c>
      <c r="C32" s="155">
        <f>IFERROR(G7/$I$7,)</f>
        <v>0</v>
      </c>
      <c r="D32" s="155">
        <f>G8/$I$8</f>
        <v>6.8863116062177043E-2</v>
      </c>
      <c r="E32" s="155">
        <f>G9/$I$9</f>
        <v>7.6649510121230002E-2</v>
      </c>
      <c r="F32" s="155">
        <f>G10/$I$10</f>
        <v>2.419281467586008E-2</v>
      </c>
      <c r="G32" s="155">
        <f>G11/$I$11</f>
        <v>0.1642853797776278</v>
      </c>
      <c r="H32" s="155">
        <f>IFERROR(G12/$I$12,)</f>
        <v>0</v>
      </c>
    </row>
    <row r="33" spans="2:8" ht="15" thickBot="1">
      <c r="B33" s="241" t="s">
        <v>144</v>
      </c>
      <c r="C33" s="412">
        <f>IFERROR(H7/$I$7,)</f>
        <v>0</v>
      </c>
      <c r="D33" s="412">
        <f>H8/$I$8</f>
        <v>4.1856202637762085E-3</v>
      </c>
      <c r="E33" s="412">
        <f>H9/$I$9</f>
        <v>7.4901056379766962E-4</v>
      </c>
      <c r="F33" s="412">
        <f>H10/$I$10</f>
        <v>5.7241842149079895E-2</v>
      </c>
      <c r="G33" s="412">
        <f>H11/$I$11</f>
        <v>1.0560981925817316E-2</v>
      </c>
      <c r="H33" s="412">
        <f>IFERROR(H12/$I$12,)</f>
        <v>0</v>
      </c>
    </row>
    <row r="34" spans="2:8">
      <c r="B34" s="15" t="s">
        <v>859</v>
      </c>
      <c r="C34" s="155">
        <f>SUM(C28:C33)</f>
        <v>0</v>
      </c>
      <c r="D34" s="155">
        <f t="shared" ref="D34" si="6">SUM(D28:D33)</f>
        <v>1</v>
      </c>
      <c r="E34" s="155">
        <f>SUM(E28:E33)</f>
        <v>0.99999999999999978</v>
      </c>
      <c r="F34" s="155">
        <f>SUM(F28:F33)</f>
        <v>1</v>
      </c>
      <c r="G34" s="155">
        <f>SUM(G28:G33)</f>
        <v>1</v>
      </c>
      <c r="H34" s="155">
        <f>SUM(H28:H33)</f>
        <v>0</v>
      </c>
    </row>
    <row r="39" spans="2:8">
      <c r="B39" s="15" t="s">
        <v>865</v>
      </c>
      <c r="E39" s="15" t="s">
        <v>866</v>
      </c>
    </row>
    <row r="41" spans="2:8" ht="15" thickBot="1">
      <c r="B41" s="404" t="s">
        <v>862</v>
      </c>
      <c r="C41" s="404" t="s">
        <v>864</v>
      </c>
      <c r="E41" s="404" t="s">
        <v>759</v>
      </c>
      <c r="F41" s="404" t="s">
        <v>864</v>
      </c>
    </row>
    <row r="42" spans="2:8">
      <c r="B42" s="15" t="s">
        <v>136</v>
      </c>
      <c r="C42" s="155">
        <f t="shared" ref="C42:C47" si="7">I7/$I$13</f>
        <v>0</v>
      </c>
      <c r="E42" s="28" t="s">
        <v>828</v>
      </c>
      <c r="F42" s="155">
        <f>C13/$I$13</f>
        <v>0.22461895494009665</v>
      </c>
    </row>
    <row r="43" spans="2:8">
      <c r="B43" s="15" t="s">
        <v>137</v>
      </c>
      <c r="C43" s="155">
        <f t="shared" si="7"/>
        <v>4.8333718469057221E-2</v>
      </c>
      <c r="E43" s="28" t="s">
        <v>827</v>
      </c>
      <c r="F43" s="155">
        <f>D13/$I$13</f>
        <v>0.4827670295223449</v>
      </c>
    </row>
    <row r="44" spans="2:8">
      <c r="B44" s="15" t="s">
        <v>138</v>
      </c>
      <c r="C44" s="155">
        <f t="shared" si="7"/>
        <v>0.30768415694541584</v>
      </c>
      <c r="E44" s="28" t="s">
        <v>825</v>
      </c>
      <c r="F44" s="155">
        <f>E13/$I$13</f>
        <v>0</v>
      </c>
    </row>
    <row r="45" spans="2:8">
      <c r="B45" s="15" t="s">
        <v>539</v>
      </c>
      <c r="C45" s="155">
        <f t="shared" si="7"/>
        <v>0.63312703529310632</v>
      </c>
      <c r="E45" s="28" t="s">
        <v>824</v>
      </c>
      <c r="F45" s="155">
        <f>F13/$I$13</f>
        <v>0.21181254418123274</v>
      </c>
    </row>
    <row r="46" spans="2:8">
      <c r="B46" s="15" t="s">
        <v>282</v>
      </c>
      <c r="C46" s="155">
        <f t="shared" si="7"/>
        <v>1.0855089292420517E-2</v>
      </c>
      <c r="E46" s="28" t="s">
        <v>823</v>
      </c>
      <c r="F46" s="155">
        <f>G13/$I$13</f>
        <v>4.4012707864629262E-2</v>
      </c>
    </row>
    <row r="47" spans="2:8" ht="15" thickBot="1">
      <c r="B47" s="54" t="s">
        <v>192</v>
      </c>
      <c r="C47" s="412">
        <f t="shared" si="7"/>
        <v>0</v>
      </c>
      <c r="E47" s="241" t="s">
        <v>144</v>
      </c>
      <c r="F47" s="412">
        <f>H13/$I$13</f>
        <v>3.6788763491696352E-2</v>
      </c>
    </row>
    <row r="48" spans="2:8">
      <c r="B48" s="22" t="s">
        <v>859</v>
      </c>
      <c r="C48" s="155">
        <f>SUM(C42:C47)</f>
        <v>0.99999999999999989</v>
      </c>
      <c r="E48" s="22" t="s">
        <v>859</v>
      </c>
      <c r="F48" s="155">
        <f>SUM(F42:F47)</f>
        <v>0.99999999999999989</v>
      </c>
    </row>
    <row r="51" spans="2:14">
      <c r="B51" s="15" t="s">
        <v>867</v>
      </c>
      <c r="M51" s="114"/>
      <c r="N51" s="114"/>
    </row>
    <row r="52" spans="2:14">
      <c r="M52" s="114"/>
      <c r="N52" s="114"/>
    </row>
    <row r="53" spans="2:14" ht="15" thickBot="1">
      <c r="B53" s="404" t="s">
        <v>145</v>
      </c>
      <c r="C53" s="404" t="s">
        <v>858</v>
      </c>
      <c r="D53" s="404" t="s">
        <v>868</v>
      </c>
    </row>
    <row r="54" spans="2:14">
      <c r="B54" s="15" t="s">
        <v>88</v>
      </c>
      <c r="C54" s="82">
        <f>I13</f>
        <v>7920.5106938019253</v>
      </c>
      <c r="D54" s="155">
        <f>$I$13/($I$13+$C$67)</f>
        <v>0.95576166360057202</v>
      </c>
    </row>
    <row r="55" spans="2:14" ht="15" thickBot="1">
      <c r="B55" s="54" t="s">
        <v>135</v>
      </c>
      <c r="C55" s="406">
        <f>C67</f>
        <v>366.60836050661129</v>
      </c>
      <c r="D55" s="412">
        <f>$C$67/($I$13+$C$67)</f>
        <v>4.4238336399428077E-2</v>
      </c>
    </row>
    <row r="56" spans="2:14">
      <c r="B56" s="15" t="s">
        <v>859</v>
      </c>
      <c r="C56" s="82">
        <f>SUM(C54:C55)</f>
        <v>8287.1190543085359</v>
      </c>
      <c r="D56" s="155">
        <f>SUM(D54:D55)</f>
        <v>1</v>
      </c>
    </row>
    <row r="59" spans="2:14" ht="15" thickBot="1">
      <c r="B59" s="404" t="s">
        <v>142</v>
      </c>
      <c r="C59" s="411"/>
      <c r="D59" s="54"/>
    </row>
    <row r="60" spans="2:14">
      <c r="B60" s="15" t="s">
        <v>139</v>
      </c>
      <c r="C60" s="408">
        <f>'5.1-Financial Analysis'!D81</f>
        <v>0</v>
      </c>
      <c r="D60" s="155">
        <f t="shared" ref="D60:D66" si="8">C60/$C$67</f>
        <v>0</v>
      </c>
    </row>
    <row r="61" spans="2:14">
      <c r="B61" s="15" t="s">
        <v>622</v>
      </c>
      <c r="C61" s="408">
        <f>'5.1-Financial Analysis'!D82</f>
        <v>361.18074360218691</v>
      </c>
      <c r="D61" s="155">
        <f t="shared" si="8"/>
        <v>0.98519505420737263</v>
      </c>
    </row>
    <row r="62" spans="2:14">
      <c r="B62" s="24" t="s">
        <v>623</v>
      </c>
      <c r="C62" s="299">
        <f>'5.1-Financial Analysis'!D83</f>
        <v>0</v>
      </c>
      <c r="D62" s="155">
        <f t="shared" si="8"/>
        <v>0</v>
      </c>
      <c r="F62" s="22"/>
      <c r="G62" s="114"/>
      <c r="H62" s="114"/>
    </row>
    <row r="63" spans="2:14">
      <c r="B63" s="24" t="s">
        <v>140</v>
      </c>
      <c r="C63" s="299">
        <f>'5.1-Financial Analysis'!D84</f>
        <v>5.4276169044243758</v>
      </c>
      <c r="D63" s="155">
        <f t="shared" si="8"/>
        <v>1.4804945792627379E-2</v>
      </c>
    </row>
    <row r="64" spans="2:14">
      <c r="B64" s="15" t="s">
        <v>141</v>
      </c>
      <c r="C64" s="408">
        <f>'5.1-Financial Analysis'!D85</f>
        <v>0</v>
      </c>
      <c r="D64" s="155">
        <f t="shared" si="8"/>
        <v>0</v>
      </c>
    </row>
    <row r="65" spans="2:4">
      <c r="B65" s="15" t="s">
        <v>143</v>
      </c>
      <c r="C65" s="408">
        <f>'5.1-Financial Analysis'!D86</f>
        <v>0</v>
      </c>
      <c r="D65" s="155">
        <f t="shared" si="8"/>
        <v>0</v>
      </c>
    </row>
    <row r="66" spans="2:4" ht="15" thickBot="1">
      <c r="B66" s="54" t="s">
        <v>158</v>
      </c>
      <c r="C66" s="409">
        <f>'5.1-Financial Analysis'!D87</f>
        <v>0</v>
      </c>
      <c r="D66" s="412">
        <f t="shared" si="8"/>
        <v>0</v>
      </c>
    </row>
    <row r="67" spans="2:4">
      <c r="B67" s="15" t="s">
        <v>859</v>
      </c>
      <c r="C67" s="408">
        <f>SUM(C60:C66)</f>
        <v>366.60836050661129</v>
      </c>
      <c r="D67" s="155">
        <f>SUM(D60:D66)</f>
        <v>1</v>
      </c>
    </row>
    <row r="70" spans="2:4" ht="15" thickBot="1">
      <c r="B70" s="404" t="s">
        <v>144</v>
      </c>
      <c r="C70" s="404" t="s">
        <v>858</v>
      </c>
      <c r="D70" s="406"/>
    </row>
    <row r="71" spans="2:4">
      <c r="B71" s="284" t="s">
        <v>100</v>
      </c>
      <c r="C71" s="114">
        <f>'5.1-Financial Analysis'!D73</f>
        <v>1.6034928446560359</v>
      </c>
      <c r="D71" s="25">
        <f>C71/$C$74</f>
        <v>5.5029890753410587E-3</v>
      </c>
    </row>
    <row r="72" spans="2:4">
      <c r="B72" s="284" t="s">
        <v>99</v>
      </c>
      <c r="C72" s="114">
        <f>'5.1-Financial Analysis'!D74</f>
        <v>289.7823018030748</v>
      </c>
      <c r="D72" s="25">
        <f>C72/$C$74</f>
        <v>0.99449701092465892</v>
      </c>
    </row>
    <row r="73" spans="2:4" ht="15" thickBot="1">
      <c r="B73" s="436" t="s">
        <v>101</v>
      </c>
      <c r="C73" s="406">
        <f>'5.1-Financial Analysis'!D75</f>
        <v>0</v>
      </c>
      <c r="D73" s="412">
        <f>C73/$C$74</f>
        <v>0</v>
      </c>
    </row>
    <row r="74" spans="2:4">
      <c r="B74" s="22" t="s">
        <v>859</v>
      </c>
      <c r="C74" s="114">
        <f>SUM(C71:C73)</f>
        <v>291.38579464773085</v>
      </c>
      <c r="D74" s="25">
        <f>SUM(D71:D73)</f>
        <v>1</v>
      </c>
    </row>
  </sheetData>
  <sheetProtection algorithmName="SHA-512" hashValue="emDAzJ+NegOjU297kmlJuL5Hc3CfkhS3mwCWcb2rE/+xqGWKZZspHszrkECOuv8t5zY8RC7uQbC84MSwxRuZlg==" saltValue="sQQtjv6yhtYQkltL4wTDdg==" spinCount="100000" sheet="1" objects="1" scenarios="1" selectLockedCells="1" selectUnlockedCells="1"/>
  <conditionalFormatting sqref="D7:D12">
    <cfRule type="expression" dxfId="786" priority="58">
      <formula>IF(INDIRECT("General_Currency_Selection")="CHF",TRUE)</formula>
    </cfRule>
    <cfRule type="expression" dxfId="785" priority="59">
      <formula>IF(INDIRECT("General_Currency_Selection")="EUR",TRUE)</formula>
    </cfRule>
    <cfRule type="expression" dxfId="784" priority="60">
      <formula>IF(INDIRECT("General_Currency_Selection")="USD",TRUE)</formula>
    </cfRule>
  </conditionalFormatting>
  <conditionalFormatting sqref="C7:C12">
    <cfRule type="expression" dxfId="783" priority="61">
      <formula>IF(INDIRECT("General_Currency_Selection")="CHF",TRUE)</formula>
    </cfRule>
    <cfRule type="expression" dxfId="782" priority="62">
      <formula>IF(INDIRECT("General_Currency_Selection")="EUR",TRUE)</formula>
    </cfRule>
    <cfRule type="expression" dxfId="781" priority="63">
      <formula>IF(INDIRECT("General_Currency_Selection")="USD",TRUE)</formula>
    </cfRule>
  </conditionalFormatting>
  <conditionalFormatting sqref="F7:F12">
    <cfRule type="expression" dxfId="780" priority="52">
      <formula>IF(INDIRECT("General_Currency_Selection")="CHF",TRUE)</formula>
    </cfRule>
    <cfRule type="expression" dxfId="779" priority="53">
      <formula>IF(INDIRECT("General_Currency_Selection")="EUR",TRUE)</formula>
    </cfRule>
    <cfRule type="expression" dxfId="778" priority="54">
      <formula>IF(INDIRECT("General_Currency_Selection")="USD",TRUE)</formula>
    </cfRule>
  </conditionalFormatting>
  <conditionalFormatting sqref="E7:E12">
    <cfRule type="expression" dxfId="777" priority="55">
      <formula>IF(INDIRECT("General_Currency_Selection")="CHF",TRUE)</formula>
    </cfRule>
    <cfRule type="expression" dxfId="776" priority="56">
      <formula>IF(INDIRECT("General_Currency_Selection")="EUR",TRUE)</formula>
    </cfRule>
    <cfRule type="expression" dxfId="775" priority="57">
      <formula>IF(INDIRECT("General_Currency_Selection")="USD",TRUE)</formula>
    </cfRule>
  </conditionalFormatting>
  <conditionalFormatting sqref="G7:G12">
    <cfRule type="expression" dxfId="774" priority="49">
      <formula>IF(INDIRECT("General_Currency_Selection")="CHF",TRUE)</formula>
    </cfRule>
    <cfRule type="expression" dxfId="773" priority="50">
      <formula>IF(INDIRECT("General_Currency_Selection")="EUR",TRUE)</formula>
    </cfRule>
    <cfRule type="expression" dxfId="772" priority="51">
      <formula>IF(INDIRECT("General_Currency_Selection")="USD",TRUE)</formula>
    </cfRule>
  </conditionalFormatting>
  <conditionalFormatting sqref="C71:C73">
    <cfRule type="expression" dxfId="771" priority="46">
      <formula>IF(INDIRECT("General_Currency_Selection")="CHF",TRUE)</formula>
    </cfRule>
    <cfRule type="expression" dxfId="770" priority="47">
      <formula>IF(INDIRECT("General_Currency_Selection")="EUR",TRUE)</formula>
    </cfRule>
    <cfRule type="expression" dxfId="769" priority="48">
      <formula>IF(INDIRECT("General_Currency_Selection")="USD",TRUE)</formula>
    </cfRule>
  </conditionalFormatting>
  <conditionalFormatting sqref="C60:C66">
    <cfRule type="expression" dxfId="768" priority="43">
      <formula>IF(INDIRECT("General_Currency_Selection")="CHF",TRUE)</formula>
    </cfRule>
    <cfRule type="expression" dxfId="767" priority="44">
      <formula>IF(INDIRECT("General_Currency_Selection")="EUR",TRUE)</formula>
    </cfRule>
    <cfRule type="expression" dxfId="766" priority="45">
      <formula>IF(INDIRECT("General_Currency_Selection")="USD",TRUE)</formula>
    </cfRule>
  </conditionalFormatting>
  <conditionalFormatting sqref="G62:H62 C67">
    <cfRule type="expression" dxfId="765" priority="37">
      <formula>IF(INDIRECT("General_Currency_Selection")="CHF",TRUE)</formula>
    </cfRule>
    <cfRule type="expression" dxfId="764" priority="38">
      <formula>IF(INDIRECT("General_Currency_Selection")="EUR",TRUE)</formula>
    </cfRule>
    <cfRule type="expression" dxfId="763" priority="39">
      <formula>IF(INDIRECT("General_Currency_Selection")="USD",TRUE)</formula>
    </cfRule>
  </conditionalFormatting>
  <conditionalFormatting sqref="H7:H12">
    <cfRule type="expression" dxfId="762" priority="31">
      <formula>IF(INDIRECT("General_Currency_Selection")="CHF",TRUE)</formula>
    </cfRule>
    <cfRule type="expression" dxfId="761" priority="32">
      <formula>IF(INDIRECT("General_Currency_Selection")="EUR",TRUE)</formula>
    </cfRule>
    <cfRule type="expression" dxfId="760" priority="33">
      <formula>IF(INDIRECT("General_Currency_Selection")="USD",TRUE)</formula>
    </cfRule>
  </conditionalFormatting>
  <conditionalFormatting sqref="I7:I12">
    <cfRule type="expression" dxfId="759" priority="22">
      <formula>IF(INDIRECT("General_Currency_Selection")="CHF",TRUE)</formula>
    </cfRule>
    <cfRule type="expression" dxfId="758" priority="23">
      <formula>IF(INDIRECT("General_Currency_Selection")="EUR",TRUE)</formula>
    </cfRule>
    <cfRule type="expression" dxfId="757" priority="24">
      <formula>IF(INDIRECT("General_Currency_Selection")="USD",TRUE)</formula>
    </cfRule>
  </conditionalFormatting>
  <conditionalFormatting sqref="J10">
    <cfRule type="expression" dxfId="756" priority="19">
      <formula>IF(INDIRECT("General_Currency_Selection")="CHF",TRUE)</formula>
    </cfRule>
    <cfRule type="expression" dxfId="755" priority="20">
      <formula>IF(INDIRECT("General_Currency_Selection")="EUR",TRUE)</formula>
    </cfRule>
    <cfRule type="expression" dxfId="754" priority="21">
      <formula>IF(INDIRECT("General_Currency_Selection")="USD",TRUE)</formula>
    </cfRule>
  </conditionalFormatting>
  <conditionalFormatting sqref="J9">
    <cfRule type="expression" dxfId="753" priority="16">
      <formula>IF(INDIRECT("General_Currency_Selection")="CHF",TRUE)</formula>
    </cfRule>
    <cfRule type="expression" dxfId="752" priority="17">
      <formula>IF(INDIRECT("General_Currency_Selection")="EUR",TRUE)</formula>
    </cfRule>
    <cfRule type="expression" dxfId="751" priority="18">
      <formula>IF(INDIRECT("General_Currency_Selection")="USD",TRUE)</formula>
    </cfRule>
  </conditionalFormatting>
  <conditionalFormatting sqref="M51:N52 D70">
    <cfRule type="expression" dxfId="750" priority="13">
      <formula>IF(INDIRECT("General_Currency_Selection")="CHF",TRUE)</formula>
    </cfRule>
    <cfRule type="expression" dxfId="749" priority="14">
      <formula>IF(INDIRECT("General_Currency_Selection")="EUR",TRUE)</formula>
    </cfRule>
    <cfRule type="expression" dxfId="748" priority="15">
      <formula>IF(INDIRECT("General_Currency_Selection")="USD",TRUE)</formula>
    </cfRule>
  </conditionalFormatting>
  <conditionalFormatting sqref="C74">
    <cfRule type="expression" dxfId="747" priority="1">
      <formula>IF(INDIRECT("General_Currency_Selection")="CHF",TRUE)</formula>
    </cfRule>
    <cfRule type="expression" dxfId="746" priority="2">
      <formula>IF(INDIRECT("General_Currency_Selection")="EUR",TRUE)</formula>
    </cfRule>
    <cfRule type="expression" dxfId="745" priority="3">
      <formula>IF(INDIRECT("General_Currency_Selection")="USD",TRUE)</formula>
    </cfRule>
  </conditionalFormatting>
  <conditionalFormatting sqref="L24">
    <cfRule type="expression" dxfId="744" priority="4">
      <formula>IF(INDIRECT("General_Currency_Selection")="CHF",TRUE)</formula>
    </cfRule>
    <cfRule type="expression" dxfId="743" priority="5">
      <formula>IF(INDIRECT("General_Currency_Selection")="EUR",TRUE)</formula>
    </cfRule>
    <cfRule type="expression" dxfId="742" priority="6">
      <formula>IF(INDIRECT("General_Currency_Selection")="USD",TRUE)</formula>
    </cfRule>
  </conditionalFormatting>
  <pageMargins left="0.7" right="0.7" top="0.75" bottom="0.75" header="0.3" footer="0.3"/>
  <pageSetup paperSize="9" orientation="portrait" horizontalDpi="4294967293"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79998168889431442"/>
  </sheetPr>
  <dimension ref="B1:W189"/>
  <sheetViews>
    <sheetView showGridLines="0" showRowColHeaders="0" zoomScale="70" zoomScaleNormal="70" workbookViewId="0">
      <selection activeCell="G208" sqref="G208"/>
    </sheetView>
  </sheetViews>
  <sheetFormatPr defaultColWidth="11.1796875" defaultRowHeight="14.5"/>
  <cols>
    <col min="1" max="1" width="0.81640625" style="15" customWidth="1"/>
    <col min="2" max="2" width="17.81640625" style="15" customWidth="1"/>
    <col min="3" max="3" width="18.453125" style="15" customWidth="1"/>
    <col min="4" max="4" width="20.453125" style="15" bestFit="1" customWidth="1"/>
    <col min="5" max="5" width="17.81640625" style="15" customWidth="1"/>
    <col min="6" max="6" width="23.81640625" style="15" customWidth="1"/>
    <col min="7" max="7" width="19.7265625" style="15" bestFit="1" customWidth="1"/>
    <col min="8" max="23" width="19.54296875" style="15" customWidth="1"/>
    <col min="24" max="16384" width="11.1796875" style="15"/>
  </cols>
  <sheetData>
    <row r="1" spans="2:16" ht="21">
      <c r="B1" s="1" t="s">
        <v>95</v>
      </c>
      <c r="C1" s="6"/>
    </row>
    <row r="2" spans="2:16" ht="15" thickBot="1"/>
    <row r="3" spans="2:16" ht="18.5">
      <c r="B3" s="2" t="s">
        <v>0</v>
      </c>
      <c r="C3" s="103"/>
      <c r="D3" s="51"/>
      <c r="E3" s="51"/>
      <c r="F3" s="51"/>
      <c r="G3" s="51"/>
      <c r="H3" s="51"/>
      <c r="I3" s="51"/>
      <c r="J3" s="51"/>
      <c r="K3" s="51"/>
      <c r="L3" s="51"/>
      <c r="M3" s="51"/>
      <c r="N3" s="51"/>
      <c r="O3" s="51"/>
      <c r="P3" s="51"/>
    </row>
    <row r="4" spans="2:16" ht="15.5">
      <c r="B4" s="61"/>
    </row>
    <row r="12" spans="2:16" ht="15.5">
      <c r="B12" s="98" t="s">
        <v>68</v>
      </c>
      <c r="C12" s="98" t="s">
        <v>69</v>
      </c>
      <c r="E12" s="61" t="s">
        <v>72</v>
      </c>
    </row>
    <row r="13" spans="2:16">
      <c r="B13" s="117" t="s">
        <v>267</v>
      </c>
      <c r="C13" s="118">
        <f>General_Waste_toTreatment</f>
        <v>5.5424528337275705</v>
      </c>
    </row>
    <row r="14" spans="2:16" ht="15" thickBot="1">
      <c r="G14" s="54"/>
    </row>
    <row r="15" spans="2:16" ht="30">
      <c r="B15" s="2" t="s">
        <v>71</v>
      </c>
      <c r="C15" s="103"/>
      <c r="D15" s="51"/>
      <c r="E15" s="51"/>
      <c r="F15" s="101" t="s">
        <v>128</v>
      </c>
      <c r="G15" s="505">
        <f>E33*C13*1000</f>
        <v>0</v>
      </c>
      <c r="H15" s="51"/>
      <c r="I15" s="51"/>
      <c r="J15" s="51"/>
      <c r="K15" s="51"/>
      <c r="L15" s="51"/>
      <c r="M15" s="51"/>
      <c r="N15" s="51"/>
      <c r="O15" s="51"/>
      <c r="P15" s="51"/>
    </row>
    <row r="16" spans="2:16" ht="15.5">
      <c r="B16" s="61" t="s">
        <v>429</v>
      </c>
      <c r="I16" s="22"/>
      <c r="J16" s="22"/>
      <c r="K16" s="22"/>
      <c r="L16" s="22"/>
      <c r="M16" s="22"/>
    </row>
    <row r="17" spans="2:13">
      <c r="B17" s="98" t="s">
        <v>76</v>
      </c>
      <c r="C17" s="80" t="s">
        <v>62</v>
      </c>
      <c r="I17" s="22"/>
      <c r="J17" s="22"/>
      <c r="K17" s="22"/>
      <c r="L17" s="22"/>
      <c r="M17" s="22"/>
    </row>
    <row r="18" spans="2:13">
      <c r="I18" s="22"/>
      <c r="J18" s="131"/>
      <c r="K18" s="90"/>
      <c r="L18" s="114"/>
      <c r="M18" s="22"/>
    </row>
    <row r="19" spans="2:13">
      <c r="B19" s="108" t="s">
        <v>404</v>
      </c>
      <c r="C19" s="108" t="s">
        <v>405</v>
      </c>
      <c r="D19" s="98" t="s">
        <v>848</v>
      </c>
      <c r="E19" s="98" t="s">
        <v>107</v>
      </c>
      <c r="F19" s="98" t="s">
        <v>621</v>
      </c>
      <c r="I19" s="22"/>
      <c r="J19" s="115"/>
      <c r="K19" s="114"/>
      <c r="L19" s="114"/>
      <c r="M19" s="22"/>
    </row>
    <row r="20" spans="2:13">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87" t="str">
        <f t="shared" ref="E20:E31" si="2">IF($B20="N/A","N/A",INDEX(Material_Unit_Price,MATCH($B20,Material_Code,0)))</f>
        <v>N/A</v>
      </c>
      <c r="F20" s="288" t="str">
        <f>IFERROR(E20*D20,"")</f>
        <v/>
      </c>
      <c r="I20" s="22"/>
      <c r="J20" s="115"/>
      <c r="K20" s="114"/>
      <c r="L20" s="114"/>
      <c r="M20" s="22"/>
    </row>
    <row r="21" spans="2:13">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87" t="str">
        <f t="shared" si="2"/>
        <v>N/A</v>
      </c>
      <c r="F21" s="288" t="str">
        <f t="shared" ref="F21:F31" si="3">IFERROR(E21*D21,"")</f>
        <v/>
      </c>
      <c r="I21" s="22"/>
      <c r="J21" s="115"/>
      <c r="K21" s="114"/>
      <c r="L21" s="114"/>
      <c r="M21" s="22"/>
    </row>
    <row r="22" spans="2:13">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87" t="str">
        <f t="shared" si="2"/>
        <v>N/A</v>
      </c>
      <c r="F22" s="288" t="str">
        <f t="shared" si="3"/>
        <v/>
      </c>
      <c r="I22" s="22"/>
      <c r="J22" s="22"/>
      <c r="K22" s="22"/>
      <c r="L22" s="22"/>
      <c r="M22" s="22"/>
    </row>
    <row r="23" spans="2:13">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row>
    <row r="24" spans="2:13">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row>
    <row r="25" spans="2:13">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row>
    <row r="26" spans="2:13">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row>
    <row r="27" spans="2:13">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row>
    <row r="28" spans="2:13">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row>
    <row r="29" spans="2:13">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row>
    <row r="30" spans="2:13">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row>
    <row r="31" spans="2:13">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row>
    <row r="32" spans="2:13">
      <c r="B32" s="22"/>
      <c r="C32" s="115"/>
      <c r="D32" s="114"/>
      <c r="E32" s="114"/>
    </row>
    <row r="33" spans="2:16">
      <c r="B33" s="902" t="s">
        <v>268</v>
      </c>
      <c r="C33" s="902"/>
      <c r="D33" s="902"/>
      <c r="E33" s="225">
        <f>SUM(F20:F31)</f>
        <v>0</v>
      </c>
    </row>
    <row r="34" spans="2:16" ht="15" thickBot="1">
      <c r="G34" s="54"/>
    </row>
    <row r="35" spans="2:16" ht="18.5">
      <c r="B35" s="2" t="s">
        <v>144</v>
      </c>
      <c r="C35" s="103"/>
      <c r="D35" s="51"/>
      <c r="E35" s="51"/>
      <c r="F35" s="101" t="s">
        <v>195</v>
      </c>
      <c r="G35" s="505">
        <f>F43</f>
        <v>0</v>
      </c>
      <c r="H35" s="51"/>
      <c r="I35" s="51"/>
      <c r="J35" s="51"/>
      <c r="K35" s="51"/>
      <c r="L35" s="51"/>
      <c r="M35" s="51"/>
      <c r="N35" s="51"/>
      <c r="O35" s="51"/>
      <c r="P35" s="51"/>
    </row>
    <row r="36" spans="2:16" ht="15.5">
      <c r="B36" s="61" t="s">
        <v>529</v>
      </c>
      <c r="C36" s="22"/>
      <c r="D36" s="22"/>
      <c r="E36" s="22"/>
    </row>
    <row r="37" spans="2:16">
      <c r="B37" s="29"/>
      <c r="C37" s="131"/>
      <c r="D37" s="22"/>
      <c r="E37" s="22"/>
      <c r="H37" s="22"/>
      <c r="I37" s="22"/>
      <c r="J37" s="22"/>
      <c r="K37" s="22"/>
      <c r="L37" s="22"/>
    </row>
    <row r="38" spans="2:16" ht="15.5">
      <c r="C38" s="91" t="s">
        <v>515</v>
      </c>
      <c r="D38" s="91" t="s">
        <v>76</v>
      </c>
      <c r="E38" s="91" t="s">
        <v>620</v>
      </c>
      <c r="F38" s="91" t="s">
        <v>619</v>
      </c>
      <c r="H38" s="22"/>
      <c r="I38" s="73"/>
      <c r="J38" s="90"/>
      <c r="K38" s="114"/>
      <c r="L38" s="22"/>
    </row>
    <row r="39" spans="2:16">
      <c r="B39" s="98" t="str">
        <f>INDEX(Equipment_Utility_Spec_List,2)</f>
        <v>Water</v>
      </c>
      <c r="C39" s="134">
        <f>SUMPRODUCT($F$110:$F$147,$G$110:$G$147,$M$110:$M$147)</f>
        <v>0</v>
      </c>
      <c r="D39" s="133" t="s">
        <v>516</v>
      </c>
      <c r="E39" s="288">
        <f>SUMIF($B$110:$B$147,("&lt;&gt;N/A"),$H$110:$H$147)</f>
        <v>0</v>
      </c>
      <c r="F39" s="288">
        <f>E39*Staff_Days_Operation</f>
        <v>0</v>
      </c>
      <c r="H39" s="22"/>
      <c r="I39" s="73"/>
      <c r="J39" s="90"/>
      <c r="K39" s="114"/>
      <c r="L39" s="22"/>
    </row>
    <row r="40" spans="2:16">
      <c r="B40" s="98" t="str">
        <f>INDEX(Equipment_Utility_Spec_List,3)</f>
        <v>Electricity</v>
      </c>
      <c r="C40" s="134">
        <f>SUMPRODUCT($F$110:$F$147,$I$110:$I$147,$M$110:$M$147)</f>
        <v>0</v>
      </c>
      <c r="D40" s="133" t="s">
        <v>518</v>
      </c>
      <c r="E40" s="288">
        <f>SUMIF($B$110:$B$147,("&lt;&gt;N/A"),$J$110:$J$147)</f>
        <v>0</v>
      </c>
      <c r="F40" s="288">
        <f>E40*Staff_Days_Operation</f>
        <v>0</v>
      </c>
      <c r="H40" s="22"/>
      <c r="I40" s="115"/>
      <c r="J40" s="114"/>
      <c r="K40" s="114"/>
      <c r="L40" s="22"/>
    </row>
    <row r="41" spans="2:16">
      <c r="B41" s="98" t="str">
        <f>INDEX(Equipment_Utility_Spec_List,4)</f>
        <v>Fuel</v>
      </c>
      <c r="C41" s="134">
        <f>SUMPRODUCT($F$110:$F$147,$K$110:$K$147,$M$110:$M$147)</f>
        <v>0</v>
      </c>
      <c r="D41" s="133" t="s">
        <v>517</v>
      </c>
      <c r="E41" s="288">
        <f>SUMIF($B$110:$B$147,("&lt;&gt;N/A"),$L$110:$L$147)</f>
        <v>0</v>
      </c>
      <c r="F41" s="288">
        <f>E41*Staff_Days_Operation</f>
        <v>0</v>
      </c>
      <c r="H41" s="22"/>
      <c r="I41" s="115"/>
      <c r="J41" s="114"/>
      <c r="K41" s="114"/>
      <c r="L41" s="22"/>
    </row>
    <row r="42" spans="2:16">
      <c r="B42" s="8"/>
      <c r="C42" s="115"/>
      <c r="D42" s="22"/>
      <c r="E42" s="132"/>
      <c r="H42" s="22"/>
      <c r="I42" s="115"/>
      <c r="J42" s="114"/>
      <c r="K42" s="114"/>
      <c r="L42" s="22"/>
    </row>
    <row r="43" spans="2:16">
      <c r="B43" s="901" t="s">
        <v>440</v>
      </c>
      <c r="C43" s="901"/>
      <c r="D43" s="901"/>
      <c r="E43" s="288">
        <f>SUM(E39:E41)</f>
        <v>0</v>
      </c>
      <c r="F43" s="288">
        <f>SUM(F39:F41)</f>
        <v>0</v>
      </c>
      <c r="G43" s="22"/>
      <c r="H43" s="22"/>
      <c r="I43" s="22"/>
      <c r="J43" s="22"/>
      <c r="K43" s="114"/>
      <c r="L43" s="22"/>
    </row>
    <row r="44" spans="2:16" ht="15" thickBot="1">
      <c r="F44" s="54"/>
      <c r="G44" s="54"/>
    </row>
    <row r="45" spans="2:16" ht="18.5">
      <c r="B45" s="104" t="s">
        <v>2</v>
      </c>
      <c r="C45" s="105"/>
      <c r="D45" s="79"/>
      <c r="E45" s="79"/>
      <c r="F45" s="141" t="s">
        <v>129</v>
      </c>
      <c r="G45" s="290">
        <f>SUM(G52:G74)</f>
        <v>0</v>
      </c>
      <c r="H45" s="79"/>
      <c r="I45" s="79"/>
      <c r="J45" s="79"/>
      <c r="K45" s="79"/>
      <c r="L45" s="79"/>
      <c r="M45" s="79"/>
      <c r="N45" s="79"/>
      <c r="O45" s="79"/>
      <c r="P45" s="79"/>
    </row>
    <row r="46" spans="2:16" ht="15.5">
      <c r="B46" s="61" t="s">
        <v>78</v>
      </c>
    </row>
    <row r="47" spans="2:16" ht="15.5">
      <c r="B47" s="61" t="s">
        <v>79</v>
      </c>
    </row>
    <row r="48" spans="2:16">
      <c r="B48" s="98" t="s">
        <v>75</v>
      </c>
      <c r="C48" s="900" t="s">
        <v>66</v>
      </c>
      <c r="D48" s="900"/>
    </row>
    <row r="49" spans="2:9">
      <c r="B49" s="98" t="s">
        <v>76</v>
      </c>
      <c r="C49" s="900" t="s">
        <v>62</v>
      </c>
      <c r="D49" s="900"/>
      <c r="I49" s="83"/>
    </row>
    <row r="51" spans="2:9" ht="15.5">
      <c r="B51" s="91" t="s">
        <v>220</v>
      </c>
      <c r="C51" s="91" t="s">
        <v>4</v>
      </c>
      <c r="D51" s="91" t="s">
        <v>77</v>
      </c>
      <c r="E51" s="92" t="s">
        <v>242</v>
      </c>
      <c r="F51" s="91" t="s">
        <v>119</v>
      </c>
      <c r="G51" s="91" t="s">
        <v>120</v>
      </c>
    </row>
    <row r="52" spans="2:9">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N/A</v>
      </c>
      <c r="C52" s="71" t="str">
        <f>IF($B52="N/A","N/A",INDEX(Staff_position[],MATCH(B52,Staff_Position_ID,0)))</f>
        <v>N/A</v>
      </c>
      <c r="D52" s="288" t="str">
        <f>IF($B52="N/A","N/A",INDEX(Staff_net_salary[],MATCH(B52,Staff_Position_ID,0)))</f>
        <v>N/A</v>
      </c>
      <c r="E52" s="85" t="str">
        <f t="shared" ref="E52:E74" si="4">IF($B52="N/A","N/A",INDEX(Staff_number_of_employees,MATCH(B52,Staff_Position_ID,0)))</f>
        <v>N/A</v>
      </c>
      <c r="F52" s="86" t="str">
        <f t="shared" ref="F52:F74" si="5">IFERROR(INDEX(Staff_Position_Allocation,MATCH(B52,Staff_Position_ID),MATCH($C$49,Unit_codes,0)),"")</f>
        <v/>
      </c>
      <c r="G52" s="288" t="str">
        <f>IFERROR(D52*E52*F52,"")</f>
        <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si="4"/>
        <v>N/A</v>
      </c>
      <c r="F53" s="86" t="str">
        <f t="shared" si="5"/>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4"/>
        <v>N/A</v>
      </c>
      <c r="F54" s="86" t="str">
        <f t="shared" si="5"/>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4"/>
        <v>N/A</v>
      </c>
      <c r="F55" s="86" t="str">
        <f t="shared" si="5"/>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4"/>
        <v>N/A</v>
      </c>
      <c r="F56" s="86" t="str">
        <f t="shared" si="5"/>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4"/>
        <v>N/A</v>
      </c>
      <c r="F57" s="86" t="str">
        <f t="shared" si="5"/>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4"/>
        <v>N/A</v>
      </c>
      <c r="F58" s="86" t="str">
        <f t="shared" si="5"/>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4"/>
        <v>N/A</v>
      </c>
      <c r="F59" s="86" t="str">
        <f t="shared" si="5"/>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4"/>
        <v>N/A</v>
      </c>
      <c r="F60" s="86" t="str">
        <f t="shared" si="5"/>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4"/>
        <v>N/A</v>
      </c>
      <c r="F61" s="86" t="str">
        <f t="shared" si="5"/>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4"/>
        <v>N/A</v>
      </c>
      <c r="F62" s="86" t="str">
        <f t="shared" si="5"/>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4"/>
        <v>N/A</v>
      </c>
      <c r="F63" s="86" t="str">
        <f t="shared" si="5"/>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4"/>
        <v>N/A</v>
      </c>
      <c r="F64" s="86" t="str">
        <f t="shared" si="5"/>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4"/>
        <v>N/A</v>
      </c>
      <c r="F65" s="86" t="str">
        <f t="shared" si="5"/>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4"/>
        <v>N/A</v>
      </c>
      <c r="F66" s="86" t="str">
        <f t="shared" si="5"/>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4"/>
        <v>N/A</v>
      </c>
      <c r="F67" s="86" t="str">
        <f t="shared" si="5"/>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4"/>
        <v>N/A</v>
      </c>
      <c r="F68" s="86" t="str">
        <f t="shared" si="5"/>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4"/>
        <v>N/A</v>
      </c>
      <c r="F69" s="86" t="str">
        <f t="shared" si="5"/>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4"/>
        <v>N/A</v>
      </c>
      <c r="F70" s="86" t="str">
        <f t="shared" si="5"/>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4"/>
        <v>N/A</v>
      </c>
      <c r="F71" s="86" t="str">
        <f t="shared" si="5"/>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4"/>
        <v>N/A</v>
      </c>
      <c r="F72" s="86" t="str">
        <f t="shared" si="5"/>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4"/>
        <v>N/A</v>
      </c>
      <c r="F73" s="86" t="str">
        <f t="shared" si="5"/>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4"/>
        <v>N/A</v>
      </c>
      <c r="F74" s="86" t="str">
        <f t="shared" si="5"/>
        <v/>
      </c>
      <c r="G74" s="288" t="str">
        <f t="shared" si="6"/>
        <v/>
      </c>
    </row>
    <row r="75" spans="2:16" ht="15" thickBot="1">
      <c r="F75" s="54"/>
      <c r="G75" s="54"/>
    </row>
    <row r="76" spans="2:16" ht="30">
      <c r="B76" s="104" t="s">
        <v>81</v>
      </c>
      <c r="C76" s="105"/>
      <c r="D76" s="79"/>
      <c r="E76" s="79"/>
      <c r="F76" s="141" t="s">
        <v>121</v>
      </c>
      <c r="G76" s="505">
        <f>SUMIF(G83:G103,("&lt;&gt;N/A"),G83:G103)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62</v>
      </c>
      <c r="D80" s="900"/>
    </row>
    <row r="82" spans="2:7" ht="15.5">
      <c r="B82" s="91" t="s">
        <v>220</v>
      </c>
      <c r="C82" s="91" t="s">
        <v>4</v>
      </c>
      <c r="D82" s="91" t="s">
        <v>77</v>
      </c>
      <c r="E82" s="92" t="s">
        <v>242</v>
      </c>
      <c r="F82" s="91" t="s">
        <v>119</v>
      </c>
      <c r="G82" s="91"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N/A</v>
      </c>
      <c r="C83" s="71" t="str">
        <f>IF($B83="N/A","N/A",INDEX(Staff_position[],MATCH(B83,Staff_Position_ID,0)))</f>
        <v>N/A</v>
      </c>
      <c r="D83" s="288" t="str">
        <f>IF($B83="N/A","N/A",INDEX(Staff_net_salary[],MATCH(B83,Staff_Position_ID,0)))</f>
        <v>N/A</v>
      </c>
      <c r="E83" s="85" t="str">
        <f t="shared" ref="E83:E103" si="7">IF($B83="N/A","N/A",INDEX(Staff_number_of_employees,MATCH(B83,Staff_Position_ID,0)))</f>
        <v>N/A</v>
      </c>
      <c r="F83" s="86" t="str">
        <f t="shared" ref="F83:F103" si="8">IFERROR(INDEX(Staff_Position_Allocation,MATCH(B83,Staff_Position_ID),MATCH($C$80,Unit_codes,0)),"")</f>
        <v/>
      </c>
      <c r="G83" s="288" t="str">
        <f>IFERROR(D83*E83*F83,"")</f>
        <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N/A</v>
      </c>
      <c r="C84" s="71" t="str">
        <f>IF($B84="N/A","N/A",INDEX(Staff_position[],MATCH(B84,Staff_Position_ID,0)))</f>
        <v>N/A</v>
      </c>
      <c r="D84" s="288" t="str">
        <f>IF($B84="N/A","N/A",INDEX(Staff_net_salary[],MATCH(B84,Staff_Position_ID,0)))</f>
        <v>N/A</v>
      </c>
      <c r="E84" s="85" t="str">
        <f t="shared" si="7"/>
        <v>N/A</v>
      </c>
      <c r="F84" s="86" t="str">
        <f t="shared" si="8"/>
        <v/>
      </c>
      <c r="G84" s="288" t="str">
        <f t="shared" ref="G84:G103" si="9">IFERROR(D84*E84*F84,"")</f>
        <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16" ht="15" thickBot="1">
      <c r="E104" s="143"/>
      <c r="F104" s="143"/>
      <c r="G104" s="143"/>
    </row>
    <row r="105" spans="2:16" ht="43.5">
      <c r="B105" s="2" t="s">
        <v>1</v>
      </c>
      <c r="C105" s="103"/>
      <c r="D105" s="51"/>
      <c r="F105" s="142" t="s">
        <v>151</v>
      </c>
      <c r="G105" s="290">
        <f>SUMIF(B110:B147,("&lt;&gt;N/A"),N110:N147)</f>
        <v>0</v>
      </c>
      <c r="H105" s="51"/>
      <c r="I105" s="51"/>
      <c r="J105" s="51"/>
      <c r="K105" s="51"/>
      <c r="L105" s="51"/>
      <c r="M105" s="51"/>
      <c r="N105" s="51"/>
      <c r="O105" s="283"/>
      <c r="P105" s="51"/>
    </row>
    <row r="106" spans="2:16" ht="15.5">
      <c r="B106" s="61" t="s">
        <v>530</v>
      </c>
    </row>
    <row r="107" spans="2:16">
      <c r="B107" s="98" t="s">
        <v>76</v>
      </c>
      <c r="C107" s="80" t="s">
        <v>62</v>
      </c>
    </row>
    <row r="109" spans="2:16" ht="46.5">
      <c r="B109" s="91" t="s">
        <v>82</v>
      </c>
      <c r="C109" s="91" t="s">
        <v>51</v>
      </c>
      <c r="D109" s="93" t="s">
        <v>150</v>
      </c>
      <c r="E109" s="116" t="s">
        <v>48</v>
      </c>
      <c r="F109" s="93" t="s">
        <v>502</v>
      </c>
      <c r="G109" s="93" t="s">
        <v>439</v>
      </c>
      <c r="H109" s="93" t="s">
        <v>503</v>
      </c>
      <c r="I109" s="93" t="s">
        <v>507</v>
      </c>
      <c r="J109" s="93" t="s">
        <v>504</v>
      </c>
      <c r="K109" s="93" t="s">
        <v>506</v>
      </c>
      <c r="L109" s="385" t="s">
        <v>505</v>
      </c>
      <c r="M109" s="93" t="s">
        <v>102</v>
      </c>
      <c r="N109" s="93" t="s">
        <v>152</v>
      </c>
      <c r="O109" s="308" t="s">
        <v>685</v>
      </c>
      <c r="P109" s="310"/>
    </row>
    <row r="110" spans="2:16">
      <c r="B110" s="70" t="str">
        <f t="array" ref="B110">IF(COUNTIFS(INDEX(Equipment_Allocation_New,0,MATCH($C$107,Unit_codes,0)),"&gt;0")&lt;ROWS('2.2-Equipment input'!$X$8:$X8),"N/A",INDEX('2.2-Equipment input'!B:B,SMALL(IF(INDEX(Equipment_Allocation_New,0,MATCH($C$107,Unit_codes,0))&gt;0,ROW(equipment_ID)),ROW('2.2-Equipment input'!B1))))</f>
        <v>N/A</v>
      </c>
      <c r="C110" s="70" t="str">
        <f>IF($B110="N/A","N/A",INDEX(Equipment_name[],MATCH(B110,equipment_ID,0)))</f>
        <v>N/A</v>
      </c>
      <c r="D110" s="288" t="str">
        <f t="shared" ref="D110:D147" si="10">IF($B110="N/A","N/A",INDEX(Equipment_Depreciation,MATCH(B110,equipment_ID,0)))</f>
        <v>N/A</v>
      </c>
      <c r="E110" s="88" t="str">
        <f t="shared" ref="E110:E147" si="11">IF($B110="N/A","N/A",INDEX(Equipment_Quantity_New,MATCH(B110,equipment_ID,0)))</f>
        <v>N/A</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12">IFERROR($E110*$F110*G110*$M110*General_Water_Price,"")</f>
        <v/>
      </c>
      <c r="I110" s="130" t="str">
        <f>IF($B110="N/A","",IF(INDEX(Equipment_Utility_Decision,MATCH($B110,equipment_ID,0))='4.2-Settings Internal'!$B$30,INDEX(Equipment_Utility_Electricity,MATCH($B110,equipment_ID,0)),""))</f>
        <v/>
      </c>
      <c r="J110" s="288" t="str">
        <f t="shared" ref="J110:J147" si="13">IFERROR($E110*$F110*I110*$M110*General_Electricity_Price,"")</f>
        <v/>
      </c>
      <c r="K110" s="130" t="str">
        <f>IF($B110="N/A","",IF(INDEX(Equipment_Utility_Decision,MATCH($B110,equipment_ID,0))=INDEX(Yes_No_Choice[],1),INDEX(Equipment_Utility_Fuel,MATCH($B110,equipment_ID,0)),""))</f>
        <v/>
      </c>
      <c r="L110" s="288" t="str">
        <f t="shared" ref="L110:L147" si="14">IFERROR($E110*$F110*$K110*$M110*INDEX(General_Utilities,MATCH(INDEX(Equipment_Utility_Fuel_Selection,MATCH($B110,equipment_ID,0)),General_Utilities_Type,0),4),"")</f>
        <v/>
      </c>
      <c r="M110" s="89" t="str">
        <f t="shared" ref="M110:M147" si="15">IFERROR(INDEX(Equipment_Allocation_New,MATCH(B110,equipment_ID,0),MATCH($C$107,Unit_codes,0)),"")</f>
        <v/>
      </c>
      <c r="N110" s="288" t="str">
        <f t="shared" ref="N110:N147" si="16">IFERROR($D110*E110*M110,"")</f>
        <v/>
      </c>
      <c r="O110" s="309" t="str">
        <f t="shared" ref="O110:O147" si="17">IF($B110="N/A","",IF(INDEX(Equipment_Space_Selection,MATCH(B110,equipment_ID,0))="Yes",INDEX(Equipment_Space_Footprint,MATCH(B110,equipment_ID,0))*INDEX(Equipment_Quantity_New,MATCH(B110,equipment_ID,0))*M110,""))</f>
        <v/>
      </c>
      <c r="P110" s="311"/>
    </row>
    <row r="111" spans="2:16">
      <c r="B111" s="70" t="str">
        <f t="array" ref="B111">IF(COUNTIFS(INDEX(Equipment_Allocation_New,0,MATCH($C$107,Unit_codes,0)),"&gt;0")&lt;ROWS('2.2-Equipment input'!$X$8:$X9),"N/A",INDEX('2.2-Equipment input'!B:B,SMALL(IF(INDEX(Equipment_Allocation_New,0,MATCH($C$107,Unit_codes,0))&gt;0,ROW(equipment_ID)),ROW('2.2-Equipment input'!B2))))</f>
        <v>N/A</v>
      </c>
      <c r="C111" s="70" t="str">
        <f>IF($B111="N/A","N/A",INDEX(Equipment_name[],MATCH(B111,equipment_ID,0)))</f>
        <v>N/A</v>
      </c>
      <c r="D111" s="288" t="str">
        <f t="shared" si="10"/>
        <v>N/A</v>
      </c>
      <c r="E111" s="88" t="str">
        <f t="shared" si="11"/>
        <v>N/A</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89" t="str">
        <f t="shared" si="15"/>
        <v/>
      </c>
      <c r="N111" s="288" t="str">
        <f t="shared" si="16"/>
        <v/>
      </c>
      <c r="O111" s="309" t="str">
        <f t="shared" si="17"/>
        <v/>
      </c>
      <c r="P111" s="311"/>
    </row>
    <row r="112" spans="2:16">
      <c r="B112" s="70" t="str">
        <f t="array" ref="B112">IF(COUNTIFS(INDEX(Equipment_Allocation_New,0,MATCH($C$107,Unit_codes,0)),"&gt;0")&lt;ROWS('2.2-Equipment input'!$X$8:$X10),"N/A",INDEX('2.2-Equipment input'!B:B,SMALL(IF(INDEX(Equipment_Allocation_New,0,MATCH($C$107,Unit_codes,0))&gt;0,ROW(equipment_ID)),ROW('2.2-Equipment input'!B3))))</f>
        <v>N/A</v>
      </c>
      <c r="C112" s="70" t="str">
        <f>IF($B112="N/A","N/A",INDEX(Equipment_name[],MATCH(B112,equipment_ID,0)))</f>
        <v>N/A</v>
      </c>
      <c r="D112" s="288" t="str">
        <f t="shared" si="10"/>
        <v>N/A</v>
      </c>
      <c r="E112" s="88" t="str">
        <f t="shared" si="11"/>
        <v>N/A</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89" t="str">
        <f t="shared" si="15"/>
        <v/>
      </c>
      <c r="N112" s="288" t="str">
        <f t="shared" si="16"/>
        <v/>
      </c>
      <c r="O112" s="309" t="str">
        <f t="shared" si="17"/>
        <v/>
      </c>
      <c r="P112" s="311"/>
    </row>
    <row r="113" spans="2:16">
      <c r="B113" s="70" t="str">
        <f t="array" ref="B113">IF(COUNTIFS(INDEX(Equipment_Allocation_New,0,MATCH($C$107,Unit_codes,0)),"&gt;0")&lt;ROWS('2.2-Equipment input'!$X$8:$X11),"N/A",INDEX('2.2-Equipment input'!B:B,SMALL(IF(INDEX(Equipment_Allocation_New,0,MATCH($C$107,Unit_codes,0))&gt;0,ROW(equipment_ID)),ROW('2.2-Equipment input'!B4))))</f>
        <v>N/A</v>
      </c>
      <c r="C113" s="70" t="str">
        <f>IF($B113="N/A","N/A",INDEX(Equipment_name[],MATCH(B113,equipment_ID,0)))</f>
        <v>N/A</v>
      </c>
      <c r="D113" s="288" t="str">
        <f t="shared" si="10"/>
        <v>N/A</v>
      </c>
      <c r="E113" s="88" t="str">
        <f t="shared" si="11"/>
        <v>N/A</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89" t="str">
        <f t="shared" si="15"/>
        <v/>
      </c>
      <c r="N113" s="288" t="str">
        <f t="shared" si="16"/>
        <v/>
      </c>
      <c r="O113" s="309" t="str">
        <f t="shared" si="17"/>
        <v/>
      </c>
      <c r="P113" s="311"/>
    </row>
    <row r="114" spans="2:16">
      <c r="B114" s="70" t="str">
        <f t="array" ref="B114">IF(COUNTIFS(INDEX(Equipment_Allocation_New,0,MATCH($C$107,Unit_codes,0)),"&gt;0")&lt;ROWS('2.2-Equipment input'!$X$8:$X12),"N/A",INDEX('2.2-Equipment input'!B:B,SMALL(IF(INDEX(Equipment_Allocation_New,0,MATCH($C$107,Unit_codes,0))&gt;0,ROW(equipment_ID)),ROW('2.2-Equipment input'!B5))))</f>
        <v>N/A</v>
      </c>
      <c r="C114" s="70" t="str">
        <f>IF($B114="N/A","N/A",INDEX(Equipment_name[],MATCH(B114,equipment_ID,0)))</f>
        <v>N/A</v>
      </c>
      <c r="D114" s="288" t="str">
        <f t="shared" si="10"/>
        <v>N/A</v>
      </c>
      <c r="E114" s="88" t="str">
        <f t="shared" si="11"/>
        <v>N/A</v>
      </c>
      <c r="F114" s="130" t="str">
        <f>IF($B114="N/A","",IF(INDEX(Equipment_Utility_Decision,MATCH($B114,equipment_ID,0))='4.2-Settings Internal'!$B$30,INDEX(Equipment_Utility_Run,MATCH($B114,equipment_ID,0)),""))</f>
        <v/>
      </c>
      <c r="G114" s="130" t="str">
        <f>IF($B114="N/A","",IF(INDEX(Equipment_Utility_Decision,MATCH($B114,equipment_ID,0))='4.2-Settings Internal'!$B$30,INDEX(Equipment_Utility_Water,MATCH($B114,equipment_ID,0)),""))</f>
        <v/>
      </c>
      <c r="H114" s="288" t="str">
        <f t="shared" si="12"/>
        <v/>
      </c>
      <c r="I114" s="130" t="str">
        <f>IF($B114="N/A","",IF(INDEX(Equipment_Utility_Decision,MATCH($B114,equipment_ID,0))='4.2-Settings Internal'!$B$30,INDEX(Equipment_Utility_Electricity,MATCH($B114,equipment_ID,0)),""))</f>
        <v/>
      </c>
      <c r="J114" s="288" t="str">
        <f t="shared" si="13"/>
        <v/>
      </c>
      <c r="K114" s="130" t="str">
        <f>IF($B114="N/A","",IF(INDEX(Equipment_Utility_Decision,MATCH($B114,equipment_ID,0))=INDEX(Yes_No_Choice[],1),INDEX(Equipment_Utility_Fuel,MATCH($B114,equipment_ID,0)),""))</f>
        <v/>
      </c>
      <c r="L114" s="288" t="str">
        <f t="shared" si="14"/>
        <v/>
      </c>
      <c r="M114" s="89" t="str">
        <f t="shared" si="15"/>
        <v/>
      </c>
      <c r="N114" s="288" t="str">
        <f t="shared" si="16"/>
        <v/>
      </c>
      <c r="O114" s="309" t="str">
        <f t="shared" si="17"/>
        <v/>
      </c>
      <c r="P114" s="311"/>
    </row>
    <row r="115" spans="2:16">
      <c r="B115" s="70" t="str">
        <f t="array" ref="B115">IF(COUNTIFS(INDEX(Equipment_Allocation_New,0,MATCH($C$107,Unit_codes,0)),"&gt;0")&lt;ROWS('2.2-Equipment input'!$X$8:$X13),"N/A",INDEX('2.2-Equipment input'!B:B,SMALL(IF(INDEX(Equipment_Allocation_New,0,MATCH($C$107,Unit_codes,0))&gt;0,ROW(equipment_ID)),ROW('2.2-Equipment input'!B6))))</f>
        <v>N/A</v>
      </c>
      <c r="C115" s="70" t="str">
        <f>IF($B115="N/A","N/A",INDEX(Equipment_name[],MATCH(B115,equipment_ID,0)))</f>
        <v>N/A</v>
      </c>
      <c r="D115" s="288" t="str">
        <f t="shared" si="10"/>
        <v>N/A</v>
      </c>
      <c r="E115" s="88" t="str">
        <f t="shared" si="11"/>
        <v>N/A</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12"/>
        <v/>
      </c>
      <c r="I115" s="130" t="str">
        <f>IF($B115="N/A","",IF(INDEX(Equipment_Utility_Decision,MATCH($B115,equipment_ID,0))='4.2-Settings Internal'!$B$30,INDEX(Equipment_Utility_Electricity,MATCH($B115,equipment_ID,0)),""))</f>
        <v/>
      </c>
      <c r="J115" s="288" t="str">
        <f t="shared" si="13"/>
        <v/>
      </c>
      <c r="K115" s="130" t="str">
        <f>IF($B115="N/A","",IF(INDEX(Equipment_Utility_Decision,MATCH($B115,equipment_ID,0))=INDEX(Yes_No_Choice[],1),INDEX(Equipment_Utility_Fuel,MATCH($B115,equipment_ID,0)),""))</f>
        <v/>
      </c>
      <c r="L115" s="288" t="str">
        <f t="shared" si="14"/>
        <v/>
      </c>
      <c r="M115" s="89" t="str">
        <f t="shared" si="15"/>
        <v/>
      </c>
      <c r="N115" s="288" t="str">
        <f t="shared" si="16"/>
        <v/>
      </c>
      <c r="O115" s="309" t="str">
        <f t="shared" si="17"/>
        <v/>
      </c>
      <c r="P115" s="311"/>
    </row>
    <row r="116" spans="2:16">
      <c r="B116" s="70" t="str">
        <f t="array" ref="B116">IF(COUNTIFS(INDEX(Equipment_Allocation_New,0,MATCH($C$107,Unit_codes,0)),"&gt;0")&lt;ROWS('2.2-Equipment input'!$X$8:$X14),"N/A",INDEX('2.2-Equipment input'!B:B,SMALL(IF(INDEX(Equipment_Allocation_New,0,MATCH($C$107,Unit_codes,0))&gt;0,ROW(equipment_ID)),ROW('2.2-Equipment input'!B7))))</f>
        <v>N/A</v>
      </c>
      <c r="C116" s="70" t="str">
        <f>IF($B116="N/A","N/A",INDEX(Equipment_name[],MATCH(B116,equipment_ID,0)))</f>
        <v>N/A</v>
      </c>
      <c r="D116" s="288" t="str">
        <f t="shared" si="10"/>
        <v>N/A</v>
      </c>
      <c r="E116" s="88" t="str">
        <f t="shared" si="11"/>
        <v>N/A</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12"/>
        <v/>
      </c>
      <c r="I116" s="130" t="str">
        <f>IF($B116="N/A","",IF(INDEX(Equipment_Utility_Decision,MATCH($B116,equipment_ID,0))='4.2-Settings Internal'!$B$30,INDEX(Equipment_Utility_Electricity,MATCH($B116,equipment_ID,0)),""))</f>
        <v/>
      </c>
      <c r="J116" s="288" t="str">
        <f t="shared" si="13"/>
        <v/>
      </c>
      <c r="K116" s="130" t="str">
        <f>IF($B116="N/A","",IF(INDEX(Equipment_Utility_Decision,MATCH($B116,equipment_ID,0))=INDEX(Yes_No_Choice[],1),INDEX(Equipment_Utility_Fuel,MATCH($B116,equipment_ID,0)),""))</f>
        <v/>
      </c>
      <c r="L116" s="288" t="str">
        <f t="shared" si="14"/>
        <v/>
      </c>
      <c r="M116" s="89" t="str">
        <f t="shared" si="15"/>
        <v/>
      </c>
      <c r="N116" s="288" t="str">
        <f t="shared" si="16"/>
        <v/>
      </c>
      <c r="O116" s="309" t="str">
        <f t="shared" si="17"/>
        <v/>
      </c>
      <c r="P116" s="311"/>
    </row>
    <row r="117" spans="2:16">
      <c r="B117" s="70" t="str">
        <f t="array" ref="B117">IF(COUNTIFS(INDEX(Equipment_Allocation_New,0,MATCH($C$107,Unit_codes,0)),"&gt;0")&lt;ROWS('2.2-Equipment input'!$X$8:$X15),"N/A",INDEX('2.2-Equipment input'!B:B,SMALL(IF(INDEX(Equipment_Allocation_New,0,MATCH($C$107,Unit_codes,0))&gt;0,ROW(equipment_ID)),ROW('2.2-Equipment input'!B8))))</f>
        <v>N/A</v>
      </c>
      <c r="C117" s="70" t="str">
        <f>IF($B117="N/A","N/A",INDEX(Equipment_name[],MATCH(B117,equipment_ID,0)))</f>
        <v>N/A</v>
      </c>
      <c r="D117" s="288" t="str">
        <f t="shared" si="10"/>
        <v>N/A</v>
      </c>
      <c r="E117" s="88" t="str">
        <f t="shared" si="11"/>
        <v>N/A</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12"/>
        <v/>
      </c>
      <c r="I117" s="130" t="str">
        <f>IF($B117="N/A","",IF(INDEX(Equipment_Utility_Decision,MATCH($B117,equipment_ID,0))='4.2-Settings Internal'!$B$30,INDEX(Equipment_Utility_Electricity,MATCH($B117,equipment_ID,0)),""))</f>
        <v/>
      </c>
      <c r="J117" s="288" t="str">
        <f t="shared" si="13"/>
        <v/>
      </c>
      <c r="K117" s="130" t="str">
        <f>IF($B117="N/A","",IF(INDEX(Equipment_Utility_Decision,MATCH($B117,equipment_ID,0))=INDEX(Yes_No_Choice[],1),INDEX(Equipment_Utility_Fuel,MATCH($B117,equipment_ID,0)),""))</f>
        <v/>
      </c>
      <c r="L117" s="288" t="str">
        <f t="shared" si="14"/>
        <v/>
      </c>
      <c r="M117" s="89" t="str">
        <f t="shared" si="15"/>
        <v/>
      </c>
      <c r="N117" s="288" t="str">
        <f t="shared" si="16"/>
        <v/>
      </c>
      <c r="O117" s="309" t="str">
        <f t="shared" si="17"/>
        <v/>
      </c>
      <c r="P117" s="311"/>
    </row>
    <row r="118" spans="2:16">
      <c r="B118" s="70" t="str">
        <f t="array" ref="B118">IF(COUNTIFS(INDEX(Equipment_Allocation_New,0,MATCH($C$107,Unit_codes,0)),"&gt;0")&lt;ROWS('2.2-Equipment input'!$X$8:$X16),"N/A",INDEX('2.2-Equipment input'!B:B,SMALL(IF(INDEX(Equipment_Allocation_New,0,MATCH($C$107,Unit_codes,0))&gt;0,ROW(equipment_ID)),ROW('2.2-Equipment input'!B9))))</f>
        <v>N/A</v>
      </c>
      <c r="C118" s="70" t="str">
        <f>IF($B118="N/A","N/A",INDEX(Equipment_name[],MATCH(B118,equipment_ID,0)))</f>
        <v>N/A</v>
      </c>
      <c r="D118" s="288" t="str">
        <f t="shared" si="10"/>
        <v>N/A</v>
      </c>
      <c r="E118" s="88" t="str">
        <f t="shared" si="11"/>
        <v>N/A</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2"/>
        <v/>
      </c>
      <c r="I118" s="130" t="str">
        <f>IF($B118="N/A","",IF(INDEX(Equipment_Utility_Decision,MATCH($B118,equipment_ID,0))='4.2-Settings Internal'!$B$30,INDEX(Equipment_Utility_Electricity,MATCH($B118,equipment_ID,0)),""))</f>
        <v/>
      </c>
      <c r="J118" s="288" t="str">
        <f t="shared" si="13"/>
        <v/>
      </c>
      <c r="K118" s="130" t="str">
        <f>IF($B118="N/A","",IF(INDEX(Equipment_Utility_Decision,MATCH($B118,equipment_ID,0))=INDEX(Yes_No_Choice[],1),INDEX(Equipment_Utility_Fuel,MATCH($B118,equipment_ID,0)),""))</f>
        <v/>
      </c>
      <c r="L118" s="288" t="str">
        <f t="shared" si="14"/>
        <v/>
      </c>
      <c r="M118" s="89" t="str">
        <f t="shared" si="15"/>
        <v/>
      </c>
      <c r="N118" s="288" t="str">
        <f t="shared" si="16"/>
        <v/>
      </c>
      <c r="O118" s="309" t="str">
        <f t="shared" si="17"/>
        <v/>
      </c>
      <c r="P118" s="311"/>
    </row>
    <row r="119" spans="2:16">
      <c r="B119" s="70" t="str">
        <f t="array" ref="B119">IF(COUNTIFS(INDEX(Equipment_Allocation_New,0,MATCH($C$107,Unit_codes,0)),"&gt;0")&lt;ROWS('2.2-Equipment input'!$X$8:$X17),"N/A",INDEX('2.2-Equipment input'!B:B,SMALL(IF(INDEX(Equipment_Allocation_New,0,MATCH($C$107,Unit_codes,0))&gt;0,ROW(equipment_ID)),ROW('2.2-Equipment input'!B10))))</f>
        <v>N/A</v>
      </c>
      <c r="C119" s="70" t="str">
        <f>IF($B119="N/A","N/A",INDEX(Equipment_name[],MATCH(B119,equipment_ID,0)))</f>
        <v>N/A</v>
      </c>
      <c r="D119" s="288" t="str">
        <f t="shared" si="10"/>
        <v>N/A</v>
      </c>
      <c r="E119" s="88" t="str">
        <f t="shared" si="11"/>
        <v>N/A</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12"/>
        <v/>
      </c>
      <c r="I119" s="130" t="str">
        <f>IF($B119="N/A","",IF(INDEX(Equipment_Utility_Decision,MATCH($B119,equipment_ID,0))='4.2-Settings Internal'!$B$30,INDEX(Equipment_Utility_Electricity,MATCH($B119,equipment_ID,0)),""))</f>
        <v/>
      </c>
      <c r="J119" s="288" t="str">
        <f t="shared" si="13"/>
        <v/>
      </c>
      <c r="K119" s="130" t="str">
        <f>IF($B119="N/A","",IF(INDEX(Equipment_Utility_Decision,MATCH($B119,equipment_ID,0))=INDEX(Yes_No_Choice[],1),INDEX(Equipment_Utility_Fuel,MATCH($B119,equipment_ID,0)),""))</f>
        <v/>
      </c>
      <c r="L119" s="288" t="str">
        <f t="shared" si="14"/>
        <v/>
      </c>
      <c r="M119" s="89" t="str">
        <f t="shared" si="15"/>
        <v/>
      </c>
      <c r="N119" s="288" t="str">
        <f t="shared" si="16"/>
        <v/>
      </c>
      <c r="O119" s="309" t="str">
        <f t="shared" si="17"/>
        <v/>
      </c>
      <c r="P119" s="311"/>
    </row>
    <row r="120" spans="2:16">
      <c r="B120" s="70" t="str">
        <f t="array" ref="B120">IF(COUNTIFS(INDEX(Equipment_Allocation_New,0,MATCH($C$107,Unit_codes,0)),"&gt;0")&lt;ROWS('2.2-Equipment input'!$X$8:$X18),"N/A",INDEX('2.2-Equipment input'!B:B,SMALL(IF(INDEX(Equipment_Allocation_New,0,MATCH($C$107,Unit_codes,0))&gt;0,ROW(equipment_ID)),ROW('2.2-Equipment input'!B11))))</f>
        <v>N/A</v>
      </c>
      <c r="C120" s="70" t="str">
        <f>IF($B120="N/A","N/A",INDEX(Equipment_name[],MATCH(B120,equipment_ID,0)))</f>
        <v>N/A</v>
      </c>
      <c r="D120" s="288" t="str">
        <f t="shared" si="10"/>
        <v>N/A</v>
      </c>
      <c r="E120" s="88" t="str">
        <f t="shared" si="11"/>
        <v>N/A</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2"/>
        <v/>
      </c>
      <c r="I120" s="130" t="str">
        <f>IF($B120="N/A","",IF(INDEX(Equipment_Utility_Decision,MATCH($B120,equipment_ID,0))='4.2-Settings Internal'!$B$30,INDEX(Equipment_Utility_Electricity,MATCH($B120,equipment_ID,0)),""))</f>
        <v/>
      </c>
      <c r="J120" s="288" t="str">
        <f t="shared" si="13"/>
        <v/>
      </c>
      <c r="K120" s="130" t="str">
        <f>IF($B120="N/A","",IF(INDEX(Equipment_Utility_Decision,MATCH($B120,equipment_ID,0))=INDEX(Yes_No_Choice[],1),INDEX(Equipment_Utility_Fuel,MATCH($B120,equipment_ID,0)),""))</f>
        <v/>
      </c>
      <c r="L120" s="288" t="str">
        <f t="shared" si="14"/>
        <v/>
      </c>
      <c r="M120" s="89" t="str">
        <f t="shared" si="15"/>
        <v/>
      </c>
      <c r="N120" s="288" t="str">
        <f t="shared" si="16"/>
        <v/>
      </c>
      <c r="O120" s="309" t="str">
        <f t="shared" si="17"/>
        <v/>
      </c>
      <c r="P120" s="311"/>
    </row>
    <row r="121" spans="2:16">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10"/>
        <v>N/A</v>
      </c>
      <c r="E121" s="88" t="str">
        <f t="shared" si="11"/>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89" t="str">
        <f t="shared" si="15"/>
        <v/>
      </c>
      <c r="N121" s="288" t="str">
        <f t="shared" si="16"/>
        <v/>
      </c>
      <c r="O121" s="309" t="str">
        <f t="shared" si="17"/>
        <v/>
      </c>
      <c r="P121" s="311"/>
    </row>
    <row r="122" spans="2:16">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10"/>
        <v>N/A</v>
      </c>
      <c r="E122" s="88" t="str">
        <f t="shared" si="11"/>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89" t="str">
        <f t="shared" si="15"/>
        <v/>
      </c>
      <c r="N122" s="288" t="str">
        <f t="shared" si="16"/>
        <v/>
      </c>
      <c r="O122" s="309" t="str">
        <f t="shared" si="17"/>
        <v/>
      </c>
      <c r="P122" s="311"/>
    </row>
    <row r="123" spans="2:16">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10"/>
        <v>N/A</v>
      </c>
      <c r="E123" s="88" t="str">
        <f t="shared" si="11"/>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89" t="str">
        <f t="shared" si="15"/>
        <v/>
      </c>
      <c r="N123" s="288" t="str">
        <f t="shared" si="16"/>
        <v/>
      </c>
      <c r="O123" s="309" t="str">
        <f t="shared" si="17"/>
        <v/>
      </c>
      <c r="P123" s="311"/>
    </row>
    <row r="124" spans="2:16">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0"/>
        <v>N/A</v>
      </c>
      <c r="E124" s="88" t="str">
        <f t="shared" si="11"/>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89" t="str">
        <f t="shared" si="15"/>
        <v/>
      </c>
      <c r="N124" s="288" t="str">
        <f t="shared" si="16"/>
        <v/>
      </c>
      <c r="O124" s="309" t="str">
        <f t="shared" si="17"/>
        <v/>
      </c>
      <c r="P124" s="311"/>
    </row>
    <row r="125" spans="2:16">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0"/>
        <v>N/A</v>
      </c>
      <c r="E125" s="88" t="str">
        <f t="shared" si="11"/>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2"/>
        <v/>
      </c>
      <c r="I125" s="130" t="str">
        <f>IF($B125="N/A","",IF(INDEX(Equipment_Utility_Decision,MATCH($B125,equipment_ID,0))='4.2-Settings Internal'!$B$30,INDEX(Equipment_Utility_Electricity,MATCH($B125,equipment_ID,0)),""))</f>
        <v/>
      </c>
      <c r="J125" s="288" t="str">
        <f t="shared" si="13"/>
        <v/>
      </c>
      <c r="K125" s="130" t="str">
        <f>IF($B125="N/A","",IF(INDEX(Equipment_Utility_Decision,MATCH($B125,equipment_ID,0))=INDEX(Yes_No_Choice[],1),INDEX(Equipment_Utility_Fuel,MATCH($B125,equipment_ID,0)),""))</f>
        <v/>
      </c>
      <c r="L125" s="288" t="str">
        <f t="shared" si="14"/>
        <v/>
      </c>
      <c r="M125" s="89" t="str">
        <f t="shared" si="15"/>
        <v/>
      </c>
      <c r="N125" s="288" t="str">
        <f t="shared" si="16"/>
        <v/>
      </c>
      <c r="O125" s="309" t="str">
        <f t="shared" si="17"/>
        <v/>
      </c>
      <c r="P125" s="311"/>
    </row>
    <row r="126" spans="2:16">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0"/>
        <v>N/A</v>
      </c>
      <c r="E126" s="88" t="str">
        <f t="shared" si="11"/>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2"/>
        <v/>
      </c>
      <c r="I126" s="130" t="str">
        <f>IF($B126="N/A","",IF(INDEX(Equipment_Utility_Decision,MATCH($B126,equipment_ID,0))='4.2-Settings Internal'!$B$30,INDEX(Equipment_Utility_Electricity,MATCH($B126,equipment_ID,0)),""))</f>
        <v/>
      </c>
      <c r="J126" s="288" t="str">
        <f t="shared" si="13"/>
        <v/>
      </c>
      <c r="K126" s="130" t="str">
        <f>IF($B126="N/A","",IF(INDEX(Equipment_Utility_Decision,MATCH($B126,equipment_ID,0))=INDEX(Yes_No_Choice[],1),INDEX(Equipment_Utility_Fuel,MATCH($B126,equipment_ID,0)),""))</f>
        <v/>
      </c>
      <c r="L126" s="288" t="str">
        <f t="shared" si="14"/>
        <v/>
      </c>
      <c r="M126" s="89" t="str">
        <f t="shared" si="15"/>
        <v/>
      </c>
      <c r="N126" s="288" t="str">
        <f t="shared" si="16"/>
        <v/>
      </c>
      <c r="O126" s="309" t="str">
        <f t="shared" si="17"/>
        <v/>
      </c>
      <c r="P126" s="311"/>
    </row>
    <row r="127" spans="2:16">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0"/>
        <v>N/A</v>
      </c>
      <c r="E127" s="88" t="str">
        <f t="shared" si="11"/>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2"/>
        <v/>
      </c>
      <c r="I127" s="130" t="str">
        <f>IF($B127="N/A","",IF(INDEX(Equipment_Utility_Decision,MATCH($B127,equipment_ID,0))='4.2-Settings Internal'!$B$30,INDEX(Equipment_Utility_Electricity,MATCH($B127,equipment_ID,0)),""))</f>
        <v/>
      </c>
      <c r="J127" s="288" t="str">
        <f t="shared" si="13"/>
        <v/>
      </c>
      <c r="K127" s="130" t="str">
        <f>IF($B127="N/A","",IF(INDEX(Equipment_Utility_Decision,MATCH($B127,equipment_ID,0))=INDEX(Yes_No_Choice[],1),INDEX(Equipment_Utility_Fuel,MATCH($B127,equipment_ID,0)),""))</f>
        <v/>
      </c>
      <c r="L127" s="288" t="str">
        <f t="shared" si="14"/>
        <v/>
      </c>
      <c r="M127" s="89" t="str">
        <f t="shared" si="15"/>
        <v/>
      </c>
      <c r="N127" s="288" t="str">
        <f t="shared" si="16"/>
        <v/>
      </c>
      <c r="O127" s="309" t="str">
        <f t="shared" si="17"/>
        <v/>
      </c>
      <c r="P127" s="311"/>
    </row>
    <row r="128" spans="2:16">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0"/>
        <v>N/A</v>
      </c>
      <c r="E128" s="88" t="str">
        <f t="shared" si="11"/>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2"/>
        <v/>
      </c>
      <c r="I128" s="130" t="str">
        <f>IF($B128="N/A","",IF(INDEX(Equipment_Utility_Decision,MATCH($B128,equipment_ID,0))='4.2-Settings Internal'!$B$30,INDEX(Equipment_Utility_Electricity,MATCH($B128,equipment_ID,0)),""))</f>
        <v/>
      </c>
      <c r="J128" s="288" t="str">
        <f t="shared" si="13"/>
        <v/>
      </c>
      <c r="K128" s="130" t="str">
        <f>IF($B128="N/A","",IF(INDEX(Equipment_Utility_Decision,MATCH($B128,equipment_ID,0))=INDEX(Yes_No_Choice[],1),INDEX(Equipment_Utility_Fuel,MATCH($B128,equipment_ID,0)),""))</f>
        <v/>
      </c>
      <c r="L128" s="288" t="str">
        <f t="shared" si="14"/>
        <v/>
      </c>
      <c r="M128" s="89" t="str">
        <f t="shared" si="15"/>
        <v/>
      </c>
      <c r="N128" s="288" t="str">
        <f t="shared" si="16"/>
        <v/>
      </c>
      <c r="O128" s="309" t="str">
        <f t="shared" si="17"/>
        <v/>
      </c>
      <c r="P128" s="311"/>
    </row>
    <row r="129" spans="2:16">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0"/>
        <v>N/A</v>
      </c>
      <c r="E129" s="88" t="str">
        <f t="shared" si="11"/>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2"/>
        <v/>
      </c>
      <c r="I129" s="130" t="str">
        <f>IF($B129="N/A","",IF(INDEX(Equipment_Utility_Decision,MATCH($B129,equipment_ID,0))='4.2-Settings Internal'!$B$30,INDEX(Equipment_Utility_Electricity,MATCH($B129,equipment_ID,0)),""))</f>
        <v/>
      </c>
      <c r="J129" s="288" t="str">
        <f t="shared" si="13"/>
        <v/>
      </c>
      <c r="K129" s="130" t="str">
        <f>IF($B129="N/A","",IF(INDEX(Equipment_Utility_Decision,MATCH($B129,equipment_ID,0))=INDEX(Yes_No_Choice[],1),INDEX(Equipment_Utility_Fuel,MATCH($B129,equipment_ID,0)),""))</f>
        <v/>
      </c>
      <c r="L129" s="288" t="str">
        <f t="shared" si="14"/>
        <v/>
      </c>
      <c r="M129" s="89" t="str">
        <f t="shared" si="15"/>
        <v/>
      </c>
      <c r="N129" s="288" t="str">
        <f t="shared" si="16"/>
        <v/>
      </c>
      <c r="O129" s="309" t="str">
        <f t="shared" si="17"/>
        <v/>
      </c>
      <c r="P129" s="311"/>
    </row>
    <row r="130" spans="2:16">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89" t="str">
        <f t="shared" si="15"/>
        <v/>
      </c>
      <c r="N130" s="288" t="str">
        <f t="shared" si="16"/>
        <v/>
      </c>
      <c r="O130" s="309" t="str">
        <f t="shared" si="17"/>
        <v/>
      </c>
      <c r="P130" s="311"/>
    </row>
    <row r="131" spans="2:16">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89" t="str">
        <f t="shared" si="15"/>
        <v/>
      </c>
      <c r="N131" s="288" t="str">
        <f t="shared" si="16"/>
        <v/>
      </c>
      <c r="O131" s="309" t="str">
        <f t="shared" si="17"/>
        <v/>
      </c>
      <c r="P131" s="311"/>
    </row>
    <row r="132" spans="2:16">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89" t="str">
        <f t="shared" si="15"/>
        <v/>
      </c>
      <c r="N132" s="288" t="str">
        <f t="shared" si="16"/>
        <v/>
      </c>
      <c r="O132" s="309" t="str">
        <f t="shared" si="17"/>
        <v/>
      </c>
      <c r="P132" s="311"/>
    </row>
    <row r="133" spans="2:16">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89" t="str">
        <f t="shared" si="15"/>
        <v/>
      </c>
      <c r="N133" s="288" t="str">
        <f t="shared" si="16"/>
        <v/>
      </c>
      <c r="O133" s="309" t="str">
        <f t="shared" si="17"/>
        <v/>
      </c>
      <c r="P133" s="311"/>
    </row>
    <row r="134" spans="2:16">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89" t="str">
        <f t="shared" si="15"/>
        <v/>
      </c>
      <c r="N134" s="288" t="str">
        <f t="shared" si="16"/>
        <v/>
      </c>
      <c r="O134" s="309" t="str">
        <f t="shared" si="17"/>
        <v/>
      </c>
      <c r="P134" s="311"/>
    </row>
    <row r="135" spans="2:16">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89" t="str">
        <f t="shared" si="15"/>
        <v/>
      </c>
      <c r="N135" s="288" t="str">
        <f t="shared" si="16"/>
        <v/>
      </c>
      <c r="O135" s="309" t="str">
        <f t="shared" si="17"/>
        <v/>
      </c>
      <c r="P135" s="311"/>
    </row>
    <row r="136" spans="2:16">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89" t="str">
        <f t="shared" si="15"/>
        <v/>
      </c>
      <c r="N136" s="288" t="str">
        <f t="shared" si="16"/>
        <v/>
      </c>
      <c r="O136" s="309" t="str">
        <f t="shared" si="17"/>
        <v/>
      </c>
      <c r="P136" s="311"/>
    </row>
    <row r="137" spans="2:16">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89" t="str">
        <f t="shared" si="15"/>
        <v/>
      </c>
      <c r="N137" s="288" t="str">
        <f t="shared" si="16"/>
        <v/>
      </c>
      <c r="O137" s="309" t="str">
        <f t="shared" si="17"/>
        <v/>
      </c>
      <c r="P137" s="311"/>
    </row>
    <row r="138" spans="2:16">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89" t="str">
        <f t="shared" si="15"/>
        <v/>
      </c>
      <c r="N138" s="288" t="str">
        <f t="shared" si="16"/>
        <v/>
      </c>
      <c r="O138" s="309" t="str">
        <f t="shared" si="17"/>
        <v/>
      </c>
      <c r="P138" s="311"/>
    </row>
    <row r="139" spans="2:16">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89" t="str">
        <f t="shared" si="15"/>
        <v/>
      </c>
      <c r="N139" s="288" t="str">
        <f t="shared" si="16"/>
        <v/>
      </c>
      <c r="O139" s="309" t="str">
        <f t="shared" si="17"/>
        <v/>
      </c>
      <c r="P139" s="311"/>
    </row>
    <row r="140" spans="2:16">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89" t="str">
        <f t="shared" si="15"/>
        <v/>
      </c>
      <c r="N140" s="288" t="str">
        <f t="shared" si="16"/>
        <v/>
      </c>
      <c r="O140" s="309" t="str">
        <f t="shared" si="17"/>
        <v/>
      </c>
      <c r="P140" s="311"/>
    </row>
    <row r="141" spans="2:16">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89" t="str">
        <f t="shared" si="15"/>
        <v/>
      </c>
      <c r="N141" s="288" t="str">
        <f t="shared" si="16"/>
        <v/>
      </c>
      <c r="O141" s="309" t="str">
        <f t="shared" si="17"/>
        <v/>
      </c>
      <c r="P141" s="311"/>
    </row>
    <row r="142" spans="2:16">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89" t="str">
        <f t="shared" si="15"/>
        <v/>
      </c>
      <c r="N142" s="288" t="str">
        <f t="shared" si="16"/>
        <v/>
      </c>
      <c r="O142" s="309" t="str">
        <f t="shared" si="17"/>
        <v/>
      </c>
      <c r="P142" s="311"/>
    </row>
    <row r="143" spans="2:16">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89" t="str">
        <f t="shared" si="15"/>
        <v/>
      </c>
      <c r="N143" s="288" t="str">
        <f t="shared" si="16"/>
        <v/>
      </c>
      <c r="O143" s="309" t="str">
        <f t="shared" si="17"/>
        <v/>
      </c>
      <c r="P143" s="311"/>
    </row>
    <row r="144" spans="2:16">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89" t="str">
        <f t="shared" si="15"/>
        <v/>
      </c>
      <c r="N144" s="288" t="str">
        <f t="shared" si="16"/>
        <v/>
      </c>
      <c r="O144" s="309" t="str">
        <f t="shared" si="17"/>
        <v/>
      </c>
      <c r="P144" s="311"/>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89" t="str">
        <f t="shared" si="15"/>
        <v/>
      </c>
      <c r="N145" s="288" t="str">
        <f t="shared" si="16"/>
        <v/>
      </c>
      <c r="O145" s="309" t="str">
        <f t="shared" si="17"/>
        <v/>
      </c>
      <c r="P145" s="311"/>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89" t="str">
        <f t="shared" si="15"/>
        <v/>
      </c>
      <c r="N146" s="288" t="str">
        <f t="shared" si="16"/>
        <v/>
      </c>
      <c r="O146" s="309" t="str">
        <f t="shared" si="17"/>
        <v/>
      </c>
      <c r="P146" s="311"/>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89" t="str">
        <f t="shared" si="15"/>
        <v/>
      </c>
      <c r="N147" s="288" t="str">
        <f t="shared" si="16"/>
        <v/>
      </c>
      <c r="O147" s="309" t="str">
        <f t="shared" si="17"/>
        <v/>
      </c>
      <c r="P147" s="311"/>
    </row>
    <row r="148" spans="2:23" ht="33" customHeight="1">
      <c r="G148" s="192"/>
    </row>
    <row r="149" spans="2:23" ht="33" customHeight="1">
      <c r="G149" s="201" t="s">
        <v>594</v>
      </c>
      <c r="H149" s="290">
        <f>SUM(H152:H189)</f>
        <v>0</v>
      </c>
      <c r="I149" s="290">
        <f t="shared" ref="I149:W149" si="18">SUM(I152:I189)</f>
        <v>0</v>
      </c>
      <c r="J149" s="290">
        <f t="shared" si="18"/>
        <v>0</v>
      </c>
      <c r="K149" s="290">
        <f t="shared" si="18"/>
        <v>0</v>
      </c>
      <c r="L149" s="290">
        <f t="shared" si="18"/>
        <v>0</v>
      </c>
      <c r="M149" s="290">
        <f t="shared" si="18"/>
        <v>0</v>
      </c>
      <c r="N149" s="290">
        <f>SUM(N152:N189)</f>
        <v>0</v>
      </c>
      <c r="O149" s="290">
        <f>SUM(O152:O189)</f>
        <v>0</v>
      </c>
      <c r="P149" s="290">
        <f t="shared" si="18"/>
        <v>0</v>
      </c>
      <c r="Q149" s="290">
        <f t="shared" si="18"/>
        <v>0</v>
      </c>
      <c r="R149" s="290">
        <f t="shared" si="18"/>
        <v>0</v>
      </c>
      <c r="S149" s="290">
        <f t="shared" si="18"/>
        <v>0</v>
      </c>
      <c r="T149" s="290">
        <f t="shared" si="18"/>
        <v>0</v>
      </c>
      <c r="U149" s="290">
        <f t="shared" si="18"/>
        <v>0</v>
      </c>
      <c r="V149" s="290">
        <f t="shared" si="18"/>
        <v>0</v>
      </c>
      <c r="W149" s="290">
        <f t="shared" si="18"/>
        <v>0</v>
      </c>
    </row>
    <row r="151" spans="2:23" ht="31">
      <c r="B151" s="91" t="s">
        <v>82</v>
      </c>
      <c r="C151" s="91" t="s">
        <v>51</v>
      </c>
      <c r="D151" s="116" t="s">
        <v>50</v>
      </c>
      <c r="E151" s="197" t="s">
        <v>147</v>
      </c>
      <c r="F151" s="116" t="s">
        <v>48</v>
      </c>
      <c r="G151" s="116" t="s">
        <v>119</v>
      </c>
      <c r="H151" s="116" t="s">
        <v>591</v>
      </c>
      <c r="I151" s="116" t="s">
        <v>568</v>
      </c>
      <c r="J151" s="199" t="s">
        <v>569</v>
      </c>
      <c r="K151" s="199" t="s">
        <v>570</v>
      </c>
      <c r="L151" s="199" t="s">
        <v>571</v>
      </c>
      <c r="M151" s="199" t="s">
        <v>572</v>
      </c>
      <c r="N151" s="199" t="s">
        <v>573</v>
      </c>
      <c r="O151" s="199" t="s">
        <v>574</v>
      </c>
      <c r="P151" s="199" t="s">
        <v>575</v>
      </c>
      <c r="Q151" s="199" t="s">
        <v>576</v>
      </c>
      <c r="R151" s="199" t="s">
        <v>577</v>
      </c>
      <c r="S151" s="199" t="s">
        <v>578</v>
      </c>
      <c r="T151" s="199" t="s">
        <v>579</v>
      </c>
      <c r="U151" s="199" t="s">
        <v>580</v>
      </c>
      <c r="V151" s="199" t="s">
        <v>581</v>
      </c>
      <c r="W151" s="199"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N/A</v>
      </c>
      <c r="C152" s="70" t="str">
        <f>IF($B152="N/A","N/A",INDEX(Equipment_name[],MATCH(B152,equipment_ID,0)))</f>
        <v>N/A</v>
      </c>
      <c r="D152" s="288" t="str">
        <f t="shared" ref="D152:D189" si="19">IF($B152="N/A","N/A",INDEX(Equipment_Capital_Cost,MATCH($B152,equipment_ID,0)))</f>
        <v>N/A</v>
      </c>
      <c r="E152" s="88" t="str">
        <f t="shared" ref="E152:E189" si="20">IF($B152="N/A","N/A",INDEX(Equipment_Lifetime,MATCH($B152,equipment_ID,0)))</f>
        <v>N/A</v>
      </c>
      <c r="F152" s="88" t="str">
        <f t="shared" ref="F152:F189" si="21">IF($B152="N/A","N/A",INDEX(Equipment_Quantity_New,MATCH($B152,equipment_ID,0)))</f>
        <v>N/A</v>
      </c>
      <c r="G152" s="86" t="str">
        <f t="shared" ref="G152:G189" si="22">IF($B152="N/A","N/A",INDEX(Equipment_Allocation_New,MATCH($B152,equipment_ID,0),MATCH($C$107,Unit_codes,0)))</f>
        <v>N/A</v>
      </c>
      <c r="H152" s="288" t="str">
        <f>IFERROR(IF($B152="N/A","N/A",IF(MOD(COLUMNS(H$151:$H$151)-1,$E152)=0,$F152*$D152*$G152,)),)</f>
        <v>N/A</v>
      </c>
      <c r="I152" s="288" t="str">
        <f>IFERROR(IF($B152="N/A","N/A",IF(MOD(COLUMNS($H$151:I$151)-1,$E152)=0,$F152*$D152*$G152,)),)</f>
        <v>N/A</v>
      </c>
      <c r="J152" s="288" t="str">
        <f>IFERROR(IF($B152="N/A","N/A",IF(MOD(COLUMNS($H$151:J$151)-1,$E152)=0,$F152*$D152*$G152,)),)</f>
        <v>N/A</v>
      </c>
      <c r="K152" s="288" t="str">
        <f>IFERROR(IF($B152="N/A","N/A",IF(MOD(COLUMNS($H$151:K$151)-1,$E152)=0,$F152*$D152*$G152,)),)</f>
        <v>N/A</v>
      </c>
      <c r="L152" s="288" t="str">
        <f>IFERROR(IF($B152="N/A","N/A",IF(MOD(COLUMNS($H$151:L$151)-1,$E152)=0,$F152*$D152*$G152,)),)</f>
        <v>N/A</v>
      </c>
      <c r="M152" s="288" t="str">
        <f>IFERROR(IF($B152="N/A","N/A",IF(MOD(COLUMNS($H$151:M$151)-1,$E152)=0,$F152*$D152*$G152,)),)</f>
        <v>N/A</v>
      </c>
      <c r="N152" s="288" t="str">
        <f>IFERROR(IF($B152="N/A","N/A",IF(MOD(COLUMNS($H$151:N$151)-1,$E152)=0,$F152*$D152*$G152,)),)</f>
        <v>N/A</v>
      </c>
      <c r="O152" s="288" t="str">
        <f>IFERROR(IF($B152="N/A","N/A",IF(MOD(COLUMNS($H$151:O$151)-1,$E152)=0,$F152*$D152*$G152,)),)</f>
        <v>N/A</v>
      </c>
      <c r="P152" s="288" t="str">
        <f>IFERROR(IF($B152="N/A","N/A",IF(MOD(COLUMNS($H$151:P$151)-1,$E152)=0,$F152*$D152*$G152,)),)</f>
        <v>N/A</v>
      </c>
      <c r="Q152" s="288" t="str">
        <f>IFERROR(IF($B152="N/A","N/A",IF(MOD(COLUMNS($H$151:Q$151)-1,$E152)=0,$F152*$D152*$G152,)),)</f>
        <v>N/A</v>
      </c>
      <c r="R152" s="288" t="str">
        <f>IFERROR(IF($B152="N/A","N/A",IF(MOD(COLUMNS($H$151:R$151)-1,$E152)=0,$F152*$D152*$G152,)),)</f>
        <v>N/A</v>
      </c>
      <c r="S152" s="288" t="str">
        <f>IFERROR(IF($B152="N/A","N/A",IF(MOD(COLUMNS($H$151:S$151)-1,$E152)=0,$F152*$D152*$G152,)),)</f>
        <v>N/A</v>
      </c>
      <c r="T152" s="288" t="str">
        <f>IFERROR(IF($B152="N/A","N/A",IF(MOD(COLUMNS($H$151:T$151)-1,$E152)=0,$F152*$D152*$G152,)),)</f>
        <v>N/A</v>
      </c>
      <c r="U152" s="288" t="str">
        <f>IFERROR(IF($B152="N/A","N/A",IF(MOD(COLUMNS($H$151:U$151)-1,$E152)=0,$F152*$D152*$G152,)),)</f>
        <v>N/A</v>
      </c>
      <c r="V152" s="288" t="str">
        <f>IFERROR(IF($B152="N/A","N/A",IF(MOD(COLUMNS($H$151:V$151)-1,$E152)=0,$F152*$D152*$G152,)),)</f>
        <v>N/A</v>
      </c>
      <c r="W152" s="288" t="str">
        <f>IFERROR(IF($B152="N/A","N/A",IF(MOD(COLUMNS($H$151:W$151)-1,$E152)=0,$F152*$D152*$G152,)),)</f>
        <v>N/A</v>
      </c>
    </row>
    <row r="153" spans="2:23">
      <c r="B153" s="70" t="str">
        <f t="array" ref="B153">IF(COUNTIFS(INDEX(Equipment_Allocation_New,0,MATCH($C$107,Unit_codes,0)),"&gt;0")&lt;ROWS('2.2-Equipment input'!$X$8:$X9),"N/A",INDEX('2.2-Equipment input'!B:B,SMALL(IF(INDEX(Equipment_Allocation_New,0,MATCH($C$107,Unit_codes,0))&gt;0,ROW(equipment_ID)),ROW('2.2-Equipment input'!B2))))</f>
        <v>N/A</v>
      </c>
      <c r="C153" s="70" t="str">
        <f>IF($B153="N/A","N/A",INDEX(Equipment_name[],MATCH(B153,equipment_ID,0)))</f>
        <v>N/A</v>
      </c>
      <c r="D153" s="288" t="str">
        <f t="shared" si="19"/>
        <v>N/A</v>
      </c>
      <c r="E153" s="88" t="str">
        <f t="shared" si="20"/>
        <v>N/A</v>
      </c>
      <c r="F153" s="88" t="str">
        <f t="shared" si="21"/>
        <v>N/A</v>
      </c>
      <c r="G153" s="86" t="str">
        <f t="shared" si="22"/>
        <v>N/A</v>
      </c>
      <c r="H153" s="288" t="str">
        <f>IFERROR(IF($B153="N/A","N/A",IF(MOD(COLUMNS(H$151:$H$151)-1,$E153)=0,$F153*$D153*$G153,)),)</f>
        <v>N/A</v>
      </c>
      <c r="I153" s="288" t="str">
        <f>IFERROR(IF($B153="N/A","N/A",IF(MOD(COLUMNS($H$151:I$151)-1,$E153)=0,$F153*$D153*$G153,)),)</f>
        <v>N/A</v>
      </c>
      <c r="J153" s="288" t="str">
        <f>IFERROR(IF($B153="N/A","N/A",IF(MOD(COLUMNS($H$151:J$151)-1,$E153)=0,$F153*$D153*$G153,)),)</f>
        <v>N/A</v>
      </c>
      <c r="K153" s="288" t="str">
        <f>IFERROR(IF($B153="N/A","N/A",IF(MOD(COLUMNS($H$151:K$151)-1,$E153)=0,$F153*$D153*$G153,)),)</f>
        <v>N/A</v>
      </c>
      <c r="L153" s="288" t="str">
        <f>IFERROR(IF($B153="N/A","N/A",IF(MOD(COLUMNS($H$151:L$151)-1,$E153)=0,$F153*$D153*$G153,)),)</f>
        <v>N/A</v>
      </c>
      <c r="M153" s="288" t="str">
        <f>IFERROR(IF($B153="N/A","N/A",IF(MOD(COLUMNS($H$151:M$151)-1,$E153)=0,$F153*$D153*$G153,)),)</f>
        <v>N/A</v>
      </c>
      <c r="N153" s="288" t="str">
        <f>IFERROR(IF($B153="N/A","N/A",IF(MOD(COLUMNS($H$151:N$151)-1,$E153)=0,$F153*$D153*$G153,)),)</f>
        <v>N/A</v>
      </c>
      <c r="O153" s="288" t="str">
        <f>IFERROR(IF($B153="N/A","N/A",IF(MOD(COLUMNS($H$151:O$151)-1,$E153)=0,$F153*$D153*$G153,)),)</f>
        <v>N/A</v>
      </c>
      <c r="P153" s="288" t="str">
        <f>IFERROR(IF($B153="N/A","N/A",IF(MOD(COLUMNS($H$151:P$151)-1,$E153)=0,$F153*$D153*$G153,)),)</f>
        <v>N/A</v>
      </c>
      <c r="Q153" s="288" t="str">
        <f>IFERROR(IF($B153="N/A","N/A",IF(MOD(COLUMNS($H$151:Q$151)-1,$E153)=0,$F153*$D153*$G153,)),)</f>
        <v>N/A</v>
      </c>
      <c r="R153" s="288" t="str">
        <f>IFERROR(IF($B153="N/A","N/A",IF(MOD(COLUMNS($H$151:R$151)-1,$E153)=0,$F153*$D153*$G153,)),)</f>
        <v>N/A</v>
      </c>
      <c r="S153" s="288" t="str">
        <f>IFERROR(IF($B153="N/A","N/A",IF(MOD(COLUMNS($H$151:S$151)-1,$E153)=0,$F153*$D153*$G153,)),)</f>
        <v>N/A</v>
      </c>
      <c r="T153" s="288" t="str">
        <f>IFERROR(IF($B153="N/A","N/A",IF(MOD(COLUMNS($H$151:T$151)-1,$E153)=0,$F153*$D153*$G153,)),)</f>
        <v>N/A</v>
      </c>
      <c r="U153" s="288" t="str">
        <f>IFERROR(IF($B153="N/A","N/A",IF(MOD(COLUMNS($H$151:U$151)-1,$E153)=0,$F153*$D153*$G153,)),)</f>
        <v>N/A</v>
      </c>
      <c r="V153" s="288" t="str">
        <f>IFERROR(IF($B153="N/A","N/A",IF(MOD(COLUMNS($H$151:V$151)-1,$E153)=0,$F153*$D153*$G153,)),)</f>
        <v>N/A</v>
      </c>
      <c r="W153" s="288" t="str">
        <f>IFERROR(IF($B153="N/A","N/A",IF(MOD(COLUMNS($H$151:W$151)-1,$E153)=0,$F153*$D153*$G153,)),)</f>
        <v>N/A</v>
      </c>
    </row>
    <row r="154" spans="2:23">
      <c r="B154" s="70" t="str">
        <f t="array" ref="B154">IF(COUNTIFS(INDEX(Equipment_Allocation_New,0,MATCH($C$107,Unit_codes,0)),"&gt;0")&lt;ROWS('2.2-Equipment input'!$X$8:$X10),"N/A",INDEX('2.2-Equipment input'!B:B,SMALL(IF(INDEX(Equipment_Allocation_New,0,MATCH($C$107,Unit_codes,0))&gt;0,ROW(equipment_ID)),ROW('2.2-Equipment input'!B3))))</f>
        <v>N/A</v>
      </c>
      <c r="C154" s="70" t="str">
        <f>IF($B154="N/A","N/A",INDEX(Equipment_name[],MATCH(B154,equipment_ID,0)))</f>
        <v>N/A</v>
      </c>
      <c r="D154" s="288" t="str">
        <f t="shared" si="19"/>
        <v>N/A</v>
      </c>
      <c r="E154" s="88" t="str">
        <f t="shared" si="20"/>
        <v>N/A</v>
      </c>
      <c r="F154" s="88" t="str">
        <f t="shared" si="21"/>
        <v>N/A</v>
      </c>
      <c r="G154" s="86" t="str">
        <f t="shared" si="22"/>
        <v>N/A</v>
      </c>
      <c r="H154" s="288" t="str">
        <f>IFERROR(IF($B154="N/A","N/A",IF(MOD(COLUMNS(H$151:$H$151)-1,$E154)=0,$F154*$D154*$G154,)),)</f>
        <v>N/A</v>
      </c>
      <c r="I154" s="288" t="str">
        <f>IFERROR(IF($B154="N/A","N/A",IF(MOD(COLUMNS($H$151:I$151)-1,$E154)=0,$F154*$D154*$G154,)),)</f>
        <v>N/A</v>
      </c>
      <c r="J154" s="288" t="str">
        <f>IFERROR(IF($B154="N/A","N/A",IF(MOD(COLUMNS($H$151:J$151)-1,$E154)=0,$F154*$D154*$G154,)),)</f>
        <v>N/A</v>
      </c>
      <c r="K154" s="288" t="str">
        <f>IFERROR(IF($B154="N/A","N/A",IF(MOD(COLUMNS($H$151:K$151)-1,$E154)=0,$F154*$D154*$G154,)),)</f>
        <v>N/A</v>
      </c>
      <c r="L154" s="288" t="str">
        <f>IFERROR(IF($B154="N/A","N/A",IF(MOD(COLUMNS($H$151:L$151)-1,$E154)=0,$F154*$D154*$G154,)),)</f>
        <v>N/A</v>
      </c>
      <c r="M154" s="288" t="str">
        <f>IFERROR(IF($B154="N/A","N/A",IF(MOD(COLUMNS($H$151:M$151)-1,$E154)=0,$F154*$D154*$G154,)),)</f>
        <v>N/A</v>
      </c>
      <c r="N154" s="288" t="str">
        <f>IFERROR(IF($B154="N/A","N/A",IF(MOD(COLUMNS($H$151:N$151)-1,$E154)=0,$F154*$D154*$G154,)),)</f>
        <v>N/A</v>
      </c>
      <c r="O154" s="288" t="str">
        <f>IFERROR(IF($B154="N/A","N/A",IF(MOD(COLUMNS($H$151:O$151)-1,$E154)=0,$F154*$D154*$G154,)),)</f>
        <v>N/A</v>
      </c>
      <c r="P154" s="288" t="str">
        <f>IFERROR(IF($B154="N/A","N/A",IF(MOD(COLUMNS($H$151:P$151)-1,$E154)=0,$F154*$D154*$G154,)),)</f>
        <v>N/A</v>
      </c>
      <c r="Q154" s="288" t="str">
        <f>IFERROR(IF($B154="N/A","N/A",IF(MOD(COLUMNS($H$151:Q$151)-1,$E154)=0,$F154*$D154*$G154,)),)</f>
        <v>N/A</v>
      </c>
      <c r="R154" s="288" t="str">
        <f>IFERROR(IF($B154="N/A","N/A",IF(MOD(COLUMNS($H$151:R$151)-1,$E154)=0,$F154*$D154*$G154,)),)</f>
        <v>N/A</v>
      </c>
      <c r="S154" s="288" t="str">
        <f>IFERROR(IF($B154="N/A","N/A",IF(MOD(COLUMNS($H$151:S$151)-1,$E154)=0,$F154*$D154*$G154,)),)</f>
        <v>N/A</v>
      </c>
      <c r="T154" s="288" t="str">
        <f>IFERROR(IF($B154="N/A","N/A",IF(MOD(COLUMNS($H$151:T$151)-1,$E154)=0,$F154*$D154*$G154,)),)</f>
        <v>N/A</v>
      </c>
      <c r="U154" s="288" t="str">
        <f>IFERROR(IF($B154="N/A","N/A",IF(MOD(COLUMNS($H$151:U$151)-1,$E154)=0,$F154*$D154*$G154,)),)</f>
        <v>N/A</v>
      </c>
      <c r="V154" s="288" t="str">
        <f>IFERROR(IF($B154="N/A","N/A",IF(MOD(COLUMNS($H$151:V$151)-1,$E154)=0,$F154*$D154*$G154,)),)</f>
        <v>N/A</v>
      </c>
      <c r="W154" s="288" t="str">
        <f>IFERROR(IF($B154="N/A","N/A",IF(MOD(COLUMNS($H$151:W$151)-1,$E154)=0,$F154*$D154*$G154,)),)</f>
        <v>N/A</v>
      </c>
    </row>
    <row r="155" spans="2:23">
      <c r="B155" s="70" t="str">
        <f t="array" ref="B155">IF(COUNTIFS(INDEX(Equipment_Allocation_New,0,MATCH($C$107,Unit_codes,0)),"&gt;0")&lt;ROWS('2.2-Equipment input'!$X$8:$X11),"N/A",INDEX('2.2-Equipment input'!B:B,SMALL(IF(INDEX(Equipment_Allocation_New,0,MATCH($C$107,Unit_codes,0))&gt;0,ROW(equipment_ID)),ROW('2.2-Equipment input'!B4))))</f>
        <v>N/A</v>
      </c>
      <c r="C155" s="70" t="str">
        <f>IF($B155="N/A","N/A",INDEX(Equipment_name[],MATCH(B155,equipment_ID,0)))</f>
        <v>N/A</v>
      </c>
      <c r="D155" s="288" t="str">
        <f t="shared" si="19"/>
        <v>N/A</v>
      </c>
      <c r="E155" s="88" t="str">
        <f t="shared" si="20"/>
        <v>N/A</v>
      </c>
      <c r="F155" s="88" t="str">
        <f t="shared" si="21"/>
        <v>N/A</v>
      </c>
      <c r="G155" s="86" t="str">
        <f t="shared" si="22"/>
        <v>N/A</v>
      </c>
      <c r="H155" s="288" t="str">
        <f>IFERROR(IF($B155="N/A","N/A",IF(MOD(COLUMNS(H$151:$H$151)-1,$E155)=0,$F155*$D155*$G155,)),)</f>
        <v>N/A</v>
      </c>
      <c r="I155" s="288" t="str">
        <f>IFERROR(IF($B155="N/A","N/A",IF(MOD(COLUMNS($H$151:I$151)-1,$E155)=0,$F155*$D155*$G155,)),)</f>
        <v>N/A</v>
      </c>
      <c r="J155" s="288" t="str">
        <f>IFERROR(IF($B155="N/A","N/A",IF(MOD(COLUMNS($H$151:J$151)-1,$E155)=0,$F155*$D155*$G155,)),)</f>
        <v>N/A</v>
      </c>
      <c r="K155" s="288" t="str">
        <f>IFERROR(IF($B155="N/A","N/A",IF(MOD(COLUMNS($H$151:K$151)-1,$E155)=0,$F155*$D155*$G155,)),)</f>
        <v>N/A</v>
      </c>
      <c r="L155" s="288" t="str">
        <f>IFERROR(IF($B155="N/A","N/A",IF(MOD(COLUMNS($H$151:L$151)-1,$E155)=0,$F155*$D155*$G155,)),)</f>
        <v>N/A</v>
      </c>
      <c r="M155" s="288" t="str">
        <f>IFERROR(IF($B155="N/A","N/A",IF(MOD(COLUMNS($H$151:M$151)-1,$E155)=0,$F155*$D155*$G155,)),)</f>
        <v>N/A</v>
      </c>
      <c r="N155" s="288" t="str">
        <f>IFERROR(IF($B155="N/A","N/A",IF(MOD(COLUMNS($H$151:N$151)-1,$E155)=0,$F155*$D155*$G155,)),)</f>
        <v>N/A</v>
      </c>
      <c r="O155" s="288" t="str">
        <f>IFERROR(IF($B155="N/A","N/A",IF(MOD(COLUMNS($H$151:O$151)-1,$E155)=0,$F155*$D155*$G155,)),)</f>
        <v>N/A</v>
      </c>
      <c r="P155" s="288" t="str">
        <f>IFERROR(IF($B155="N/A","N/A",IF(MOD(COLUMNS($H$151:P$151)-1,$E155)=0,$F155*$D155*$G155,)),)</f>
        <v>N/A</v>
      </c>
      <c r="Q155" s="288" t="str">
        <f>IFERROR(IF($B155="N/A","N/A",IF(MOD(COLUMNS($H$151:Q$151)-1,$E155)=0,$F155*$D155*$G155,)),)</f>
        <v>N/A</v>
      </c>
      <c r="R155" s="288" t="str">
        <f>IFERROR(IF($B155="N/A","N/A",IF(MOD(COLUMNS($H$151:R$151)-1,$E155)=0,$F155*$D155*$G155,)),)</f>
        <v>N/A</v>
      </c>
      <c r="S155" s="288" t="str">
        <f>IFERROR(IF($B155="N/A","N/A",IF(MOD(COLUMNS($H$151:S$151)-1,$E155)=0,$F155*$D155*$G155,)),)</f>
        <v>N/A</v>
      </c>
      <c r="T155" s="288" t="str">
        <f>IFERROR(IF($B155="N/A","N/A",IF(MOD(COLUMNS($H$151:T$151)-1,$E155)=0,$F155*$D155*$G155,)),)</f>
        <v>N/A</v>
      </c>
      <c r="U155" s="288" t="str">
        <f>IFERROR(IF($B155="N/A","N/A",IF(MOD(COLUMNS($H$151:U$151)-1,$E155)=0,$F155*$D155*$G155,)),)</f>
        <v>N/A</v>
      </c>
      <c r="V155" s="288" t="str">
        <f>IFERROR(IF($B155="N/A","N/A",IF(MOD(COLUMNS($H$151:V$151)-1,$E155)=0,$F155*$D155*$G155,)),)</f>
        <v>N/A</v>
      </c>
      <c r="W155" s="288" t="str">
        <f>IFERROR(IF($B155="N/A","N/A",IF(MOD(COLUMNS($H$151:W$151)-1,$E155)=0,$F155*$D155*$G155,)),)</f>
        <v>N/A</v>
      </c>
    </row>
    <row r="156" spans="2:23">
      <c r="B156" s="70" t="str">
        <f t="array" ref="B156">IF(COUNTIFS(INDEX(Equipment_Allocation_New,0,MATCH($C$107,Unit_codes,0)),"&gt;0")&lt;ROWS('2.2-Equipment input'!$X$8:$X12),"N/A",INDEX('2.2-Equipment input'!B:B,SMALL(IF(INDEX(Equipment_Allocation_New,0,MATCH($C$107,Unit_codes,0))&gt;0,ROW(equipment_ID)),ROW('2.2-Equipment input'!B5))))</f>
        <v>N/A</v>
      </c>
      <c r="C156" s="70" t="str">
        <f>IF($B156="N/A","N/A",INDEX(Equipment_name[],MATCH(B156,equipment_ID,0)))</f>
        <v>N/A</v>
      </c>
      <c r="D156" s="288" t="str">
        <f t="shared" si="19"/>
        <v>N/A</v>
      </c>
      <c r="E156" s="88" t="str">
        <f t="shared" si="20"/>
        <v>N/A</v>
      </c>
      <c r="F156" s="88" t="str">
        <f t="shared" si="21"/>
        <v>N/A</v>
      </c>
      <c r="G156" s="86" t="str">
        <f t="shared" si="22"/>
        <v>N/A</v>
      </c>
      <c r="H156" s="288" t="str">
        <f>IFERROR(IF($B156="N/A","N/A",IF(MOD(COLUMNS(H$151:$H$151)-1,$E156)=0,$F156*$D156*$G156,)),)</f>
        <v>N/A</v>
      </c>
      <c r="I156" s="288" t="str">
        <f>IFERROR(IF($B156="N/A","N/A",IF(MOD(COLUMNS($H$151:I$151)-1,$E156)=0,$F156*$D156*$G156,)),)</f>
        <v>N/A</v>
      </c>
      <c r="J156" s="288" t="str">
        <f>IFERROR(IF($B156="N/A","N/A",IF(MOD(COLUMNS($H$151:J$151)-1,$E156)=0,$F156*$D156*$G156,)),)</f>
        <v>N/A</v>
      </c>
      <c r="K156" s="288" t="str">
        <f>IFERROR(IF($B156="N/A","N/A",IF(MOD(COLUMNS($H$151:K$151)-1,$E156)=0,$F156*$D156*$G156,)),)</f>
        <v>N/A</v>
      </c>
      <c r="L156" s="288" t="str">
        <f>IFERROR(IF($B156="N/A","N/A",IF(MOD(COLUMNS($H$151:L$151)-1,$E156)=0,$F156*$D156*$G156,)),)</f>
        <v>N/A</v>
      </c>
      <c r="M156" s="288" t="str">
        <f>IFERROR(IF($B156="N/A","N/A",IF(MOD(COLUMNS($H$151:M$151)-1,$E156)=0,$F156*$D156*$G156,)),)</f>
        <v>N/A</v>
      </c>
      <c r="N156" s="288" t="str">
        <f>IFERROR(IF($B156="N/A","N/A",IF(MOD(COLUMNS($H$151:N$151)-1,$E156)=0,$F156*$D156*$G156,)),)</f>
        <v>N/A</v>
      </c>
      <c r="O156" s="288" t="str">
        <f>IFERROR(IF($B156="N/A","N/A",IF(MOD(COLUMNS($H$151:O$151)-1,$E156)=0,$F156*$D156*$G156,)),)</f>
        <v>N/A</v>
      </c>
      <c r="P156" s="288" t="str">
        <f>IFERROR(IF($B156="N/A","N/A",IF(MOD(COLUMNS($H$151:P$151)-1,$E156)=0,$F156*$D156*$G156,)),)</f>
        <v>N/A</v>
      </c>
      <c r="Q156" s="288" t="str">
        <f>IFERROR(IF($B156="N/A","N/A",IF(MOD(COLUMNS($H$151:Q$151)-1,$E156)=0,$F156*$D156*$G156,)),)</f>
        <v>N/A</v>
      </c>
      <c r="R156" s="288" t="str">
        <f>IFERROR(IF($B156="N/A","N/A",IF(MOD(COLUMNS($H$151:R$151)-1,$E156)=0,$F156*$D156*$G156,)),)</f>
        <v>N/A</v>
      </c>
      <c r="S156" s="288" t="str">
        <f>IFERROR(IF($B156="N/A","N/A",IF(MOD(COLUMNS($H$151:S$151)-1,$E156)=0,$F156*$D156*$G156,)),)</f>
        <v>N/A</v>
      </c>
      <c r="T156" s="288" t="str">
        <f>IFERROR(IF($B156="N/A","N/A",IF(MOD(COLUMNS($H$151:T$151)-1,$E156)=0,$F156*$D156*$G156,)),)</f>
        <v>N/A</v>
      </c>
      <c r="U156" s="288" t="str">
        <f>IFERROR(IF($B156="N/A","N/A",IF(MOD(COLUMNS($H$151:U$151)-1,$E156)=0,$F156*$D156*$G156,)),)</f>
        <v>N/A</v>
      </c>
      <c r="V156" s="288" t="str">
        <f>IFERROR(IF($B156="N/A","N/A",IF(MOD(COLUMNS($H$151:V$151)-1,$E156)=0,$F156*$D156*$G156,)),)</f>
        <v>N/A</v>
      </c>
      <c r="W156" s="288" t="str">
        <f>IFERROR(IF($B156="N/A","N/A",IF(MOD(COLUMNS($H$151:W$151)-1,$E156)=0,$F156*$D156*$G156,)),)</f>
        <v>N/A</v>
      </c>
    </row>
    <row r="157" spans="2:23">
      <c r="B157" s="70" t="str">
        <f t="array" ref="B157">IF(COUNTIFS(INDEX(Equipment_Allocation_New,0,MATCH($C$107,Unit_codes,0)),"&gt;0")&lt;ROWS('2.2-Equipment input'!$X$8:$X13),"N/A",INDEX('2.2-Equipment input'!B:B,SMALL(IF(INDEX(Equipment_Allocation_New,0,MATCH($C$107,Unit_codes,0))&gt;0,ROW(equipment_ID)),ROW('2.2-Equipment input'!B6))))</f>
        <v>N/A</v>
      </c>
      <c r="C157" s="70" t="str">
        <f>IF($B157="N/A","N/A",INDEX(Equipment_name[],MATCH(B157,equipment_ID,0)))</f>
        <v>N/A</v>
      </c>
      <c r="D157" s="288" t="str">
        <f t="shared" si="19"/>
        <v>N/A</v>
      </c>
      <c r="E157" s="88" t="str">
        <f t="shared" si="20"/>
        <v>N/A</v>
      </c>
      <c r="F157" s="88" t="str">
        <f t="shared" si="21"/>
        <v>N/A</v>
      </c>
      <c r="G157" s="86" t="str">
        <f t="shared" si="22"/>
        <v>N/A</v>
      </c>
      <c r="H157" s="288" t="str">
        <f>IFERROR(IF($B157="N/A","N/A",IF(MOD(COLUMNS(H$151:$H$151)-1,$E157)=0,$F157*$D157*$G157,)),)</f>
        <v>N/A</v>
      </c>
      <c r="I157" s="288" t="str">
        <f>IFERROR(IF($B157="N/A","N/A",IF(MOD(COLUMNS($H$151:I$151)-1,$E157)=0,$F157*$D157*$G157,)),)</f>
        <v>N/A</v>
      </c>
      <c r="J157" s="288" t="str">
        <f>IFERROR(IF($B157="N/A","N/A",IF(MOD(COLUMNS($H$151:J$151)-1,$E157)=0,$F157*$D157*$G157,)),)</f>
        <v>N/A</v>
      </c>
      <c r="K157" s="288" t="str">
        <f>IFERROR(IF($B157="N/A","N/A",IF(MOD(COLUMNS($H$151:K$151)-1,$E157)=0,$F157*$D157*$G157,)),)</f>
        <v>N/A</v>
      </c>
      <c r="L157" s="288" t="str">
        <f>IFERROR(IF($B157="N/A","N/A",IF(MOD(COLUMNS($H$151:L$151)-1,$E157)=0,$F157*$D157*$G157,)),)</f>
        <v>N/A</v>
      </c>
      <c r="M157" s="288" t="str">
        <f>IFERROR(IF($B157="N/A","N/A",IF(MOD(COLUMNS($H$151:M$151)-1,$E157)=0,$F157*$D157*$G157,)),)</f>
        <v>N/A</v>
      </c>
      <c r="N157" s="288" t="str">
        <f>IFERROR(IF($B157="N/A","N/A",IF(MOD(COLUMNS($H$151:N$151)-1,$E157)=0,$F157*$D157*$G157,)),)</f>
        <v>N/A</v>
      </c>
      <c r="O157" s="288" t="str">
        <f>IFERROR(IF($B157="N/A","N/A",IF(MOD(COLUMNS($H$151:O$151)-1,$E157)=0,$F157*$D157*$G157,)),)</f>
        <v>N/A</v>
      </c>
      <c r="P157" s="288" t="str">
        <f>IFERROR(IF($B157="N/A","N/A",IF(MOD(COLUMNS($H$151:P$151)-1,$E157)=0,$F157*$D157*$G157,)),)</f>
        <v>N/A</v>
      </c>
      <c r="Q157" s="288" t="str">
        <f>IFERROR(IF($B157="N/A","N/A",IF(MOD(COLUMNS($H$151:Q$151)-1,$E157)=0,$F157*$D157*$G157,)),)</f>
        <v>N/A</v>
      </c>
      <c r="R157" s="288" t="str">
        <f>IFERROR(IF($B157="N/A","N/A",IF(MOD(COLUMNS($H$151:R$151)-1,$E157)=0,$F157*$D157*$G157,)),)</f>
        <v>N/A</v>
      </c>
      <c r="S157" s="288" t="str">
        <f>IFERROR(IF($B157="N/A","N/A",IF(MOD(COLUMNS($H$151:S$151)-1,$E157)=0,$F157*$D157*$G157,)),)</f>
        <v>N/A</v>
      </c>
      <c r="T157" s="288" t="str">
        <f>IFERROR(IF($B157="N/A","N/A",IF(MOD(COLUMNS($H$151:T$151)-1,$E157)=0,$F157*$D157*$G157,)),)</f>
        <v>N/A</v>
      </c>
      <c r="U157" s="288" t="str">
        <f>IFERROR(IF($B157="N/A","N/A",IF(MOD(COLUMNS($H$151:U$151)-1,$E157)=0,$F157*$D157*$G157,)),)</f>
        <v>N/A</v>
      </c>
      <c r="V157" s="288" t="str">
        <f>IFERROR(IF($B157="N/A","N/A",IF(MOD(COLUMNS($H$151:V$151)-1,$E157)=0,$F157*$D157*$G157,)),)</f>
        <v>N/A</v>
      </c>
      <c r="W157" s="288" t="str">
        <f>IFERROR(IF($B157="N/A","N/A",IF(MOD(COLUMNS($H$151:W$151)-1,$E157)=0,$F157*$D157*$G157,)),)</f>
        <v>N/A</v>
      </c>
    </row>
    <row r="158" spans="2:23">
      <c r="B158" s="70" t="str">
        <f t="array" ref="B158">IF(COUNTIFS(INDEX(Equipment_Allocation_New,0,MATCH($C$107,Unit_codes,0)),"&gt;0")&lt;ROWS('2.2-Equipment input'!$X$8:$X14),"N/A",INDEX('2.2-Equipment input'!B:B,SMALL(IF(INDEX(Equipment_Allocation_New,0,MATCH($C$107,Unit_codes,0))&gt;0,ROW(equipment_ID)),ROW('2.2-Equipment input'!B7))))</f>
        <v>N/A</v>
      </c>
      <c r="C158" s="70" t="str">
        <f>IF($B158="N/A","N/A",INDEX(Equipment_name[],MATCH(B158,equipment_ID,0)))</f>
        <v>N/A</v>
      </c>
      <c r="D158" s="288" t="str">
        <f t="shared" si="19"/>
        <v>N/A</v>
      </c>
      <c r="E158" s="88" t="str">
        <f t="shared" si="20"/>
        <v>N/A</v>
      </c>
      <c r="F158" s="88" t="str">
        <f t="shared" si="21"/>
        <v>N/A</v>
      </c>
      <c r="G158" s="86" t="str">
        <f t="shared" si="22"/>
        <v>N/A</v>
      </c>
      <c r="H158" s="288" t="str">
        <f>IFERROR(IF($B158="N/A","N/A",IF(MOD(COLUMNS(H$151:$H$151)-1,$E158)=0,$F158*$D158*$G158,)),)</f>
        <v>N/A</v>
      </c>
      <c r="I158" s="288" t="str">
        <f>IFERROR(IF($B158="N/A","N/A",IF(MOD(COLUMNS($H$151:I$151)-1,$E158)=0,$F158*$D158*$G158,)),)</f>
        <v>N/A</v>
      </c>
      <c r="J158" s="288" t="str">
        <f>IFERROR(IF($B158="N/A","N/A",IF(MOD(COLUMNS($H$151:J$151)-1,$E158)=0,$F158*$D158*$G158,)),)</f>
        <v>N/A</v>
      </c>
      <c r="K158" s="288" t="str">
        <f>IFERROR(IF($B158="N/A","N/A",IF(MOD(COLUMNS($H$151:K$151)-1,$E158)=0,$F158*$D158*$G158,)),)</f>
        <v>N/A</v>
      </c>
      <c r="L158" s="288" t="str">
        <f>IFERROR(IF($B158="N/A","N/A",IF(MOD(COLUMNS($H$151:L$151)-1,$E158)=0,$F158*$D158*$G158,)),)</f>
        <v>N/A</v>
      </c>
      <c r="M158" s="288" t="str">
        <f>IFERROR(IF($B158="N/A","N/A",IF(MOD(COLUMNS($H$151:M$151)-1,$E158)=0,$F158*$D158*$G158,)),)</f>
        <v>N/A</v>
      </c>
      <c r="N158" s="288" t="str">
        <f>IFERROR(IF($B158="N/A","N/A",IF(MOD(COLUMNS($H$151:N$151)-1,$E158)=0,$F158*$D158*$G158,)),)</f>
        <v>N/A</v>
      </c>
      <c r="O158" s="288" t="str">
        <f>IFERROR(IF($B158="N/A","N/A",IF(MOD(COLUMNS($H$151:O$151)-1,$E158)=0,$F158*$D158*$G158,)),)</f>
        <v>N/A</v>
      </c>
      <c r="P158" s="288" t="str">
        <f>IFERROR(IF($B158="N/A","N/A",IF(MOD(COLUMNS($H$151:P$151)-1,$E158)=0,$F158*$D158*$G158,)),)</f>
        <v>N/A</v>
      </c>
      <c r="Q158" s="288" t="str">
        <f>IFERROR(IF($B158="N/A","N/A",IF(MOD(COLUMNS($H$151:Q$151)-1,$E158)=0,$F158*$D158*$G158,)),)</f>
        <v>N/A</v>
      </c>
      <c r="R158" s="288" t="str">
        <f>IFERROR(IF($B158="N/A","N/A",IF(MOD(COLUMNS($H$151:R$151)-1,$E158)=0,$F158*$D158*$G158,)),)</f>
        <v>N/A</v>
      </c>
      <c r="S158" s="288" t="str">
        <f>IFERROR(IF($B158="N/A","N/A",IF(MOD(COLUMNS($H$151:S$151)-1,$E158)=0,$F158*$D158*$G158,)),)</f>
        <v>N/A</v>
      </c>
      <c r="T158" s="288" t="str">
        <f>IFERROR(IF($B158="N/A","N/A",IF(MOD(COLUMNS($H$151:T$151)-1,$E158)=0,$F158*$D158*$G158,)),)</f>
        <v>N/A</v>
      </c>
      <c r="U158" s="288" t="str">
        <f>IFERROR(IF($B158="N/A","N/A",IF(MOD(COLUMNS($H$151:U$151)-1,$E158)=0,$F158*$D158*$G158,)),)</f>
        <v>N/A</v>
      </c>
      <c r="V158" s="288" t="str">
        <f>IFERROR(IF($B158="N/A","N/A",IF(MOD(COLUMNS($H$151:V$151)-1,$E158)=0,$F158*$D158*$G158,)),)</f>
        <v>N/A</v>
      </c>
      <c r="W158" s="288" t="str">
        <f>IFERROR(IF($B158="N/A","N/A",IF(MOD(COLUMNS($H$151:W$151)-1,$E158)=0,$F158*$D158*$G158,)),)</f>
        <v>N/A</v>
      </c>
    </row>
    <row r="159" spans="2:23">
      <c r="B159" s="70" t="str">
        <f t="array" ref="B159">IF(COUNTIFS(INDEX(Equipment_Allocation_New,0,MATCH($C$107,Unit_codes,0)),"&gt;0")&lt;ROWS('2.2-Equipment input'!$X$8:$X15),"N/A",INDEX('2.2-Equipment input'!B:B,SMALL(IF(INDEX(Equipment_Allocation_New,0,MATCH($C$107,Unit_codes,0))&gt;0,ROW(equipment_ID)),ROW('2.2-Equipment input'!B8))))</f>
        <v>N/A</v>
      </c>
      <c r="C159" s="70" t="str">
        <f>IF($B159="N/A","N/A",INDEX(Equipment_name[],MATCH(B159,equipment_ID,0)))</f>
        <v>N/A</v>
      </c>
      <c r="D159" s="288" t="str">
        <f t="shared" si="19"/>
        <v>N/A</v>
      </c>
      <c r="E159" s="88" t="str">
        <f t="shared" si="20"/>
        <v>N/A</v>
      </c>
      <c r="F159" s="88" t="str">
        <f t="shared" si="21"/>
        <v>N/A</v>
      </c>
      <c r="G159" s="86" t="str">
        <f t="shared" si="22"/>
        <v>N/A</v>
      </c>
      <c r="H159" s="288" t="str">
        <f>IFERROR(IF($B159="N/A","N/A",IF(MOD(COLUMNS(H$151:$H$151)-1,$E159)=0,$F159*$D159*$G159,)),)</f>
        <v>N/A</v>
      </c>
      <c r="I159" s="288" t="str">
        <f>IFERROR(IF($B159="N/A","N/A",IF(MOD(COLUMNS($H$151:I$151)-1,$E159)=0,$F159*$D159*$G159,)),)</f>
        <v>N/A</v>
      </c>
      <c r="J159" s="288" t="str">
        <f>IFERROR(IF($B159="N/A","N/A",IF(MOD(COLUMNS($H$151:J$151)-1,$E159)=0,$F159*$D159*$G159,)),)</f>
        <v>N/A</v>
      </c>
      <c r="K159" s="288" t="str">
        <f>IFERROR(IF($B159="N/A","N/A",IF(MOD(COLUMNS($H$151:K$151)-1,$E159)=0,$F159*$D159*$G159,)),)</f>
        <v>N/A</v>
      </c>
      <c r="L159" s="288" t="str">
        <f>IFERROR(IF($B159="N/A","N/A",IF(MOD(COLUMNS($H$151:L$151)-1,$E159)=0,$F159*$D159*$G159,)),)</f>
        <v>N/A</v>
      </c>
      <c r="M159" s="288" t="str">
        <f>IFERROR(IF($B159="N/A","N/A",IF(MOD(COLUMNS($H$151:M$151)-1,$E159)=0,$F159*$D159*$G159,)),)</f>
        <v>N/A</v>
      </c>
      <c r="N159" s="288" t="str">
        <f>IFERROR(IF($B159="N/A","N/A",IF(MOD(COLUMNS($H$151:N$151)-1,$E159)=0,$F159*$D159*$G159,)),)</f>
        <v>N/A</v>
      </c>
      <c r="O159" s="288" t="str">
        <f>IFERROR(IF($B159="N/A","N/A",IF(MOD(COLUMNS($H$151:O$151)-1,$E159)=0,$F159*$D159*$G159,)),)</f>
        <v>N/A</v>
      </c>
      <c r="P159" s="288" t="str">
        <f>IFERROR(IF($B159="N/A","N/A",IF(MOD(COLUMNS($H$151:P$151)-1,$E159)=0,$F159*$D159*$G159,)),)</f>
        <v>N/A</v>
      </c>
      <c r="Q159" s="288" t="str">
        <f>IFERROR(IF($B159="N/A","N/A",IF(MOD(COLUMNS($H$151:Q$151)-1,$E159)=0,$F159*$D159*$G159,)),)</f>
        <v>N/A</v>
      </c>
      <c r="R159" s="288" t="str">
        <f>IFERROR(IF($B159="N/A","N/A",IF(MOD(COLUMNS($H$151:R$151)-1,$E159)=0,$F159*$D159*$G159,)),)</f>
        <v>N/A</v>
      </c>
      <c r="S159" s="288" t="str">
        <f>IFERROR(IF($B159="N/A","N/A",IF(MOD(COLUMNS($H$151:S$151)-1,$E159)=0,$F159*$D159*$G159,)),)</f>
        <v>N/A</v>
      </c>
      <c r="T159" s="288" t="str">
        <f>IFERROR(IF($B159="N/A","N/A",IF(MOD(COLUMNS($H$151:T$151)-1,$E159)=0,$F159*$D159*$G159,)),)</f>
        <v>N/A</v>
      </c>
      <c r="U159" s="288" t="str">
        <f>IFERROR(IF($B159="N/A","N/A",IF(MOD(COLUMNS($H$151:U$151)-1,$E159)=0,$F159*$D159*$G159,)),)</f>
        <v>N/A</v>
      </c>
      <c r="V159" s="288" t="str">
        <f>IFERROR(IF($B159="N/A","N/A",IF(MOD(COLUMNS($H$151:V$151)-1,$E159)=0,$F159*$D159*$G159,)),)</f>
        <v>N/A</v>
      </c>
      <c r="W159" s="288" t="str">
        <f>IFERROR(IF($B159="N/A","N/A",IF(MOD(COLUMNS($H$151:W$151)-1,$E159)=0,$F159*$D159*$G159,)),)</f>
        <v>N/A</v>
      </c>
    </row>
    <row r="160" spans="2:23">
      <c r="B160" s="70" t="str">
        <f t="array" ref="B160">IF(COUNTIFS(INDEX(Equipment_Allocation_New,0,MATCH($C$107,Unit_codes,0)),"&gt;0")&lt;ROWS('2.2-Equipment input'!$X$8:$X16),"N/A",INDEX('2.2-Equipment input'!B:B,SMALL(IF(INDEX(Equipment_Allocation_New,0,MATCH($C$107,Unit_codes,0))&gt;0,ROW(equipment_ID)),ROW('2.2-Equipment input'!B9))))</f>
        <v>N/A</v>
      </c>
      <c r="C160" s="70" t="str">
        <f>IF($B160="N/A","N/A",INDEX(Equipment_name[],MATCH(B160,equipment_ID,0)))</f>
        <v>N/A</v>
      </c>
      <c r="D160" s="288" t="str">
        <f t="shared" si="19"/>
        <v>N/A</v>
      </c>
      <c r="E160" s="88" t="str">
        <f t="shared" si="20"/>
        <v>N/A</v>
      </c>
      <c r="F160" s="88" t="str">
        <f t="shared" si="21"/>
        <v>N/A</v>
      </c>
      <c r="G160" s="86" t="str">
        <f t="shared" si="22"/>
        <v>N/A</v>
      </c>
      <c r="H160" s="288" t="str">
        <f>IFERROR(IF($B160="N/A","N/A",IF(MOD(COLUMNS(H$151:$H$151)-1,$E160)=0,$F160*$D160*$G160,)),)</f>
        <v>N/A</v>
      </c>
      <c r="I160" s="288" t="str">
        <f>IFERROR(IF($B160="N/A","N/A",IF(MOD(COLUMNS($H$151:I$151)-1,$E160)=0,$F160*$D160*$G160,)),)</f>
        <v>N/A</v>
      </c>
      <c r="J160" s="288" t="str">
        <f>IFERROR(IF($B160="N/A","N/A",IF(MOD(COLUMNS($H$151:J$151)-1,$E160)=0,$F160*$D160*$G160,)),)</f>
        <v>N/A</v>
      </c>
      <c r="K160" s="288" t="str">
        <f>IFERROR(IF($B160="N/A","N/A",IF(MOD(COLUMNS($H$151:K$151)-1,$E160)=0,$F160*$D160*$G160,)),)</f>
        <v>N/A</v>
      </c>
      <c r="L160" s="288" t="str">
        <f>IFERROR(IF($B160="N/A","N/A",IF(MOD(COLUMNS($H$151:L$151)-1,$E160)=0,$F160*$D160*$G160,)),)</f>
        <v>N/A</v>
      </c>
      <c r="M160" s="288" t="str">
        <f>IFERROR(IF($B160="N/A","N/A",IF(MOD(COLUMNS($H$151:M$151)-1,$E160)=0,$F160*$D160*$G160,)),)</f>
        <v>N/A</v>
      </c>
      <c r="N160" s="288" t="str">
        <f>IFERROR(IF($B160="N/A","N/A",IF(MOD(COLUMNS($H$151:N$151)-1,$E160)=0,$F160*$D160*$G160,)),)</f>
        <v>N/A</v>
      </c>
      <c r="O160" s="288" t="str">
        <f>IFERROR(IF($B160="N/A","N/A",IF(MOD(COLUMNS($H$151:O$151)-1,$E160)=0,$F160*$D160*$G160,)),)</f>
        <v>N/A</v>
      </c>
      <c r="P160" s="288" t="str">
        <f>IFERROR(IF($B160="N/A","N/A",IF(MOD(COLUMNS($H$151:P$151)-1,$E160)=0,$F160*$D160*$G160,)),)</f>
        <v>N/A</v>
      </c>
      <c r="Q160" s="288" t="str">
        <f>IFERROR(IF($B160="N/A","N/A",IF(MOD(COLUMNS($H$151:Q$151)-1,$E160)=0,$F160*$D160*$G160,)),)</f>
        <v>N/A</v>
      </c>
      <c r="R160" s="288" t="str">
        <f>IFERROR(IF($B160="N/A","N/A",IF(MOD(COLUMNS($H$151:R$151)-1,$E160)=0,$F160*$D160*$G160,)),)</f>
        <v>N/A</v>
      </c>
      <c r="S160" s="288" t="str">
        <f>IFERROR(IF($B160="N/A","N/A",IF(MOD(COLUMNS($H$151:S$151)-1,$E160)=0,$F160*$D160*$G160,)),)</f>
        <v>N/A</v>
      </c>
      <c r="T160" s="288" t="str">
        <f>IFERROR(IF($B160="N/A","N/A",IF(MOD(COLUMNS($H$151:T$151)-1,$E160)=0,$F160*$D160*$G160,)),)</f>
        <v>N/A</v>
      </c>
      <c r="U160" s="288" t="str">
        <f>IFERROR(IF($B160="N/A","N/A",IF(MOD(COLUMNS($H$151:U$151)-1,$E160)=0,$F160*$D160*$G160,)),)</f>
        <v>N/A</v>
      </c>
      <c r="V160" s="288" t="str">
        <f>IFERROR(IF($B160="N/A","N/A",IF(MOD(COLUMNS($H$151:V$151)-1,$E160)=0,$F160*$D160*$G160,)),)</f>
        <v>N/A</v>
      </c>
      <c r="W160" s="288" t="str">
        <f>IFERROR(IF($B160="N/A","N/A",IF(MOD(COLUMNS($H$151:W$151)-1,$E160)=0,$F160*$D160*$G160,)),)</f>
        <v>N/A</v>
      </c>
    </row>
    <row r="161" spans="2:23">
      <c r="B161" s="70" t="str">
        <f t="array" ref="B161">IF(COUNTIFS(INDEX(Equipment_Allocation_New,0,MATCH($C$107,Unit_codes,0)),"&gt;0")&lt;ROWS('2.2-Equipment input'!$X$8:$X17),"N/A",INDEX('2.2-Equipment input'!B:B,SMALL(IF(INDEX(Equipment_Allocation_New,0,MATCH($C$107,Unit_codes,0))&gt;0,ROW(equipment_ID)),ROW('2.2-Equipment input'!B10))))</f>
        <v>N/A</v>
      </c>
      <c r="C161" s="70" t="str">
        <f>IF($B161="N/A","N/A",INDEX(Equipment_name[],MATCH(B161,equipment_ID,0)))</f>
        <v>N/A</v>
      </c>
      <c r="D161" s="288" t="str">
        <f t="shared" si="19"/>
        <v>N/A</v>
      </c>
      <c r="E161" s="88" t="str">
        <f t="shared" si="20"/>
        <v>N/A</v>
      </c>
      <c r="F161" s="88" t="str">
        <f t="shared" si="21"/>
        <v>N/A</v>
      </c>
      <c r="G161" s="88" t="str">
        <f t="shared" si="22"/>
        <v>N/A</v>
      </c>
      <c r="H161" s="288" t="str">
        <f>IFERROR(IF($B161="N/A","N/A",IF(MOD(COLUMNS(H$151:$H$151)-1,$E161)=0,$F161*$D161*$G161,)),)</f>
        <v>N/A</v>
      </c>
      <c r="I161" s="288" t="str">
        <f>IFERROR(IF($B161="N/A","N/A",IF(MOD(COLUMNS($H$151:I$151)-1,$E161)=0,$F161*$D161*$G161,)),)</f>
        <v>N/A</v>
      </c>
      <c r="J161" s="288" t="str">
        <f>IFERROR(IF($B161="N/A","N/A",IF(MOD(COLUMNS($H$151:J$151)-1,$E161)=0,$F161*$D161*$G161,)),)</f>
        <v>N/A</v>
      </c>
      <c r="K161" s="288" t="str">
        <f>IFERROR(IF($B161="N/A","N/A",IF(MOD(COLUMNS($H$151:K$151)-1,$E161)=0,$F161*$D161*$G161,)),)</f>
        <v>N/A</v>
      </c>
      <c r="L161" s="288" t="str">
        <f>IFERROR(IF($B161="N/A","N/A",IF(MOD(COLUMNS($H$151:L$151)-1,$E161)=0,$F161*$D161*$G161,)),)</f>
        <v>N/A</v>
      </c>
      <c r="M161" s="288" t="str">
        <f>IFERROR(IF($B161="N/A","N/A",IF(MOD(COLUMNS($H$151:M$151)-1,$E161)=0,$F161*$D161*$G161,)),)</f>
        <v>N/A</v>
      </c>
      <c r="N161" s="288" t="str">
        <f>IFERROR(IF($B161="N/A","N/A",IF(MOD(COLUMNS($H$151:N$151)-1,$E161)=0,$F161*$D161*$G161,)),)</f>
        <v>N/A</v>
      </c>
      <c r="O161" s="288" t="str">
        <f>IFERROR(IF($B161="N/A","N/A",IF(MOD(COLUMNS($H$151:O$151)-1,$E161)=0,$F161*$D161*$G161,)),)</f>
        <v>N/A</v>
      </c>
      <c r="P161" s="288" t="str">
        <f>IFERROR(IF($B161="N/A","N/A",IF(MOD(COLUMNS($H$151:P$151)-1,$E161)=0,$F161*$D161*$G161,)),)</f>
        <v>N/A</v>
      </c>
      <c r="Q161" s="288" t="str">
        <f>IFERROR(IF($B161="N/A","N/A",IF(MOD(COLUMNS($H$151:Q$151)-1,$E161)=0,$F161*$D161*$G161,)),)</f>
        <v>N/A</v>
      </c>
      <c r="R161" s="288" t="str">
        <f>IFERROR(IF($B161="N/A","N/A",IF(MOD(COLUMNS($H$151:R$151)-1,$E161)=0,$F161*$D161*$G161,)),)</f>
        <v>N/A</v>
      </c>
      <c r="S161" s="288" t="str">
        <f>IFERROR(IF($B161="N/A","N/A",IF(MOD(COLUMNS($H$151:S$151)-1,$E161)=0,$F161*$D161*$G161,)),)</f>
        <v>N/A</v>
      </c>
      <c r="T161" s="288" t="str">
        <f>IFERROR(IF($B161="N/A","N/A",IF(MOD(COLUMNS($H$151:T$151)-1,$E161)=0,$F161*$D161*$G161,)),)</f>
        <v>N/A</v>
      </c>
      <c r="U161" s="288" t="str">
        <f>IFERROR(IF($B161="N/A","N/A",IF(MOD(COLUMNS($H$151:U$151)-1,$E161)=0,$F161*$D161*$G161,)),)</f>
        <v>N/A</v>
      </c>
      <c r="V161" s="288" t="str">
        <f>IFERROR(IF($B161="N/A","N/A",IF(MOD(COLUMNS($H$151:V$151)-1,$E161)=0,$F161*$D161*$G161,)),)</f>
        <v>N/A</v>
      </c>
      <c r="W161" s="288" t="str">
        <f>IFERROR(IF($B161="N/A","N/A",IF(MOD(COLUMNS($H$151:W$151)-1,$E161)=0,$F161*$D161*$G161,)),)</f>
        <v>N/A</v>
      </c>
    </row>
    <row r="162" spans="2:23">
      <c r="B162" s="70" t="str">
        <f t="array" ref="B162">IF(COUNTIFS(INDEX(Equipment_Allocation_New,0,MATCH($C$107,Unit_codes,0)),"&gt;0")&lt;ROWS('2.2-Equipment input'!$X$8:$X18),"N/A",INDEX('2.2-Equipment input'!B:B,SMALL(IF(INDEX(Equipment_Allocation_New,0,MATCH($C$107,Unit_codes,0))&gt;0,ROW(equipment_ID)),ROW('2.2-Equipment input'!B11))))</f>
        <v>N/A</v>
      </c>
      <c r="C162" s="70" t="str">
        <f>IF($B162="N/A","N/A",INDEX(Equipment_name[],MATCH(B162,equipment_ID,0)))</f>
        <v>N/A</v>
      </c>
      <c r="D162" s="288" t="str">
        <f t="shared" si="19"/>
        <v>N/A</v>
      </c>
      <c r="E162" s="88" t="str">
        <f t="shared" si="20"/>
        <v>N/A</v>
      </c>
      <c r="F162" s="88" t="str">
        <f t="shared" si="21"/>
        <v>N/A</v>
      </c>
      <c r="G162" s="88" t="str">
        <f t="shared" si="22"/>
        <v>N/A</v>
      </c>
      <c r="H162" s="288" t="str">
        <f>IFERROR(IF($B162="N/A","N/A",IF(MOD(COLUMNS(H$151:$H$151)-1,$E162)=0,$F162*$D162*$G162,)),)</f>
        <v>N/A</v>
      </c>
      <c r="I162" s="288" t="str">
        <f>IFERROR(IF($B162="N/A","N/A",IF(MOD(COLUMNS($H$151:I$151)-1,$E162)=0,$F162*$D162*$G162,)),)</f>
        <v>N/A</v>
      </c>
      <c r="J162" s="288" t="str">
        <f>IFERROR(IF($B162="N/A","N/A",IF(MOD(COLUMNS($H$151:J$151)-1,$E162)=0,$F162*$D162*$G162,)),)</f>
        <v>N/A</v>
      </c>
      <c r="K162" s="288" t="str">
        <f>IFERROR(IF($B162="N/A","N/A",IF(MOD(COLUMNS($H$151:K$151)-1,$E162)=0,$F162*$D162*$G162,)),)</f>
        <v>N/A</v>
      </c>
      <c r="L162" s="288" t="str">
        <f>IFERROR(IF($B162="N/A","N/A",IF(MOD(COLUMNS($H$151:L$151)-1,$E162)=0,$F162*$D162*$G162,)),)</f>
        <v>N/A</v>
      </c>
      <c r="M162" s="288" t="str">
        <f>IFERROR(IF($B162="N/A","N/A",IF(MOD(COLUMNS($H$151:M$151)-1,$E162)=0,$F162*$D162*$G162,)),)</f>
        <v>N/A</v>
      </c>
      <c r="N162" s="288" t="str">
        <f>IFERROR(IF($B162="N/A","N/A",IF(MOD(COLUMNS($H$151:N$151)-1,$E162)=0,$F162*$D162*$G162,)),)</f>
        <v>N/A</v>
      </c>
      <c r="O162" s="288" t="str">
        <f>IFERROR(IF($B162="N/A","N/A",IF(MOD(COLUMNS($H$151:O$151)-1,$E162)=0,$F162*$D162*$G162,)),)</f>
        <v>N/A</v>
      </c>
      <c r="P162" s="288" t="str">
        <f>IFERROR(IF($B162="N/A","N/A",IF(MOD(COLUMNS($H$151:P$151)-1,$E162)=0,$F162*$D162*$G162,)),)</f>
        <v>N/A</v>
      </c>
      <c r="Q162" s="288" t="str">
        <f>IFERROR(IF($B162="N/A","N/A",IF(MOD(COLUMNS($H$151:Q$151)-1,$E162)=0,$F162*$D162*$G162,)),)</f>
        <v>N/A</v>
      </c>
      <c r="R162" s="288" t="str">
        <f>IFERROR(IF($B162="N/A","N/A",IF(MOD(COLUMNS($H$151:R$151)-1,$E162)=0,$F162*$D162*$G162,)),)</f>
        <v>N/A</v>
      </c>
      <c r="S162" s="288" t="str">
        <f>IFERROR(IF($B162="N/A","N/A",IF(MOD(COLUMNS($H$151:S$151)-1,$E162)=0,$F162*$D162*$G162,)),)</f>
        <v>N/A</v>
      </c>
      <c r="T162" s="288" t="str">
        <f>IFERROR(IF($B162="N/A","N/A",IF(MOD(COLUMNS($H$151:T$151)-1,$E162)=0,$F162*$D162*$G162,)),)</f>
        <v>N/A</v>
      </c>
      <c r="U162" s="288" t="str">
        <f>IFERROR(IF($B162="N/A","N/A",IF(MOD(COLUMNS($H$151:U$151)-1,$E162)=0,$F162*$D162*$G162,)),)</f>
        <v>N/A</v>
      </c>
      <c r="V162" s="288" t="str">
        <f>IFERROR(IF($B162="N/A","N/A",IF(MOD(COLUMNS($H$151:V$151)-1,$E162)=0,$F162*$D162*$G162,)),)</f>
        <v>N/A</v>
      </c>
      <c r="W162" s="288" t="str">
        <f>IFERROR(IF($B162="N/A","N/A",IF(MOD(COLUMNS($H$151:W$151)-1,$E162)=0,$F162*$D162*$G162,)),)</f>
        <v>N/A</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19"/>
        <v>N/A</v>
      </c>
      <c r="E163" s="88" t="str">
        <f t="shared" si="20"/>
        <v>N/A</v>
      </c>
      <c r="F163" s="88" t="str">
        <f t="shared" si="21"/>
        <v>N/A</v>
      </c>
      <c r="G163" s="88" t="str">
        <f t="shared" si="22"/>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19"/>
        <v>N/A</v>
      </c>
      <c r="E164" s="88" t="str">
        <f t="shared" si="20"/>
        <v>N/A</v>
      </c>
      <c r="F164" s="88" t="str">
        <f t="shared" si="21"/>
        <v>N/A</v>
      </c>
      <c r="G164" s="88" t="str">
        <f t="shared" si="22"/>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19"/>
        <v>N/A</v>
      </c>
      <c r="E165" s="88" t="str">
        <f t="shared" si="20"/>
        <v>N/A</v>
      </c>
      <c r="F165" s="88" t="str">
        <f t="shared" si="21"/>
        <v>N/A</v>
      </c>
      <c r="G165" s="88" t="str">
        <f t="shared" si="22"/>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19"/>
        <v>N/A</v>
      </c>
      <c r="E166" s="88" t="str">
        <f t="shared" si="20"/>
        <v>N/A</v>
      </c>
      <c r="F166" s="88" t="str">
        <f t="shared" si="21"/>
        <v>N/A</v>
      </c>
      <c r="G166" s="88" t="str">
        <f t="shared" si="22"/>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19"/>
        <v>N/A</v>
      </c>
      <c r="E167" s="88" t="str">
        <f t="shared" si="20"/>
        <v>N/A</v>
      </c>
      <c r="F167" s="88" t="str">
        <f t="shared" si="21"/>
        <v>N/A</v>
      </c>
      <c r="G167" s="88" t="str">
        <f t="shared" si="22"/>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19"/>
        <v>N/A</v>
      </c>
      <c r="E168" s="88" t="str">
        <f t="shared" si="20"/>
        <v>N/A</v>
      </c>
      <c r="F168" s="88" t="str">
        <f t="shared" si="21"/>
        <v>N/A</v>
      </c>
      <c r="G168" s="88" t="str">
        <f t="shared" si="22"/>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19"/>
        <v>N/A</v>
      </c>
      <c r="E169" s="88" t="str">
        <f t="shared" si="20"/>
        <v>N/A</v>
      </c>
      <c r="F169" s="88" t="str">
        <f t="shared" si="21"/>
        <v>N/A</v>
      </c>
      <c r="G169" s="88" t="str">
        <f t="shared" si="22"/>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19"/>
        <v>N/A</v>
      </c>
      <c r="E170" s="88" t="str">
        <f t="shared" si="20"/>
        <v>N/A</v>
      </c>
      <c r="F170" s="88" t="str">
        <f t="shared" si="21"/>
        <v>N/A</v>
      </c>
      <c r="G170" s="88" t="str">
        <f t="shared" si="22"/>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19"/>
        <v>N/A</v>
      </c>
      <c r="E171" s="88" t="str">
        <f t="shared" si="20"/>
        <v>N/A</v>
      </c>
      <c r="F171" s="88" t="str">
        <f t="shared" si="21"/>
        <v>N/A</v>
      </c>
      <c r="G171" s="88" t="str">
        <f t="shared" si="22"/>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88" t="str">
        <f t="shared" si="21"/>
        <v>N/A</v>
      </c>
      <c r="G172" s="88"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88" t="str">
        <f t="shared" si="21"/>
        <v>N/A</v>
      </c>
      <c r="G173" s="88"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88" t="str">
        <f t="shared" si="21"/>
        <v>N/A</v>
      </c>
      <c r="G174" s="88"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88" t="str">
        <f t="shared" si="21"/>
        <v>N/A</v>
      </c>
      <c r="G175" s="88"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88" t="str">
        <f t="shared" si="21"/>
        <v>N/A</v>
      </c>
      <c r="G176" s="88"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88" t="str">
        <f t="shared" si="21"/>
        <v>N/A</v>
      </c>
      <c r="G177" s="88"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88" t="str">
        <f t="shared" si="21"/>
        <v>N/A</v>
      </c>
      <c r="G178" s="88"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88" t="str">
        <f t="shared" si="21"/>
        <v>N/A</v>
      </c>
      <c r="G179" s="88"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88" t="str">
        <f t="shared" si="21"/>
        <v>N/A</v>
      </c>
      <c r="G180" s="88"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88" t="str">
        <f t="shared" si="21"/>
        <v>N/A</v>
      </c>
      <c r="G181" s="88"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88" t="str">
        <f t="shared" si="21"/>
        <v>N/A</v>
      </c>
      <c r="G182" s="88"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88" t="str">
        <f t="shared" si="21"/>
        <v>N/A</v>
      </c>
      <c r="G183" s="88"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88" t="str">
        <f t="shared" si="21"/>
        <v>N/A</v>
      </c>
      <c r="G184" s="88"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88" t="str">
        <f t="shared" si="21"/>
        <v>N/A</v>
      </c>
      <c r="G185" s="88"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88" t="str">
        <f t="shared" si="21"/>
        <v>N/A</v>
      </c>
      <c r="G186" s="88"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88" t="str">
        <f t="shared" si="21"/>
        <v>N/A</v>
      </c>
      <c r="G187" s="88"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88" t="str">
        <f t="shared" si="21"/>
        <v>N/A</v>
      </c>
      <c r="G188" s="88"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88" t="str">
        <f t="shared" si="21"/>
        <v>N/A</v>
      </c>
      <c r="G189" s="88"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sEFTjv4Cr458Lw1NTgSsc2n9kz5ePT0P9MUxVzCUY2MRcmuPy7w1brEMPMrDC0FUHePke1E5EpaZJS9lqgSLGQ==" saltValue="tYUW/AP2z+/W3Rj1nL+3uQ==" spinCount="100000" sheet="1" objects="1" scenarios="1" selectLockedCells="1" selectUnlockedCells="1"/>
  <mergeCells count="6">
    <mergeCell ref="C80:D80"/>
    <mergeCell ref="B43:D43"/>
    <mergeCell ref="B33:D33"/>
    <mergeCell ref="C48:D48"/>
    <mergeCell ref="C49:D49"/>
    <mergeCell ref="C79:D79"/>
  </mergeCells>
  <conditionalFormatting sqref="B110:C147">
    <cfRule type="containsText" dxfId="741" priority="127" operator="containsText" text="N/A">
      <formula>NOT(ISERROR(SEARCH("N/A",B110)))</formula>
    </cfRule>
  </conditionalFormatting>
  <conditionalFormatting sqref="E110:E147">
    <cfRule type="containsText" dxfId="740" priority="126" operator="containsText" text="N/A">
      <formula>NOT(ISERROR(SEARCH("N/A",E110)))</formula>
    </cfRule>
  </conditionalFormatting>
  <conditionalFormatting sqref="E52:E74 B52:B74">
    <cfRule type="containsText" dxfId="739" priority="125" operator="containsText" text="N/A">
      <formula>NOT(ISERROR(SEARCH("N/A",B52)))</formula>
    </cfRule>
  </conditionalFormatting>
  <conditionalFormatting sqref="C52:C74">
    <cfRule type="containsText" dxfId="738" priority="124" operator="containsText" text="N/A">
      <formula>NOT(ISERROR(SEARCH("N/A",C52)))</formula>
    </cfRule>
  </conditionalFormatting>
  <conditionalFormatting sqref="F52:F74">
    <cfRule type="containsText" dxfId="737" priority="122" operator="containsText" text="N/A">
      <formula>NOT(ISERROR(SEARCH("N/A",F52)))</formula>
    </cfRule>
  </conditionalFormatting>
  <conditionalFormatting sqref="E83:E103 B83:B103">
    <cfRule type="containsText" dxfId="736" priority="121" operator="containsText" text="N/A">
      <formula>NOT(ISERROR(SEARCH("N/A",B83)))</formula>
    </cfRule>
  </conditionalFormatting>
  <conditionalFormatting sqref="C83:C103">
    <cfRule type="containsText" dxfId="735" priority="120" operator="containsText" text="N/A">
      <formula>NOT(ISERROR(SEARCH("N/A",C83)))</formula>
    </cfRule>
  </conditionalFormatting>
  <conditionalFormatting sqref="F83:F103">
    <cfRule type="containsText" dxfId="734" priority="118" operator="containsText" text="N/A">
      <formula>NOT(ISERROR(SEARCH("N/A",F83)))</formula>
    </cfRule>
  </conditionalFormatting>
  <conditionalFormatting sqref="F110:F147">
    <cfRule type="containsText" dxfId="733" priority="112" operator="containsText" text="N/A">
      <formula>NOT(ISERROR(SEARCH("N/A",F110)))</formula>
    </cfRule>
  </conditionalFormatting>
  <conditionalFormatting sqref="B20:D31">
    <cfRule type="containsText" dxfId="732" priority="116" operator="containsText" text="N/A">
      <formula>NOT(ISERROR(SEARCH("N/A",B20)))</formula>
    </cfRule>
  </conditionalFormatting>
  <conditionalFormatting sqref="G110:G147">
    <cfRule type="containsText" dxfId="731" priority="115" operator="containsText" text="N/A">
      <formula>NOT(ISERROR(SEARCH("N/A",G110)))</formula>
    </cfRule>
  </conditionalFormatting>
  <conditionalFormatting sqref="I110:I147">
    <cfRule type="containsText" dxfId="730" priority="114" operator="containsText" text="N/A">
      <formula>NOT(ISERROR(SEARCH("N/A",I110)))</formula>
    </cfRule>
  </conditionalFormatting>
  <conditionalFormatting sqref="K110:K147">
    <cfRule type="containsText" dxfId="729" priority="113" operator="containsText" text="N/A">
      <formula>NOT(ISERROR(SEARCH("N/A",K110)))</formula>
    </cfRule>
  </conditionalFormatting>
  <conditionalFormatting sqref="B152:B189">
    <cfRule type="containsText" dxfId="728" priority="110" operator="containsText" text="N/A">
      <formula>NOT(ISERROR(SEARCH("N/A",B152)))</formula>
    </cfRule>
  </conditionalFormatting>
  <conditionalFormatting sqref="C152:C189">
    <cfRule type="containsText" dxfId="727" priority="109" operator="containsText" text="N/A">
      <formula>NOT(ISERROR(SEARCH("N/A",C152)))</formula>
    </cfRule>
  </conditionalFormatting>
  <conditionalFormatting sqref="F152:F189">
    <cfRule type="containsText" dxfId="726" priority="108" operator="containsText" text="N/A">
      <formula>NOT(ISERROR(SEARCH("N/A",F152)))</formula>
    </cfRule>
  </conditionalFormatting>
  <conditionalFormatting sqref="E152:E189">
    <cfRule type="containsText" dxfId="725" priority="106" operator="containsText" text="N/A">
      <formula>NOT(ISERROR(SEARCH("N/A",E152)))</formula>
    </cfRule>
  </conditionalFormatting>
  <conditionalFormatting sqref="H153:W189 I152:W152">
    <cfRule type="containsText" dxfId="724" priority="101" operator="containsText" text="N/A">
      <formula>NOT(ISERROR(SEARCH("N/A",H152)))</formula>
    </cfRule>
  </conditionalFormatting>
  <conditionalFormatting sqref="G152:G189">
    <cfRule type="containsText" dxfId="723" priority="98" operator="containsText" text="N/A">
      <formula>NOT(ISERROR(SEARCH("N/A",G152)))</formula>
    </cfRule>
  </conditionalFormatting>
  <conditionalFormatting sqref="E20:E31">
    <cfRule type="containsText" dxfId="722" priority="96" operator="containsText" text="N/A">
      <formula>NOT(ISERROR(SEARCH("N/A",E20)))</formula>
    </cfRule>
  </conditionalFormatting>
  <conditionalFormatting sqref="P110:P147">
    <cfRule type="containsText" dxfId="721" priority="95" operator="containsText" text="N/A">
      <formula>NOT(ISERROR(SEARCH("N/A",P110)))</formula>
    </cfRule>
  </conditionalFormatting>
  <conditionalFormatting sqref="O110:O147">
    <cfRule type="containsText" dxfId="720" priority="94" operator="containsText" text="N/A">
      <formula>NOT(ISERROR(SEARCH("N/A",O110)))</formula>
    </cfRule>
  </conditionalFormatting>
  <conditionalFormatting sqref="F39:F41">
    <cfRule type="expression" dxfId="719" priority="82">
      <formula>IF(INDIRECT("General_Currency_Selection")="CHF",TRUE)</formula>
    </cfRule>
    <cfRule type="expression" dxfId="718" priority="83">
      <formula>IF(INDIRECT("General_Currency_Selection")="EUR",TRUE)</formula>
    </cfRule>
    <cfRule type="expression" dxfId="717" priority="84">
      <formula>IF(INDIRECT("General_Currency_Selection")="USD",TRUE)</formula>
    </cfRule>
  </conditionalFormatting>
  <conditionalFormatting sqref="E39:E41">
    <cfRule type="expression" dxfId="716" priority="79">
      <formula>IF(INDIRECT("General_Currency_Selection")="CHF",TRUE)</formula>
    </cfRule>
    <cfRule type="expression" dxfId="715" priority="80">
      <formula>IF(INDIRECT("General_Currency_Selection")="EUR",TRUE)</formula>
    </cfRule>
    <cfRule type="expression" dxfId="714" priority="81">
      <formula>IF(INDIRECT("General_Currency_Selection")="USD",TRUE)</formula>
    </cfRule>
  </conditionalFormatting>
  <conditionalFormatting sqref="E43:F43">
    <cfRule type="expression" dxfId="713" priority="76">
      <formula>IF(INDIRECT("General_Currency_Selection")="CHF",TRUE)</formula>
    </cfRule>
    <cfRule type="expression" dxfId="712" priority="77">
      <formula>IF(INDIRECT("General_Currency_Selection")="EUR",TRUE)</formula>
    </cfRule>
    <cfRule type="expression" dxfId="711" priority="78">
      <formula>IF(INDIRECT("General_Currency_Selection")="USD",TRUE)</formula>
    </cfRule>
  </conditionalFormatting>
  <conditionalFormatting sqref="G35">
    <cfRule type="expression" dxfId="710" priority="73">
      <formula>IF(INDIRECT("General_Currency_Selection")="CHF",TRUE)</formula>
    </cfRule>
    <cfRule type="expression" dxfId="709" priority="74">
      <formula>IF(INDIRECT("General_Currency_Selection")="EUR",TRUE)</formula>
    </cfRule>
    <cfRule type="expression" dxfId="708" priority="75">
      <formula>IF(INDIRECT("General_Currency_Selection")="USD",TRUE)</formula>
    </cfRule>
  </conditionalFormatting>
  <conditionalFormatting sqref="G15">
    <cfRule type="expression" dxfId="707" priority="70">
      <formula>IF(INDIRECT("General_Currency_Selection")="CHF",TRUE)</formula>
    </cfRule>
    <cfRule type="expression" dxfId="706" priority="71">
      <formula>IF(INDIRECT("General_Currency_Selection")="EUR",TRUE)</formula>
    </cfRule>
    <cfRule type="expression" dxfId="705" priority="72">
      <formula>IF(INDIRECT("General_Currency_Selection")="USD",TRUE)</formula>
    </cfRule>
  </conditionalFormatting>
  <conditionalFormatting sqref="G45">
    <cfRule type="expression" dxfId="704" priority="67">
      <formula>IF(INDIRECT("General_Currency_Selection")="CHF",TRUE)</formula>
    </cfRule>
    <cfRule type="expression" dxfId="703" priority="68">
      <formula>IF(INDIRECT("General_Currency_Selection")="EUR",TRUE)</formula>
    </cfRule>
    <cfRule type="expression" dxfId="702" priority="69">
      <formula>IF(INDIRECT("General_Currency_Selection")="USD",TRUE)</formula>
    </cfRule>
  </conditionalFormatting>
  <conditionalFormatting sqref="F20:F31">
    <cfRule type="expression" dxfId="701" priority="64">
      <formula>IF(INDIRECT("General_Currency_Selection")="CHF",TRUE)</formula>
    </cfRule>
    <cfRule type="expression" dxfId="700" priority="65">
      <formula>IF(INDIRECT("General_Currency_Selection")="EUR",TRUE)</formula>
    </cfRule>
    <cfRule type="expression" dxfId="699" priority="66">
      <formula>IF(INDIRECT("General_Currency_Selection")="USD",TRUE)</formula>
    </cfRule>
  </conditionalFormatting>
  <conditionalFormatting sqref="E33">
    <cfRule type="expression" dxfId="698" priority="61">
      <formula>IF(INDIRECT("General_Currency_Selection")="CHF",TRUE)</formula>
    </cfRule>
    <cfRule type="expression" dxfId="697" priority="62">
      <formula>IF(INDIRECT("General_Currency_Selection")="EUR",TRUE)</formula>
    </cfRule>
    <cfRule type="expression" dxfId="696" priority="63">
      <formula>IF(INDIRECT("General_Currency_Selection")="USD",TRUE)</formula>
    </cfRule>
  </conditionalFormatting>
  <conditionalFormatting sqref="D52:D74">
    <cfRule type="expression" dxfId="695" priority="58">
      <formula>IF(INDIRECT("General_Currency_Selection")="CHF",TRUE)</formula>
    </cfRule>
    <cfRule type="expression" dxfId="694" priority="59">
      <formula>IF(INDIRECT("General_Currency_Selection")="EUR",TRUE)</formula>
    </cfRule>
    <cfRule type="expression" dxfId="693" priority="60">
      <formula>IF(INDIRECT("General_Currency_Selection")="USD",TRUE)</formula>
    </cfRule>
  </conditionalFormatting>
  <conditionalFormatting sqref="G52:G74">
    <cfRule type="expression" dxfId="692" priority="55">
      <formula>IF(INDIRECT("General_Currency_Selection")="CHF",TRUE)</formula>
    </cfRule>
    <cfRule type="expression" dxfId="691" priority="56">
      <formula>IF(INDIRECT("General_Currency_Selection")="EUR",TRUE)</formula>
    </cfRule>
    <cfRule type="expression" dxfId="690" priority="57">
      <formula>IF(INDIRECT("General_Currency_Selection")="USD",TRUE)</formula>
    </cfRule>
  </conditionalFormatting>
  <conditionalFormatting sqref="G76">
    <cfRule type="expression" dxfId="689" priority="52">
      <formula>IF(INDIRECT("General_Currency_Selection")="CHF",TRUE)</formula>
    </cfRule>
    <cfRule type="expression" dxfId="688" priority="53">
      <formula>IF(INDIRECT("General_Currency_Selection")="EUR",TRUE)</formula>
    </cfRule>
    <cfRule type="expression" dxfId="687" priority="54">
      <formula>IF(INDIRECT("General_Currency_Selection")="USD",TRUE)</formula>
    </cfRule>
  </conditionalFormatting>
  <conditionalFormatting sqref="D83:D103">
    <cfRule type="expression" dxfId="686" priority="49">
      <formula>IF(INDIRECT("General_Currency_Selection")="CHF",TRUE)</formula>
    </cfRule>
    <cfRule type="expression" dxfId="685" priority="50">
      <formula>IF(INDIRECT("General_Currency_Selection")="EUR",TRUE)</formula>
    </cfRule>
    <cfRule type="expression" dxfId="684" priority="51">
      <formula>IF(INDIRECT("General_Currency_Selection")="USD",TRUE)</formula>
    </cfRule>
  </conditionalFormatting>
  <conditionalFormatting sqref="G83:G103">
    <cfRule type="expression" dxfId="683" priority="46">
      <formula>IF(INDIRECT("General_Currency_Selection")="CHF",TRUE)</formula>
    </cfRule>
    <cfRule type="expression" dxfId="682" priority="47">
      <formula>IF(INDIRECT("General_Currency_Selection")="EUR",TRUE)</formula>
    </cfRule>
    <cfRule type="expression" dxfId="681" priority="48">
      <formula>IF(INDIRECT("General_Currency_Selection")="USD",TRUE)</formula>
    </cfRule>
  </conditionalFormatting>
  <conditionalFormatting sqref="G105">
    <cfRule type="expression" dxfId="680" priority="43">
      <formula>IF(INDIRECT("General_Currency_Selection")="CHF",TRUE)</formula>
    </cfRule>
    <cfRule type="expression" dxfId="679" priority="44">
      <formula>IF(INDIRECT("General_Currency_Selection")="EUR",TRUE)</formula>
    </cfRule>
    <cfRule type="expression" dxfId="678" priority="45">
      <formula>IF(INDIRECT("General_Currency_Selection")="USD",TRUE)</formula>
    </cfRule>
  </conditionalFormatting>
  <conditionalFormatting sqref="D110:D147">
    <cfRule type="expression" dxfId="677" priority="40">
      <formula>IF(INDIRECT("General_Currency_Selection")="CHF",TRUE)</formula>
    </cfRule>
    <cfRule type="expression" dxfId="676" priority="41">
      <formula>IF(INDIRECT("General_Currency_Selection")="EUR",TRUE)</formula>
    </cfRule>
    <cfRule type="expression" dxfId="675" priority="42">
      <formula>IF(INDIRECT("General_Currency_Selection")="USD",TRUE)</formula>
    </cfRule>
  </conditionalFormatting>
  <conditionalFormatting sqref="N110:N147">
    <cfRule type="expression" dxfId="674" priority="37">
      <formula>IF(INDIRECT("General_Currency_Selection")="CHF",TRUE)</formula>
    </cfRule>
    <cfRule type="expression" dxfId="673" priority="38">
      <formula>IF(INDIRECT("General_Currency_Selection")="EUR",TRUE)</formula>
    </cfRule>
    <cfRule type="expression" dxfId="672" priority="39">
      <formula>IF(INDIRECT("General_Currency_Selection")="USD",TRUE)</formula>
    </cfRule>
  </conditionalFormatting>
  <conditionalFormatting sqref="D152:D189">
    <cfRule type="expression" dxfId="671" priority="34">
      <formula>IF(INDIRECT("General_Currency_Selection")="CHF",TRUE)</formula>
    </cfRule>
    <cfRule type="expression" dxfId="670" priority="35">
      <formula>IF(INDIRECT("General_Currency_Selection")="EUR",TRUE)</formula>
    </cfRule>
    <cfRule type="expression" dxfId="669" priority="36">
      <formula>IF(INDIRECT("General_Currency_Selection")="USD",TRUE)</formula>
    </cfRule>
  </conditionalFormatting>
  <conditionalFormatting sqref="H149:W149">
    <cfRule type="expression" dxfId="668" priority="31">
      <formula>IF(INDIRECT("General_Currency_Selection")="CHF",TRUE)</formula>
    </cfRule>
    <cfRule type="expression" dxfId="667" priority="32">
      <formula>IF(INDIRECT("General_Currency_Selection")="EUR",TRUE)</formula>
    </cfRule>
    <cfRule type="expression" dxfId="666" priority="33">
      <formula>IF(INDIRECT("General_Currency_Selection")="USD",TRUE)</formula>
    </cfRule>
  </conditionalFormatting>
  <conditionalFormatting sqref="H152:W189">
    <cfRule type="expression" dxfId="665" priority="28">
      <formula>IF(INDIRECT("General_Currency_Selection")="CHF",TRUE)</formula>
    </cfRule>
    <cfRule type="expression" dxfId="664" priority="29">
      <formula>IF(INDIRECT("General_Currency_Selection")="EUR",TRUE)</formula>
    </cfRule>
    <cfRule type="expression" dxfId="663" priority="30">
      <formula>IF(INDIRECT("General_Currency_Selection")="USD",TRUE)</formula>
    </cfRule>
  </conditionalFormatting>
  <conditionalFormatting sqref="H110:H147">
    <cfRule type="expression" dxfId="662" priority="7">
      <formula>IF(INDIRECT("General_Currency_Selection")="CHF",TRUE)</formula>
    </cfRule>
    <cfRule type="expression" dxfId="661" priority="8">
      <formula>IF(INDIRECT("General_Currency_Selection")="EUR",TRUE)</formula>
    </cfRule>
    <cfRule type="expression" dxfId="660" priority="9">
      <formula>IF(INDIRECT("General_Currency_Selection")="USD",TRUE)</formula>
    </cfRule>
  </conditionalFormatting>
  <conditionalFormatting sqref="J110:J147">
    <cfRule type="expression" dxfId="659" priority="4">
      <formula>IF(INDIRECT("General_Currency_Selection")="CHF",TRUE)</formula>
    </cfRule>
    <cfRule type="expression" dxfId="658" priority="5">
      <formula>IF(INDIRECT("General_Currency_Selection")="EUR",TRUE)</formula>
    </cfRule>
    <cfRule type="expression" dxfId="657" priority="6">
      <formula>IF(INDIRECT("General_Currency_Selection")="USD",TRUE)</formula>
    </cfRule>
  </conditionalFormatting>
  <conditionalFormatting sqref="L110:L147">
    <cfRule type="expression" dxfId="656" priority="1">
      <formula>IF(INDIRECT("General_Currency_Selection")="CHF",TRUE)</formula>
    </cfRule>
    <cfRule type="expression" dxfId="655" priority="2">
      <formula>IF(INDIRECT("General_Currency_Selection")="EUR",TRUE)</formula>
    </cfRule>
    <cfRule type="expression" dxfId="654"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79998168889431442"/>
  </sheetPr>
  <dimension ref="B1:W189"/>
  <sheetViews>
    <sheetView showGridLines="0" showRowColHeaders="0" zoomScale="70" zoomScaleNormal="70" workbookViewId="0">
      <selection activeCell="G208" sqref="G208"/>
    </sheetView>
  </sheetViews>
  <sheetFormatPr defaultColWidth="11.1796875" defaultRowHeight="14.5"/>
  <cols>
    <col min="1" max="1" width="0.81640625" style="15" customWidth="1"/>
    <col min="2" max="2" width="13.81640625" style="15" customWidth="1"/>
    <col min="3" max="3" width="18.453125" style="15" customWidth="1"/>
    <col min="4" max="4" width="20.453125" style="15" customWidth="1"/>
    <col min="5" max="5" width="17.81640625" style="15" customWidth="1"/>
    <col min="6" max="6" width="25.453125" style="15" customWidth="1"/>
    <col min="7" max="23" width="16.54296875" style="15" customWidth="1"/>
    <col min="24" max="16384" width="11.1796875" style="15"/>
  </cols>
  <sheetData>
    <row r="1" spans="2:16" ht="21">
      <c r="B1" s="1" t="s">
        <v>96</v>
      </c>
      <c r="C1" s="6"/>
    </row>
    <row r="2" spans="2:16" ht="15" thickBot="1"/>
    <row r="3" spans="2:16" ht="18.5">
      <c r="B3" s="56" t="s">
        <v>0</v>
      </c>
      <c r="C3" s="51"/>
      <c r="D3" s="51"/>
      <c r="E3" s="51"/>
      <c r="F3" s="51"/>
      <c r="G3" s="51"/>
      <c r="H3" s="51"/>
      <c r="I3" s="51"/>
      <c r="J3" s="51"/>
      <c r="K3" s="51"/>
      <c r="L3" s="51"/>
      <c r="M3" s="51"/>
      <c r="N3" s="51"/>
      <c r="O3" s="51"/>
      <c r="P3" s="51"/>
    </row>
    <row r="4" spans="2:16" ht="15.5">
      <c r="B4" s="61"/>
    </row>
    <row r="12" spans="2:16" ht="15.5">
      <c r="B12" s="98" t="s">
        <v>68</v>
      </c>
      <c r="C12" s="98" t="s">
        <v>69</v>
      </c>
      <c r="E12" s="61"/>
    </row>
    <row r="13" spans="2:16">
      <c r="B13" s="119" t="s">
        <v>106</v>
      </c>
      <c r="C13" s="118">
        <f>General_FreshLarvae_TotalProd+General_Residue_TotalProd</f>
        <v>2.4663915110087684</v>
      </c>
    </row>
    <row r="14" spans="2:16" ht="15" thickBot="1"/>
    <row r="15" spans="2:16" ht="30">
      <c r="B15" s="2" t="s">
        <v>71</v>
      </c>
      <c r="C15" s="103"/>
      <c r="D15" s="51"/>
      <c r="E15" s="51"/>
      <c r="F15" s="101" t="s">
        <v>128</v>
      </c>
      <c r="G15" s="306">
        <f>E33*C13*1000</f>
        <v>0</v>
      </c>
      <c r="H15" s="51"/>
      <c r="I15" s="51"/>
      <c r="J15" s="51"/>
      <c r="K15" s="51"/>
      <c r="L15" s="51"/>
      <c r="M15" s="51"/>
      <c r="N15" s="51"/>
      <c r="O15" s="51"/>
      <c r="P15" s="51"/>
    </row>
    <row r="16" spans="2:16" ht="15.5">
      <c r="B16" s="61" t="s">
        <v>429</v>
      </c>
      <c r="I16" s="22"/>
      <c r="J16" s="22"/>
      <c r="K16" s="22"/>
      <c r="L16" s="22"/>
      <c r="M16" s="22"/>
      <c r="N16" s="22"/>
    </row>
    <row r="17" spans="2:16">
      <c r="B17" s="98" t="s">
        <v>76</v>
      </c>
      <c r="C17" s="80" t="s">
        <v>63</v>
      </c>
      <c r="I17" s="22"/>
      <c r="J17" s="22"/>
      <c r="K17" s="22"/>
      <c r="L17" s="22"/>
      <c r="M17" s="22"/>
      <c r="N17" s="22"/>
    </row>
    <row r="18" spans="2:16">
      <c r="I18" s="22"/>
      <c r="J18" s="323"/>
      <c r="K18" s="114"/>
      <c r="L18" s="114"/>
      <c r="M18" s="22"/>
      <c r="N18" s="22"/>
    </row>
    <row r="19" spans="2:16">
      <c r="B19" s="108" t="s">
        <v>404</v>
      </c>
      <c r="C19" s="108" t="s">
        <v>405</v>
      </c>
      <c r="D19" s="98" t="s">
        <v>849</v>
      </c>
      <c r="E19" s="98" t="s">
        <v>107</v>
      </c>
      <c r="F19" s="98" t="s">
        <v>621</v>
      </c>
      <c r="G19" s="120"/>
      <c r="H19" s="120"/>
      <c r="I19" s="22"/>
      <c r="J19" s="324"/>
      <c r="K19" s="114"/>
      <c r="L19" s="114"/>
      <c r="M19" s="135"/>
      <c r="N19" s="135"/>
      <c r="O19" s="322"/>
      <c r="P19" s="55"/>
    </row>
    <row r="20" spans="2:16">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87" t="str">
        <f t="shared" ref="E20:E31" si="2">IF($B20="N/A","N/A",INDEX(Material_Unit_Price,MATCH($B20,Material_Code,0)))</f>
        <v>N/A</v>
      </c>
      <c r="F20" s="288" t="str">
        <f>IFERROR(E20*D20,"")</f>
        <v/>
      </c>
      <c r="I20" s="22"/>
      <c r="J20" s="121"/>
      <c r="K20" s="114"/>
      <c r="L20" s="114"/>
      <c r="M20" s="22"/>
      <c r="N20" s="22"/>
    </row>
    <row r="21" spans="2:16">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87" t="str">
        <f t="shared" si="2"/>
        <v>N/A</v>
      </c>
      <c r="F21" s="288" t="str">
        <f t="shared" ref="F21:F31" si="3">IFERROR(E21*D21,"")</f>
        <v/>
      </c>
      <c r="I21" s="22"/>
      <c r="J21" s="121"/>
      <c r="K21" s="114"/>
      <c r="L21" s="114"/>
      <c r="M21" s="22"/>
      <c r="N21" s="22"/>
    </row>
    <row r="22" spans="2:16">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87" t="str">
        <f t="shared" si="2"/>
        <v>N/A</v>
      </c>
      <c r="F22" s="288" t="str">
        <f t="shared" si="3"/>
        <v/>
      </c>
      <c r="I22" s="22"/>
      <c r="J22" s="121"/>
      <c r="K22" s="114"/>
      <c r="L22" s="114"/>
      <c r="M22" s="22"/>
      <c r="N22" s="22"/>
    </row>
    <row r="23" spans="2:16">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c r="I23" s="22"/>
      <c r="J23" s="121"/>
      <c r="K23" s="114"/>
      <c r="L23" s="114"/>
    </row>
    <row r="24" spans="2:16">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c r="I24" s="22"/>
      <c r="J24" s="121"/>
      <c r="K24" s="114"/>
      <c r="L24" s="114"/>
    </row>
    <row r="25" spans="2:16">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c r="I25" s="22"/>
      <c r="J25" s="121"/>
      <c r="K25" s="114"/>
      <c r="L25" s="114"/>
    </row>
    <row r="26" spans="2:16">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c r="I26" s="22"/>
      <c r="J26" s="121"/>
      <c r="K26" s="114"/>
      <c r="L26" s="114"/>
    </row>
    <row r="27" spans="2:16">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c r="I27" s="22"/>
      <c r="J27" s="121"/>
      <c r="K27" s="114"/>
      <c r="L27" s="114"/>
    </row>
    <row r="28" spans="2:16">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c r="I28" s="22"/>
      <c r="J28" s="121"/>
      <c r="K28" s="114"/>
      <c r="L28" s="114"/>
    </row>
    <row r="29" spans="2:16">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c r="I29" s="22"/>
      <c r="J29" s="121"/>
      <c r="K29" s="114"/>
      <c r="L29" s="114"/>
    </row>
    <row r="30" spans="2:16">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c r="I30" s="22"/>
      <c r="J30" s="121"/>
      <c r="K30" s="114"/>
      <c r="L30" s="114"/>
    </row>
    <row r="31" spans="2:16">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c r="H31" s="22"/>
      <c r="I31" s="22"/>
      <c r="J31" s="121"/>
      <c r="K31" s="114"/>
      <c r="L31" s="114"/>
    </row>
    <row r="32" spans="2:16">
      <c r="E32" s="78"/>
    </row>
    <row r="33" spans="2:16">
      <c r="B33" s="902" t="s">
        <v>127</v>
      </c>
      <c r="C33" s="902"/>
      <c r="D33" s="902"/>
      <c r="E33" s="307">
        <f>SUM(F20:F31)</f>
        <v>0</v>
      </c>
    </row>
    <row r="34" spans="2:16" ht="15" thickBot="1"/>
    <row r="35" spans="2:16" ht="18.5">
      <c r="B35" s="2" t="s">
        <v>144</v>
      </c>
      <c r="C35" s="103"/>
      <c r="D35" s="51"/>
      <c r="E35" s="51"/>
      <c r="F35" s="101" t="s">
        <v>195</v>
      </c>
      <c r="G35" s="306">
        <f>F43</f>
        <v>1.6023715209884439</v>
      </c>
      <c r="H35" s="51"/>
      <c r="I35" s="51"/>
      <c r="J35" s="51"/>
      <c r="K35" s="51"/>
      <c r="L35" s="51"/>
      <c r="M35" s="51"/>
      <c r="N35" s="51"/>
      <c r="O35" s="51"/>
      <c r="P35" s="51"/>
    </row>
    <row r="36" spans="2:16" ht="15.5">
      <c r="B36" s="61" t="s">
        <v>529</v>
      </c>
      <c r="C36" s="22"/>
      <c r="D36" s="22"/>
      <c r="E36" s="22"/>
    </row>
    <row r="37" spans="2:16">
      <c r="B37" s="29"/>
      <c r="C37" s="131"/>
      <c r="D37" s="22"/>
      <c r="E37" s="22"/>
      <c r="I37" s="22"/>
      <c r="J37" s="22"/>
      <c r="K37" s="22"/>
      <c r="L37" s="22"/>
      <c r="M37" s="22"/>
    </row>
    <row r="38" spans="2:16" ht="15.5">
      <c r="C38" s="91" t="s">
        <v>515</v>
      </c>
      <c r="D38" s="91" t="s">
        <v>76</v>
      </c>
      <c r="E38" s="91" t="s">
        <v>620</v>
      </c>
      <c r="F38" s="91" t="s">
        <v>619</v>
      </c>
      <c r="I38" s="22"/>
      <c r="J38" s="208"/>
      <c r="K38" s="90"/>
      <c r="L38" s="114"/>
      <c r="M38" s="22"/>
    </row>
    <row r="39" spans="2:16">
      <c r="B39" s="98" t="str">
        <f>INDEX(Equipment_Utility_Spec_List,2)</f>
        <v>Water</v>
      </c>
      <c r="C39" s="134">
        <f>SUMPRODUCT($F$110:$F$147,$G$110:$G$147,$M$110:$M$147)</f>
        <v>6.204076361824208E-3</v>
      </c>
      <c r="D39" s="133" t="s">
        <v>516</v>
      </c>
      <c r="E39" s="288">
        <f>SUMIF($B$110:$B$147,("&lt;&gt;N/A"),$H$110:$H$147)</f>
        <v>1.3179393243748238E-3</v>
      </c>
      <c r="F39" s="288">
        <f>E39*Staff_Days_Operation</f>
        <v>0.48104785339681072</v>
      </c>
      <c r="I39" s="22"/>
      <c r="J39" s="148"/>
      <c r="K39" s="90"/>
      <c r="L39" s="114"/>
      <c r="M39" s="135"/>
    </row>
    <row r="40" spans="2:16">
      <c r="B40" s="98" t="str">
        <f>INDEX(Equipment_Utility_Spec_List,3)</f>
        <v>Electricity</v>
      </c>
      <c r="C40" s="134">
        <f>SUMPRODUCT($F$110:$F$147,$I$110:$I$147,$M$110:$M$147)</f>
        <v>2.8923432922257377E-2</v>
      </c>
      <c r="D40" s="133" t="s">
        <v>518</v>
      </c>
      <c r="E40" s="288">
        <f>SUMIF($B$110:$B$147,("&lt;&gt;N/A"),$J$110:$J$147)</f>
        <v>3.0721196372373513E-3</v>
      </c>
      <c r="F40" s="288">
        <f>E40*Staff_Days_Operation</f>
        <v>1.1213236675916332</v>
      </c>
      <c r="I40" s="22"/>
      <c r="J40" s="121"/>
      <c r="K40" s="114"/>
      <c r="L40" s="114"/>
      <c r="M40" s="22"/>
    </row>
    <row r="41" spans="2:16">
      <c r="B41" s="98" t="str">
        <f>INDEX(Equipment_Utility_Spec_List,4)</f>
        <v>Fuel</v>
      </c>
      <c r="C41" s="134">
        <f>SUMPRODUCT($F$110:$F$147,$K$110:$K$147,$M$110:$M$147)</f>
        <v>0</v>
      </c>
      <c r="D41" s="133" t="s">
        <v>517</v>
      </c>
      <c r="E41" s="288">
        <f>SUMIF($B$110:$B$147,("&lt;&gt;N/A"),$L$110:$L$147)</f>
        <v>0</v>
      </c>
      <c r="F41" s="288">
        <f>E41*Staff_Days_Operation</f>
        <v>0</v>
      </c>
      <c r="I41" s="22"/>
      <c r="J41" s="121"/>
      <c r="K41" s="114"/>
      <c r="L41" s="114"/>
      <c r="M41" s="22"/>
    </row>
    <row r="42" spans="2:16">
      <c r="B42" s="8"/>
      <c r="C42" s="115"/>
      <c r="D42" s="22"/>
      <c r="E42" s="132"/>
      <c r="I42" s="22"/>
      <c r="J42" s="22"/>
      <c r="K42" s="22"/>
      <c r="L42" s="22"/>
      <c r="M42" s="22"/>
    </row>
    <row r="43" spans="2:16">
      <c r="B43" s="901" t="s">
        <v>440</v>
      </c>
      <c r="C43" s="901"/>
      <c r="D43" s="901"/>
      <c r="E43" s="288">
        <f>SUM(E39:E41)</f>
        <v>4.3900589616121749E-3</v>
      </c>
      <c r="F43" s="288">
        <f>SUM(F39:F41)</f>
        <v>1.6023715209884439</v>
      </c>
      <c r="I43" s="22"/>
      <c r="J43" s="22"/>
      <c r="K43" s="22"/>
      <c r="L43" s="114"/>
      <c r="M43" s="22"/>
    </row>
    <row r="44" spans="2:16" ht="15" thickBot="1">
      <c r="F44" s="54"/>
      <c r="G44" s="54"/>
    </row>
    <row r="45" spans="2:16" ht="18.5">
      <c r="B45" s="104" t="s">
        <v>2</v>
      </c>
      <c r="C45" s="105"/>
      <c r="D45" s="79"/>
      <c r="E45" s="79"/>
      <c r="F45" s="144" t="s">
        <v>129</v>
      </c>
      <c r="G45" s="306">
        <f>SUM(G52:G74)</f>
        <v>223.92006629158269</v>
      </c>
      <c r="H45" s="79"/>
      <c r="I45" s="79"/>
      <c r="J45" s="79"/>
      <c r="K45" s="79"/>
      <c r="L45" s="79"/>
      <c r="M45" s="79"/>
      <c r="N45" s="79"/>
      <c r="O45" s="79"/>
      <c r="P45" s="79"/>
    </row>
    <row r="46" spans="2:16" ht="15.5">
      <c r="B46" s="61" t="s">
        <v>78</v>
      </c>
    </row>
    <row r="47" spans="2:16" ht="15.5">
      <c r="B47" s="61" t="s">
        <v>79</v>
      </c>
    </row>
    <row r="48" spans="2:16">
      <c r="B48" s="98" t="s">
        <v>75</v>
      </c>
      <c r="C48" s="900" t="s">
        <v>66</v>
      </c>
      <c r="D48" s="900"/>
    </row>
    <row r="49" spans="2:9">
      <c r="B49" s="98" t="s">
        <v>76</v>
      </c>
      <c r="C49" s="900" t="s">
        <v>63</v>
      </c>
      <c r="D49" s="900"/>
      <c r="I49" s="83"/>
    </row>
    <row r="51" spans="2:9" ht="31">
      <c r="B51" s="93" t="s">
        <v>220</v>
      </c>
      <c r="C51" s="93" t="s">
        <v>4</v>
      </c>
      <c r="D51" s="93" t="s">
        <v>77</v>
      </c>
      <c r="E51" s="122" t="s">
        <v>242</v>
      </c>
      <c r="F51" s="93" t="s">
        <v>119</v>
      </c>
      <c r="G51" s="93" t="s">
        <v>120</v>
      </c>
    </row>
    <row r="52" spans="2:9">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1" t="str">
        <f>IF($B52="N/A","N/A",INDEX(Staff_position[],MATCH(B52,Staff_Position_ID,0)))</f>
        <v>General worker</v>
      </c>
      <c r="D52" s="288">
        <f>IF($B52="N/A","N/A",INDEX(Staff_net_salary[],MATCH(B52,Staff_Position_ID,0)))</f>
        <v>1699.449519976321</v>
      </c>
      <c r="E52" s="85">
        <f>IF($B52="N/A","N/A",INDEX(Staff_number_of_employees,MATCH(B52,Staff_Position_ID,0)))</f>
        <v>1</v>
      </c>
      <c r="F52" s="86">
        <f t="shared" ref="F52:F74" si="4">IFERROR(INDEX(Staff_Position_Allocation,MATCH(B52,Staff_Position_ID),MATCH($C$49,Unit_codes,0)),"")</f>
        <v>0.13176035160767979</v>
      </c>
      <c r="G52" s="288">
        <f>IFERROR(D52*E52*F52,"")</f>
        <v>223.92006629158269</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ref="E53:E74" si="5">IF($B53="N/A","N/A",INDEX(Staff_number_of_employees,MATCH(B53,Staff_Position_ID,0)))</f>
        <v>N/A</v>
      </c>
      <c r="F53" s="86" t="str">
        <f t="shared" si="4"/>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5"/>
        <v>N/A</v>
      </c>
      <c r="F54" s="86" t="str">
        <f t="shared" si="4"/>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5"/>
        <v>N/A</v>
      </c>
      <c r="F55" s="86" t="str">
        <f t="shared" si="4"/>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5"/>
        <v>N/A</v>
      </c>
      <c r="F56" s="86" t="str">
        <f t="shared" si="4"/>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5"/>
        <v>N/A</v>
      </c>
      <c r="F57" s="86" t="str">
        <f t="shared" si="4"/>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5"/>
        <v>N/A</v>
      </c>
      <c r="F58" s="86" t="str">
        <f t="shared" si="4"/>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5"/>
        <v>N/A</v>
      </c>
      <c r="F59" s="86" t="str">
        <f t="shared" si="4"/>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5"/>
        <v>N/A</v>
      </c>
      <c r="F60" s="86" t="str">
        <f t="shared" si="4"/>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5"/>
        <v>N/A</v>
      </c>
      <c r="F61" s="86" t="str">
        <f t="shared" si="4"/>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5"/>
        <v>N/A</v>
      </c>
      <c r="F62" s="86" t="str">
        <f t="shared" si="4"/>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5"/>
        <v>N/A</v>
      </c>
      <c r="F63" s="86" t="str">
        <f t="shared" si="4"/>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5"/>
        <v>N/A</v>
      </c>
      <c r="F64" s="86" t="str">
        <f t="shared" si="4"/>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5"/>
        <v>N/A</v>
      </c>
      <c r="F65" s="86" t="str">
        <f t="shared" si="4"/>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5"/>
        <v>N/A</v>
      </c>
      <c r="F66" s="86" t="str">
        <f t="shared" si="4"/>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5"/>
        <v>N/A</v>
      </c>
      <c r="F67" s="86" t="str">
        <f t="shared" si="4"/>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5"/>
        <v>N/A</v>
      </c>
      <c r="F68" s="86" t="str">
        <f t="shared" si="4"/>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5"/>
        <v>N/A</v>
      </c>
      <c r="F69" s="86" t="str">
        <f t="shared" si="4"/>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5"/>
        <v>N/A</v>
      </c>
      <c r="F70" s="86" t="str">
        <f t="shared" si="4"/>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5"/>
        <v>N/A</v>
      </c>
      <c r="F71" s="86" t="str">
        <f t="shared" si="4"/>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5"/>
        <v>N/A</v>
      </c>
      <c r="F72" s="86" t="str">
        <f t="shared" si="4"/>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5"/>
        <v>N/A</v>
      </c>
      <c r="F73" s="86" t="str">
        <f t="shared" si="4"/>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5"/>
        <v>N/A</v>
      </c>
      <c r="F74" s="86" t="str">
        <f t="shared" si="4"/>
        <v/>
      </c>
      <c r="G74" s="288" t="str">
        <f t="shared" si="6"/>
        <v/>
      </c>
    </row>
    <row r="75" spans="2:16" ht="15" thickBot="1">
      <c r="F75" s="143"/>
      <c r="G75" s="143"/>
    </row>
    <row r="76" spans="2:16" ht="30">
      <c r="B76" s="104" t="s">
        <v>81</v>
      </c>
      <c r="C76" s="105"/>
      <c r="D76" s="79"/>
      <c r="E76" s="79"/>
      <c r="F76" s="144" t="s">
        <v>84</v>
      </c>
      <c r="G76" s="306">
        <f>SUMIF(G83:G103,("&lt;&gt;N/A"),G83:G103)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63</v>
      </c>
      <c r="D80" s="900"/>
    </row>
    <row r="82" spans="2:7" ht="31">
      <c r="B82" s="93" t="s">
        <v>220</v>
      </c>
      <c r="C82" s="93" t="s">
        <v>4</v>
      </c>
      <c r="D82" s="93" t="s">
        <v>77</v>
      </c>
      <c r="E82" s="122" t="s">
        <v>242</v>
      </c>
      <c r="F82" s="93" t="s">
        <v>119</v>
      </c>
      <c r="G82" s="93"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1" t="str">
        <f>IF($B83="N/A","N/A",INDEX(Staff_position[],MATCH(B83,Staff_Position_ID,0)))</f>
        <v>Waste units manager</v>
      </c>
      <c r="D83" s="288">
        <f>IF($B83="N/A","N/A",INDEX(Staff_net_salary[],MATCH(B83,Staff_Position_ID,0)))</f>
        <v>3398.8990399526419</v>
      </c>
      <c r="E83" s="85">
        <f t="shared" ref="E83:E103" si="7">IF($B83="N/A","N/A",INDEX(Staff_number_of_employees,MATCH(B83,Staff_Position_ID,0)))</f>
        <v>0</v>
      </c>
      <c r="F83" s="86">
        <f t="shared" ref="F83:F103" si="8">IFERROR(INDEX(Staff_Position_Allocation,MATCH(B83,Staff_Position_ID),MATCH($C$80,Unit_codes,0)),"")</f>
        <v>0.26</v>
      </c>
      <c r="G83" s="288">
        <f>IFERROR(D83*E83*F83,"")</f>
        <v>0</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1" t="str">
        <f>IF($B84="N/A","N/A",INDEX(Staff_position[],MATCH(B84,Staff_Position_ID,0)))</f>
        <v>Site manager</v>
      </c>
      <c r="D84" s="288">
        <f>IF($B84="N/A","N/A",INDEX(Staff_net_salary[],MATCH(B84,Staff_Position_ID,0)))</f>
        <v>5098.3485599289634</v>
      </c>
      <c r="E84" s="85">
        <f t="shared" si="7"/>
        <v>0</v>
      </c>
      <c r="F84" s="86">
        <f t="shared" si="8"/>
        <v>0.13</v>
      </c>
      <c r="G84" s="288">
        <f t="shared" ref="G84:G103" si="9">IFERROR(D84*E84*F84,"")</f>
        <v>0</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16" ht="15" thickBot="1">
      <c r="E104" s="143"/>
      <c r="F104" s="143"/>
      <c r="G104" s="143"/>
    </row>
    <row r="105" spans="2:16" ht="35.15" customHeight="1">
      <c r="B105" s="2" t="s">
        <v>1</v>
      </c>
      <c r="C105" s="103"/>
      <c r="D105" s="51"/>
      <c r="F105" s="145" t="s">
        <v>151</v>
      </c>
      <c r="G105" s="306">
        <f>SUMIF(B110:B147,("&lt;&gt;N/A"),N110:N147)</f>
        <v>130.94258551417553</v>
      </c>
      <c r="H105" s="51"/>
      <c r="I105" s="51"/>
      <c r="J105" s="51"/>
      <c r="K105" s="51"/>
      <c r="L105" s="51"/>
      <c r="M105" s="51"/>
      <c r="N105" s="51"/>
      <c r="O105" s="51"/>
      <c r="P105" s="51"/>
    </row>
    <row r="106" spans="2:16" ht="15.5">
      <c r="B106" s="61" t="s">
        <v>80</v>
      </c>
    </row>
    <row r="107" spans="2:16">
      <c r="B107" s="98" t="s">
        <v>76</v>
      </c>
      <c r="C107" s="80" t="s">
        <v>63</v>
      </c>
    </row>
    <row r="109" spans="2:16" ht="46.5">
      <c r="B109" s="91" t="s">
        <v>82</v>
      </c>
      <c r="C109" s="91" t="s">
        <v>51</v>
      </c>
      <c r="D109" s="93" t="s">
        <v>150</v>
      </c>
      <c r="E109" s="116" t="s">
        <v>48</v>
      </c>
      <c r="F109" s="93" t="s">
        <v>502</v>
      </c>
      <c r="G109" s="93" t="s">
        <v>439</v>
      </c>
      <c r="H109" s="93" t="s">
        <v>503</v>
      </c>
      <c r="I109" s="93" t="s">
        <v>507</v>
      </c>
      <c r="J109" s="93" t="s">
        <v>504</v>
      </c>
      <c r="K109" s="93" t="s">
        <v>506</v>
      </c>
      <c r="L109" s="93" t="s">
        <v>505</v>
      </c>
      <c r="M109" s="93" t="s">
        <v>153</v>
      </c>
      <c r="N109" s="93" t="s">
        <v>152</v>
      </c>
      <c r="O109" s="93"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eq0003</v>
      </c>
      <c r="C110" s="70" t="str">
        <f>IF($B110="N/A","N/A",INDEX(Equipment_name[],MATCH(B110,equipment_ID,0)))</f>
        <v>Conversion crates</v>
      </c>
      <c r="D110" s="288">
        <f t="shared" ref="D110:D147" si="10">IF($B110="N/A","N/A",INDEX(Equipment_Depreciation,MATCH(B110,equipment_ID,0)))</f>
        <v>0.99134555331952057</v>
      </c>
      <c r="E110" s="88">
        <f t="shared" ref="E110:E147" si="11">IF($B110="N/A","N/A",INDEX(Equipment_Quantity_New,MATCH(B110,equipment_ID,0)))</f>
        <v>16</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12">IFERROR($E110*$F110*G110*$M110*General_Water_Price,"")</f>
        <v/>
      </c>
      <c r="I110" s="130" t="str">
        <f>IF($B110="N/A","",IF(INDEX(Equipment_Utility_Decision,MATCH($B110,equipment_ID,0))='4.2-Settings Internal'!$B$30,INDEX(Equipment_Utility_Electricity,MATCH($B110,equipment_ID,0)),""))</f>
        <v/>
      </c>
      <c r="J110" s="288" t="str">
        <f t="shared" ref="J110:J147" si="13">IFERROR($E110*$F110*I110*$M110*General_Electricity_Price,"")</f>
        <v/>
      </c>
      <c r="K110" s="130" t="str">
        <f>IF($B110="N/A","",IF(INDEX(Equipment_Utility_Decision,MATCH($B110,equipment_ID,0))=INDEX(Yes_No_Choice[],1),INDEX(Equipment_Utility_Fuel,MATCH($B110,equipment_ID,0)),""))</f>
        <v/>
      </c>
      <c r="L110" s="288" t="str">
        <f t="shared" ref="L110:L147" si="14">IFERROR($E110*$F110*$K110*$M110*INDEX(General_Utilities,MATCH(INDEX(Equipment_Utility_Fuel_Selection,MATCH($B110,equipment_ID,0)),General_Utilities_Type,0),4),"")</f>
        <v/>
      </c>
      <c r="M110" s="89">
        <f t="shared" ref="M110:M147" si="15">IFERROR(INDEX(Equipment_Allocation_New,MATCH(B110,equipment_ID,0),MATCH($C$107,Unit_codes,0)),"")</f>
        <v>0.5</v>
      </c>
      <c r="N110" s="288">
        <f t="shared" ref="N110:N147" si="16">IFERROR($D110*E110*M110,"")</f>
        <v>7.9307644265561645</v>
      </c>
      <c r="O110" s="130" t="str">
        <f t="shared" ref="O110:O147" si="17">IF($B110="N/A","",IF(INDEX(Equipment_Space_Selection,MATCH(B110,equipment_ID,0))="Yes",INDEX(Equipment_Space_Footprint,MATCH(B110,equipment_ID,0))*INDEX(Equipment_Quantity_New,MATCH(B110,equipment_ID,0))*M110,""))</f>
        <v/>
      </c>
    </row>
    <row r="111" spans="2:16">
      <c r="B111" s="70" t="str">
        <f t="array" ref="B111">IF(COUNTIFS(INDEX(Equipment_Allocation_New,0,MATCH($C$107,Unit_codes,0)),"&gt;0")&lt;ROWS('2.2-Equipment input'!$X$8:$X9),"N/A",INDEX('2.2-Equipment input'!B:B,SMALL(IF(INDEX(Equipment_Allocation_New,0,MATCH($C$107,Unit_codes,0))&gt;0,ROW(equipment_ID)),ROW('2.2-Equipment input'!B2))))</f>
        <v>eq0004</v>
      </c>
      <c r="C111" s="70" t="str">
        <f>IF($B111="N/A","N/A",INDEX(Equipment_name[],MATCH(B111,equipment_ID,0)))</f>
        <v>Pallets</v>
      </c>
      <c r="D111" s="288">
        <f t="shared" si="10"/>
        <v>2.1243118999704014</v>
      </c>
      <c r="E111" s="88">
        <f t="shared" si="11"/>
        <v>1</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89">
        <f t="shared" si="15"/>
        <v>0.44</v>
      </c>
      <c r="N111" s="288">
        <f t="shared" si="16"/>
        <v>0.93469723598697663</v>
      </c>
      <c r="O111" s="130">
        <f t="shared" si="17"/>
        <v>0.69247200000000009</v>
      </c>
    </row>
    <row r="112" spans="2:16">
      <c r="B112" s="70" t="str">
        <f t="array" ref="B112">IF(COUNTIFS(INDEX(Equipment_Allocation_New,0,MATCH($C$107,Unit_codes,0)),"&gt;0")&lt;ROWS('2.2-Equipment input'!$X$8:$X10),"N/A",INDEX('2.2-Equipment input'!B:B,SMALL(IF(INDEX(Equipment_Allocation_New,0,MATCH($C$107,Unit_codes,0))&gt;0,ROW(equipment_ID)),ROW('2.2-Equipment input'!B3))))</f>
        <v>eq0005</v>
      </c>
      <c r="C112" s="70" t="str">
        <f>IF($B112="N/A","N/A",INDEX(Equipment_name[],MATCH(B112,equipment_ID,0)))</f>
        <v>Ventilation frames</v>
      </c>
      <c r="D112" s="288">
        <f t="shared" si="10"/>
        <v>3.5405198332840024</v>
      </c>
      <c r="E112" s="88">
        <f t="shared" si="11"/>
        <v>6</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89">
        <f t="shared" si="15"/>
        <v>0.5</v>
      </c>
      <c r="N112" s="288">
        <f t="shared" si="16"/>
        <v>10.621559499852008</v>
      </c>
      <c r="O112" s="130" t="str">
        <f t="shared" si="17"/>
        <v/>
      </c>
    </row>
    <row r="113" spans="2:15">
      <c r="B113" s="70" t="str">
        <f t="array" ref="B113">IF(COUNTIFS(INDEX(Equipment_Allocation_New,0,MATCH($C$107,Unit_codes,0)),"&gt;0")&lt;ROWS('2.2-Equipment input'!$X$8:$X11),"N/A",INDEX('2.2-Equipment input'!B:B,SMALL(IF(INDEX(Equipment_Allocation_New,0,MATCH($C$107,Unit_codes,0))&gt;0,ROW(equipment_ID)),ROW('2.2-Equipment input'!B4))))</f>
        <v>eq0006</v>
      </c>
      <c r="C113" s="70" t="str">
        <f>IF($B113="N/A","N/A",INDEX(Equipment_name[],MATCH(B113,equipment_ID,0)))</f>
        <v>Pallet trolley</v>
      </c>
      <c r="D113" s="288">
        <f t="shared" si="10"/>
        <v>42.486237999408026</v>
      </c>
      <c r="E113" s="88">
        <f t="shared" si="11"/>
        <v>1</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89">
        <f t="shared" si="15"/>
        <v>0.44</v>
      </c>
      <c r="N113" s="288">
        <f t="shared" si="16"/>
        <v>18.69394471973953</v>
      </c>
      <c r="O113" s="130" t="str">
        <f t="shared" si="17"/>
        <v/>
      </c>
    </row>
    <row r="114" spans="2:15">
      <c r="B114" s="70" t="str">
        <f t="array" ref="B114">IF(COUNTIFS(INDEX(Equipment_Allocation_New,0,MATCH($C$107,Unit_codes,0)),"&gt;0")&lt;ROWS('2.2-Equipment input'!$X$8:$X12),"N/A",INDEX('2.2-Equipment input'!B:B,SMALL(IF(INDEX(Equipment_Allocation_New,0,MATCH($C$107,Unit_codes,0))&gt;0,ROW(equipment_ID)),ROW('2.2-Equipment input'!B5))))</f>
        <v>eq0008</v>
      </c>
      <c r="C114" s="70" t="str">
        <f>IF($B114="N/A","N/A",INDEX(Equipment_name[],MATCH(B114,equipment_ID,0)))</f>
        <v>High pressure cleaner</v>
      </c>
      <c r="D114" s="288">
        <f t="shared" si="10"/>
        <v>212.43118999704015</v>
      </c>
      <c r="E114" s="88">
        <f t="shared" si="11"/>
        <v>1</v>
      </c>
      <c r="F114" s="130">
        <f>IF($B114="N/A","",IF(INDEX(Equipment_Utility_Decision,MATCH($B114,equipment_ID,0))='4.2-Settings Internal'!$B$30,INDEX(Equipment_Utility_Run,MATCH($B114,equipment_ID,0)),""))</f>
        <v>4.8205721537095632E-2</v>
      </c>
      <c r="G114" s="130">
        <f>IF($B114="N/A","",IF(INDEX(Equipment_Utility_Decision,MATCH($B114,equipment_ID,0))='4.2-Settings Internal'!$B$30,INDEX(Equipment_Utility_Water,MATCH($B114,equipment_ID,0)),""))</f>
        <v>0.42899999999999999</v>
      </c>
      <c r="H114" s="288">
        <f t="shared" si="12"/>
        <v>1.3179393243748238E-3</v>
      </c>
      <c r="I114" s="130">
        <f>IF($B114="N/A","",IF(INDEX(Equipment_Utility_Decision,MATCH($B114,equipment_ID,0))='4.2-Settings Internal'!$B$30,INDEX(Equipment_Utility_Electricity,MATCH($B114,equipment_ID,0)),""))</f>
        <v>2</v>
      </c>
      <c r="J114" s="288">
        <f t="shared" si="13"/>
        <v>3.0721196372373513E-3</v>
      </c>
      <c r="K114" s="130">
        <f>IF($B114="N/A","",IF(INDEX(Equipment_Utility_Decision,MATCH($B114,equipment_ID,0))=INDEX(Yes_No_Choice[],1),INDEX(Equipment_Utility_Fuel,MATCH($B114,equipment_ID,0)),""))</f>
        <v>0</v>
      </c>
      <c r="L114" s="288" t="str">
        <f t="shared" si="14"/>
        <v/>
      </c>
      <c r="M114" s="89">
        <f t="shared" si="15"/>
        <v>0.3</v>
      </c>
      <c r="N114" s="288">
        <f t="shared" si="16"/>
        <v>63.729356999112042</v>
      </c>
      <c r="O114" s="130">
        <f t="shared" si="17"/>
        <v>7.4999999999999997E-2</v>
      </c>
    </row>
    <row r="115" spans="2:15">
      <c r="B115" s="70" t="str">
        <f t="array" ref="B115">IF(COUNTIFS(INDEX(Equipment_Allocation_New,0,MATCH($C$107,Unit_codes,0)),"&gt;0")&lt;ROWS('2.2-Equipment input'!$X$8:$X13),"N/A",INDEX('2.2-Equipment input'!B:B,SMALL(IF(INDEX(Equipment_Allocation_New,0,MATCH($C$107,Unit_codes,0))&gt;0,ROW(equipment_ID)),ROW('2.2-Equipment input'!B6))))</f>
        <v>eq0030</v>
      </c>
      <c r="C115" s="70" t="str">
        <f>IF($B115="N/A","N/A",INDEX(Equipment_name[],MATCH(B115,equipment_ID,0)))</f>
        <v>Measuring balance ("heavy" duty)</v>
      </c>
      <c r="D115" s="288">
        <f t="shared" si="10"/>
        <v>35.405198332840023</v>
      </c>
      <c r="E115" s="88">
        <f t="shared" si="11"/>
        <v>1</v>
      </c>
      <c r="F115" s="130">
        <f>IF($B115="N/A","",IF(INDEX(Equipment_Utility_Decision,MATCH($B115,equipment_ID,0))='4.2-Settings Internal'!$B$30,INDEX(Equipment_Utility_Run,MATCH($B115,equipment_ID,0)),""))</f>
        <v>0</v>
      </c>
      <c r="G115" s="130">
        <f>IF($B115="N/A","",IF(INDEX(Equipment_Utility_Decision,MATCH($B115,equipment_ID,0))='4.2-Settings Internal'!$B$30,INDEX(Equipment_Utility_Water,MATCH($B115,equipment_ID,0)),""))</f>
        <v>0</v>
      </c>
      <c r="H115" s="288">
        <f t="shared" si="12"/>
        <v>0</v>
      </c>
      <c r="I115" s="130">
        <f>IF($B115="N/A","",IF(INDEX(Equipment_Utility_Decision,MATCH($B115,equipment_ID,0))='4.2-Settings Internal'!$B$30,INDEX(Equipment_Utility_Electricity,MATCH($B115,equipment_ID,0)),""))</f>
        <v>0</v>
      </c>
      <c r="J115" s="288">
        <f t="shared" si="13"/>
        <v>0</v>
      </c>
      <c r="K115" s="130">
        <f>IF($B115="N/A","",IF(INDEX(Equipment_Utility_Decision,MATCH($B115,equipment_ID,0))=INDEX(Yes_No_Choice[],1),INDEX(Equipment_Utility_Fuel,MATCH($B115,equipment_ID,0)),""))</f>
        <v>0</v>
      </c>
      <c r="L115" s="288" t="str">
        <f t="shared" si="14"/>
        <v/>
      </c>
      <c r="M115" s="89">
        <f t="shared" si="15"/>
        <v>0.32</v>
      </c>
      <c r="N115" s="288">
        <f t="shared" si="16"/>
        <v>11.329663466508807</v>
      </c>
      <c r="O115" s="130" t="str">
        <f t="shared" si="17"/>
        <v/>
      </c>
    </row>
    <row r="116" spans="2:15">
      <c r="B116" s="70" t="str">
        <f t="array" ref="B116">IF(COUNTIFS(INDEX(Equipment_Allocation_New,0,MATCH($C$107,Unit_codes,0)),"&gt;0")&lt;ROWS('2.2-Equipment input'!$X$8:$X14),"N/A",INDEX('2.2-Equipment input'!B:B,SMALL(IF(INDEX(Equipment_Allocation_New,0,MATCH($C$107,Unit_codes,0))&gt;0,ROW(equipment_ID)),ROW('2.2-Equipment input'!B7))))</f>
        <v>eq0032</v>
      </c>
      <c r="C116" s="70" t="str">
        <f>IF($B116="N/A","N/A",INDEX(Equipment_name[],MATCH(B116,equipment_ID,0)))</f>
        <v>Measuring balance (nursery)</v>
      </c>
      <c r="D116" s="288">
        <f t="shared" si="10"/>
        <v>70.810396665680045</v>
      </c>
      <c r="E116" s="88">
        <f t="shared" si="11"/>
        <v>1</v>
      </c>
      <c r="F116" s="130">
        <f>IF($B116="N/A","",IF(INDEX(Equipment_Utility_Decision,MATCH($B116,equipment_ID,0))='4.2-Settings Internal'!$B$30,INDEX(Equipment_Utility_Run,MATCH($B116,equipment_ID,0)),""))</f>
        <v>0</v>
      </c>
      <c r="G116" s="130">
        <f>IF($B116="N/A","",IF(INDEX(Equipment_Utility_Decision,MATCH($B116,equipment_ID,0))='4.2-Settings Internal'!$B$30,INDEX(Equipment_Utility_Water,MATCH($B116,equipment_ID,0)),""))</f>
        <v>0</v>
      </c>
      <c r="H116" s="288">
        <f t="shared" si="12"/>
        <v>0</v>
      </c>
      <c r="I116" s="130">
        <f>IF($B116="N/A","",IF(INDEX(Equipment_Utility_Decision,MATCH($B116,equipment_ID,0))='4.2-Settings Internal'!$B$30,INDEX(Equipment_Utility_Electricity,MATCH($B116,equipment_ID,0)),""))</f>
        <v>0</v>
      </c>
      <c r="J116" s="288">
        <f t="shared" si="13"/>
        <v>0</v>
      </c>
      <c r="K116" s="130">
        <f>IF($B116="N/A","",IF(INDEX(Equipment_Utility_Decision,MATCH($B116,equipment_ID,0))=INDEX(Yes_No_Choice[],1),INDEX(Equipment_Utility_Fuel,MATCH($B116,equipment_ID,0)),""))</f>
        <v>0</v>
      </c>
      <c r="L116" s="288" t="str">
        <f t="shared" si="14"/>
        <v/>
      </c>
      <c r="M116" s="89">
        <f t="shared" si="15"/>
        <v>0.25</v>
      </c>
      <c r="N116" s="288">
        <f t="shared" si="16"/>
        <v>17.702599166420011</v>
      </c>
      <c r="O116" s="130" t="str">
        <f t="shared" si="17"/>
        <v/>
      </c>
    </row>
    <row r="117" spans="2:15">
      <c r="B117" s="70" t="str">
        <f t="array" ref="B117">IF(COUNTIFS(INDEX(Equipment_Allocation_New,0,MATCH($C$107,Unit_codes,0)),"&gt;0")&lt;ROWS('2.2-Equipment input'!$X$8:$X15),"N/A",INDEX('2.2-Equipment input'!B:B,SMALL(IF(INDEX(Equipment_Allocation_New,0,MATCH($C$107,Unit_codes,0))&gt;0,ROW(equipment_ID)),ROW('2.2-Equipment input'!B8))))</f>
        <v>N/A</v>
      </c>
      <c r="C117" s="70" t="str">
        <f>IF($B117="N/A","N/A",INDEX(Equipment_name[],MATCH(B117,equipment_ID,0)))</f>
        <v>N/A</v>
      </c>
      <c r="D117" s="288" t="str">
        <f t="shared" si="10"/>
        <v>N/A</v>
      </c>
      <c r="E117" s="88" t="str">
        <f t="shared" si="11"/>
        <v>N/A</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12"/>
        <v/>
      </c>
      <c r="I117" s="130" t="str">
        <f>IF($B117="N/A","",IF(INDEX(Equipment_Utility_Decision,MATCH($B117,equipment_ID,0))='4.2-Settings Internal'!$B$30,INDEX(Equipment_Utility_Electricity,MATCH($B117,equipment_ID,0)),""))</f>
        <v/>
      </c>
      <c r="J117" s="288" t="str">
        <f t="shared" si="13"/>
        <v/>
      </c>
      <c r="K117" s="130" t="str">
        <f>IF($B117="N/A","",IF(INDEX(Equipment_Utility_Decision,MATCH($B117,equipment_ID,0))=INDEX(Yes_No_Choice[],1),INDEX(Equipment_Utility_Fuel,MATCH($B117,equipment_ID,0)),""))</f>
        <v/>
      </c>
      <c r="L117" s="288" t="str">
        <f t="shared" si="14"/>
        <v/>
      </c>
      <c r="M117" s="89" t="str">
        <f t="shared" si="15"/>
        <v/>
      </c>
      <c r="N117" s="288" t="str">
        <f t="shared" si="16"/>
        <v/>
      </c>
      <c r="O117" s="130" t="str">
        <f t="shared" si="17"/>
        <v/>
      </c>
    </row>
    <row r="118" spans="2:15">
      <c r="B118" s="70" t="str">
        <f t="array" ref="B118">IF(COUNTIFS(INDEX(Equipment_Allocation_New,0,MATCH($C$107,Unit_codes,0)),"&gt;0")&lt;ROWS('2.2-Equipment input'!$X$8:$X16),"N/A",INDEX('2.2-Equipment input'!B:B,SMALL(IF(INDEX(Equipment_Allocation_New,0,MATCH($C$107,Unit_codes,0))&gt;0,ROW(equipment_ID)),ROW('2.2-Equipment input'!B9))))</f>
        <v>N/A</v>
      </c>
      <c r="C118" s="70" t="str">
        <f>IF($B118="N/A","N/A",INDEX(Equipment_name[],MATCH(B118,equipment_ID,0)))</f>
        <v>N/A</v>
      </c>
      <c r="D118" s="288" t="str">
        <f t="shared" si="10"/>
        <v>N/A</v>
      </c>
      <c r="E118" s="88" t="str">
        <f t="shared" si="11"/>
        <v>N/A</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2"/>
        <v/>
      </c>
      <c r="I118" s="130" t="str">
        <f>IF($B118="N/A","",IF(INDEX(Equipment_Utility_Decision,MATCH($B118,equipment_ID,0))='4.2-Settings Internal'!$B$30,INDEX(Equipment_Utility_Electricity,MATCH($B118,equipment_ID,0)),""))</f>
        <v/>
      </c>
      <c r="J118" s="288" t="str">
        <f t="shared" si="13"/>
        <v/>
      </c>
      <c r="K118" s="130" t="str">
        <f>IF($B118="N/A","",IF(INDEX(Equipment_Utility_Decision,MATCH($B118,equipment_ID,0))=INDEX(Yes_No_Choice[],1),INDEX(Equipment_Utility_Fuel,MATCH($B118,equipment_ID,0)),""))</f>
        <v/>
      </c>
      <c r="L118" s="288" t="str">
        <f t="shared" si="14"/>
        <v/>
      </c>
      <c r="M118" s="89" t="str">
        <f t="shared" si="15"/>
        <v/>
      </c>
      <c r="N118" s="288" t="str">
        <f t="shared" si="16"/>
        <v/>
      </c>
      <c r="O118" s="130" t="str">
        <f t="shared" si="17"/>
        <v/>
      </c>
    </row>
    <row r="119" spans="2:15">
      <c r="B119" s="70" t="str">
        <f t="array" ref="B119">IF(COUNTIFS(INDEX(Equipment_Allocation_New,0,MATCH($C$107,Unit_codes,0)),"&gt;0")&lt;ROWS('2.2-Equipment input'!$X$8:$X17),"N/A",INDEX('2.2-Equipment input'!B:B,SMALL(IF(INDEX(Equipment_Allocation_New,0,MATCH($C$107,Unit_codes,0))&gt;0,ROW(equipment_ID)),ROW('2.2-Equipment input'!B10))))</f>
        <v>N/A</v>
      </c>
      <c r="C119" s="70" t="str">
        <f>IF($B119="N/A","N/A",INDEX(Equipment_name[],MATCH(B119,equipment_ID,0)))</f>
        <v>N/A</v>
      </c>
      <c r="D119" s="288" t="str">
        <f t="shared" si="10"/>
        <v>N/A</v>
      </c>
      <c r="E119" s="88" t="str">
        <f t="shared" si="11"/>
        <v>N/A</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12"/>
        <v/>
      </c>
      <c r="I119" s="130" t="str">
        <f>IF($B119="N/A","",IF(INDEX(Equipment_Utility_Decision,MATCH($B119,equipment_ID,0))='4.2-Settings Internal'!$B$30,INDEX(Equipment_Utility_Electricity,MATCH($B119,equipment_ID,0)),""))</f>
        <v/>
      </c>
      <c r="J119" s="288" t="str">
        <f t="shared" si="13"/>
        <v/>
      </c>
      <c r="K119" s="130" t="str">
        <f>IF($B119="N/A","",IF(INDEX(Equipment_Utility_Decision,MATCH($B119,equipment_ID,0))=INDEX(Yes_No_Choice[],1),INDEX(Equipment_Utility_Fuel,MATCH($B119,equipment_ID,0)),""))</f>
        <v/>
      </c>
      <c r="L119" s="288" t="str">
        <f t="shared" si="14"/>
        <v/>
      </c>
      <c r="M119" s="89" t="str">
        <f t="shared" si="15"/>
        <v/>
      </c>
      <c r="N119" s="288" t="str">
        <f t="shared" si="16"/>
        <v/>
      </c>
      <c r="O119" s="130" t="str">
        <f t="shared" si="17"/>
        <v/>
      </c>
    </row>
    <row r="120" spans="2:15">
      <c r="B120" s="70" t="str">
        <f t="array" ref="B120">IF(COUNTIFS(INDEX(Equipment_Allocation_New,0,MATCH($C$107,Unit_codes,0)),"&gt;0")&lt;ROWS('2.2-Equipment input'!$X$8:$X18),"N/A",INDEX('2.2-Equipment input'!B:B,SMALL(IF(INDEX(Equipment_Allocation_New,0,MATCH($C$107,Unit_codes,0))&gt;0,ROW(equipment_ID)),ROW('2.2-Equipment input'!B11))))</f>
        <v>N/A</v>
      </c>
      <c r="C120" s="70" t="str">
        <f>IF($B120="N/A","N/A",INDEX(Equipment_name[],MATCH(B120,equipment_ID,0)))</f>
        <v>N/A</v>
      </c>
      <c r="D120" s="288" t="str">
        <f t="shared" si="10"/>
        <v>N/A</v>
      </c>
      <c r="E120" s="88" t="str">
        <f t="shared" si="11"/>
        <v>N/A</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2"/>
        <v/>
      </c>
      <c r="I120" s="130" t="str">
        <f>IF($B120="N/A","",IF(INDEX(Equipment_Utility_Decision,MATCH($B120,equipment_ID,0))='4.2-Settings Internal'!$B$30,INDEX(Equipment_Utility_Electricity,MATCH($B120,equipment_ID,0)),""))</f>
        <v/>
      </c>
      <c r="J120" s="288" t="str">
        <f t="shared" si="13"/>
        <v/>
      </c>
      <c r="K120" s="130" t="str">
        <f>IF($B120="N/A","",IF(INDEX(Equipment_Utility_Decision,MATCH($B120,equipment_ID,0))=INDEX(Yes_No_Choice[],1),INDEX(Equipment_Utility_Fuel,MATCH($B120,equipment_ID,0)),""))</f>
        <v/>
      </c>
      <c r="L120" s="288" t="str">
        <f t="shared" si="14"/>
        <v/>
      </c>
      <c r="M120" s="89" t="str">
        <f t="shared" si="15"/>
        <v/>
      </c>
      <c r="N120" s="288" t="str">
        <f t="shared" si="16"/>
        <v/>
      </c>
      <c r="O120" s="130" t="str">
        <f t="shared" si="17"/>
        <v/>
      </c>
    </row>
    <row r="121" spans="2:15">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10"/>
        <v>N/A</v>
      </c>
      <c r="E121" s="88" t="str">
        <f t="shared" si="11"/>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89" t="str">
        <f t="shared" si="15"/>
        <v/>
      </c>
      <c r="N121" s="288" t="str">
        <f t="shared" si="16"/>
        <v/>
      </c>
      <c r="O121" s="130" t="str">
        <f t="shared" si="17"/>
        <v/>
      </c>
    </row>
    <row r="122" spans="2:15">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10"/>
        <v>N/A</v>
      </c>
      <c r="E122" s="88" t="str">
        <f t="shared" si="11"/>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89" t="str">
        <f t="shared" si="15"/>
        <v/>
      </c>
      <c r="N122" s="288" t="str">
        <f t="shared" si="16"/>
        <v/>
      </c>
      <c r="O122" s="130" t="str">
        <f t="shared" si="17"/>
        <v/>
      </c>
    </row>
    <row r="123" spans="2:15">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10"/>
        <v>N/A</v>
      </c>
      <c r="E123" s="88" t="str">
        <f t="shared" si="11"/>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89" t="str">
        <f t="shared" si="15"/>
        <v/>
      </c>
      <c r="N123" s="288" t="str">
        <f t="shared" si="16"/>
        <v/>
      </c>
      <c r="O123" s="130" t="str">
        <f t="shared" si="17"/>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0"/>
        <v>N/A</v>
      </c>
      <c r="E124" s="88" t="str">
        <f t="shared" si="11"/>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89" t="str">
        <f t="shared" si="15"/>
        <v/>
      </c>
      <c r="N124" s="288" t="str">
        <f t="shared" si="16"/>
        <v/>
      </c>
      <c r="O124" s="130" t="str">
        <f t="shared" si="17"/>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0"/>
        <v>N/A</v>
      </c>
      <c r="E125" s="88" t="str">
        <f t="shared" si="11"/>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2"/>
        <v/>
      </c>
      <c r="I125" s="130" t="str">
        <f>IF($B125="N/A","",IF(INDEX(Equipment_Utility_Decision,MATCH($B125,equipment_ID,0))='4.2-Settings Internal'!$B$30,INDEX(Equipment_Utility_Electricity,MATCH($B125,equipment_ID,0)),""))</f>
        <v/>
      </c>
      <c r="J125" s="288" t="str">
        <f t="shared" si="13"/>
        <v/>
      </c>
      <c r="K125" s="130" t="str">
        <f>IF($B125="N/A","",IF(INDEX(Equipment_Utility_Decision,MATCH($B125,equipment_ID,0))=INDEX(Yes_No_Choice[],1),INDEX(Equipment_Utility_Fuel,MATCH($B125,equipment_ID,0)),""))</f>
        <v/>
      </c>
      <c r="L125" s="288" t="str">
        <f t="shared" si="14"/>
        <v/>
      </c>
      <c r="M125" s="89" t="str">
        <f t="shared" si="15"/>
        <v/>
      </c>
      <c r="N125" s="288" t="str">
        <f t="shared" si="16"/>
        <v/>
      </c>
      <c r="O125" s="130" t="str">
        <f t="shared" si="17"/>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0"/>
        <v>N/A</v>
      </c>
      <c r="E126" s="88" t="str">
        <f t="shared" si="11"/>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2"/>
        <v/>
      </c>
      <c r="I126" s="130" t="str">
        <f>IF($B126="N/A","",IF(INDEX(Equipment_Utility_Decision,MATCH($B126,equipment_ID,0))='4.2-Settings Internal'!$B$30,INDEX(Equipment_Utility_Electricity,MATCH($B126,equipment_ID,0)),""))</f>
        <v/>
      </c>
      <c r="J126" s="288" t="str">
        <f t="shared" si="13"/>
        <v/>
      </c>
      <c r="K126" s="130" t="str">
        <f>IF($B126="N/A","",IF(INDEX(Equipment_Utility_Decision,MATCH($B126,equipment_ID,0))=INDEX(Yes_No_Choice[],1),INDEX(Equipment_Utility_Fuel,MATCH($B126,equipment_ID,0)),""))</f>
        <v/>
      </c>
      <c r="L126" s="288" t="str">
        <f t="shared" si="14"/>
        <v/>
      </c>
      <c r="M126" s="89" t="str">
        <f t="shared" si="15"/>
        <v/>
      </c>
      <c r="N126" s="288" t="str">
        <f t="shared" si="16"/>
        <v/>
      </c>
      <c r="O126" s="130" t="str">
        <f t="shared" si="17"/>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0"/>
        <v>N/A</v>
      </c>
      <c r="E127" s="88" t="str">
        <f t="shared" si="11"/>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2"/>
        <v/>
      </c>
      <c r="I127" s="130" t="str">
        <f>IF($B127="N/A","",IF(INDEX(Equipment_Utility_Decision,MATCH($B127,equipment_ID,0))='4.2-Settings Internal'!$B$30,INDEX(Equipment_Utility_Electricity,MATCH($B127,equipment_ID,0)),""))</f>
        <v/>
      </c>
      <c r="J127" s="288" t="str">
        <f t="shared" si="13"/>
        <v/>
      </c>
      <c r="K127" s="130" t="str">
        <f>IF($B127="N/A","",IF(INDEX(Equipment_Utility_Decision,MATCH($B127,equipment_ID,0))=INDEX(Yes_No_Choice[],1),INDEX(Equipment_Utility_Fuel,MATCH($B127,equipment_ID,0)),""))</f>
        <v/>
      </c>
      <c r="L127" s="288" t="str">
        <f t="shared" si="14"/>
        <v/>
      </c>
      <c r="M127" s="89" t="str">
        <f t="shared" si="15"/>
        <v/>
      </c>
      <c r="N127" s="288" t="str">
        <f t="shared" si="16"/>
        <v/>
      </c>
      <c r="O127" s="130" t="str">
        <f t="shared" si="17"/>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0"/>
        <v>N/A</v>
      </c>
      <c r="E128" s="88" t="str">
        <f t="shared" si="11"/>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2"/>
        <v/>
      </c>
      <c r="I128" s="130" t="str">
        <f>IF($B128="N/A","",IF(INDEX(Equipment_Utility_Decision,MATCH($B128,equipment_ID,0))='4.2-Settings Internal'!$B$30,INDEX(Equipment_Utility_Electricity,MATCH($B128,equipment_ID,0)),""))</f>
        <v/>
      </c>
      <c r="J128" s="288" t="str">
        <f t="shared" si="13"/>
        <v/>
      </c>
      <c r="K128" s="130" t="str">
        <f>IF($B128="N/A","",IF(INDEX(Equipment_Utility_Decision,MATCH($B128,equipment_ID,0))=INDEX(Yes_No_Choice[],1),INDEX(Equipment_Utility_Fuel,MATCH($B128,equipment_ID,0)),""))</f>
        <v/>
      </c>
      <c r="L128" s="288" t="str">
        <f t="shared" si="14"/>
        <v/>
      </c>
      <c r="M128" s="89" t="str">
        <f t="shared" si="15"/>
        <v/>
      </c>
      <c r="N128" s="288" t="str">
        <f t="shared" si="16"/>
        <v/>
      </c>
      <c r="O128" s="130" t="str">
        <f t="shared" si="17"/>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0"/>
        <v>N/A</v>
      </c>
      <c r="E129" s="88" t="str">
        <f t="shared" si="11"/>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2"/>
        <v/>
      </c>
      <c r="I129" s="130" t="str">
        <f>IF($B129="N/A","",IF(INDEX(Equipment_Utility_Decision,MATCH($B129,equipment_ID,0))='4.2-Settings Internal'!$B$30,INDEX(Equipment_Utility_Electricity,MATCH($B129,equipment_ID,0)),""))</f>
        <v/>
      </c>
      <c r="J129" s="288" t="str">
        <f t="shared" si="13"/>
        <v/>
      </c>
      <c r="K129" s="130" t="str">
        <f>IF($B129="N/A","",IF(INDEX(Equipment_Utility_Decision,MATCH($B129,equipment_ID,0))=INDEX(Yes_No_Choice[],1),INDEX(Equipment_Utility_Fuel,MATCH($B129,equipment_ID,0)),""))</f>
        <v/>
      </c>
      <c r="L129" s="288" t="str">
        <f t="shared" si="14"/>
        <v/>
      </c>
      <c r="M129" s="89" t="str">
        <f t="shared" si="15"/>
        <v/>
      </c>
      <c r="N129" s="288" t="str">
        <f t="shared" si="16"/>
        <v/>
      </c>
      <c r="O129" s="130" t="str">
        <f t="shared" si="17"/>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89" t="str">
        <f t="shared" si="15"/>
        <v/>
      </c>
      <c r="N130" s="288" t="str">
        <f t="shared" si="16"/>
        <v/>
      </c>
      <c r="O130" s="130" t="str">
        <f t="shared" si="17"/>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89" t="str">
        <f t="shared" si="15"/>
        <v/>
      </c>
      <c r="N131" s="288" t="str">
        <f t="shared" si="16"/>
        <v/>
      </c>
      <c r="O131" s="130" t="str">
        <f t="shared" si="17"/>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89" t="str">
        <f t="shared" si="15"/>
        <v/>
      </c>
      <c r="N132" s="288" t="str">
        <f t="shared" si="16"/>
        <v/>
      </c>
      <c r="O132" s="130" t="str">
        <f t="shared" si="17"/>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89" t="str">
        <f t="shared" si="15"/>
        <v/>
      </c>
      <c r="N133" s="288" t="str">
        <f t="shared" si="16"/>
        <v/>
      </c>
      <c r="O133" s="130" t="str">
        <f t="shared" si="17"/>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89" t="str">
        <f t="shared" si="15"/>
        <v/>
      </c>
      <c r="N134" s="288" t="str">
        <f t="shared" si="16"/>
        <v/>
      </c>
      <c r="O134" s="130" t="str">
        <f t="shared" si="17"/>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89" t="str">
        <f t="shared" si="15"/>
        <v/>
      </c>
      <c r="N135" s="288" t="str">
        <f t="shared" si="16"/>
        <v/>
      </c>
      <c r="O135" s="130" t="str">
        <f t="shared" si="17"/>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89" t="str">
        <f t="shared" si="15"/>
        <v/>
      </c>
      <c r="N136" s="288" t="str">
        <f t="shared" si="16"/>
        <v/>
      </c>
      <c r="O136" s="130" t="str">
        <f t="shared" si="17"/>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89" t="str">
        <f t="shared" si="15"/>
        <v/>
      </c>
      <c r="N137" s="288" t="str">
        <f t="shared" si="16"/>
        <v/>
      </c>
      <c r="O137" s="130" t="str">
        <f t="shared" si="17"/>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89" t="str">
        <f t="shared" si="15"/>
        <v/>
      </c>
      <c r="N138" s="288" t="str">
        <f t="shared" si="16"/>
        <v/>
      </c>
      <c r="O138" s="130" t="str">
        <f t="shared" si="17"/>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89" t="str">
        <f t="shared" si="15"/>
        <v/>
      </c>
      <c r="N139" s="288" t="str">
        <f t="shared" si="16"/>
        <v/>
      </c>
      <c r="O139" s="130" t="str">
        <f t="shared" si="17"/>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89" t="str">
        <f t="shared" si="15"/>
        <v/>
      </c>
      <c r="N140" s="288" t="str">
        <f t="shared" si="16"/>
        <v/>
      </c>
      <c r="O140" s="130" t="str">
        <f t="shared" si="17"/>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89" t="str">
        <f t="shared" si="15"/>
        <v/>
      </c>
      <c r="N141" s="288" t="str">
        <f t="shared" si="16"/>
        <v/>
      </c>
      <c r="O141" s="130" t="str">
        <f t="shared" si="17"/>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89" t="str">
        <f t="shared" si="15"/>
        <v/>
      </c>
      <c r="N142" s="288" t="str">
        <f t="shared" si="16"/>
        <v/>
      </c>
      <c r="O142" s="130" t="str">
        <f t="shared" si="17"/>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89" t="str">
        <f t="shared" si="15"/>
        <v/>
      </c>
      <c r="N143" s="288" t="str">
        <f t="shared" si="16"/>
        <v/>
      </c>
      <c r="O143" s="130" t="str">
        <f t="shared" si="17"/>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89" t="str">
        <f t="shared" si="15"/>
        <v/>
      </c>
      <c r="N144" s="288" t="str">
        <f t="shared" si="16"/>
        <v/>
      </c>
      <c r="O144" s="130" t="str">
        <f t="shared" si="17"/>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89" t="str">
        <f t="shared" si="15"/>
        <v/>
      </c>
      <c r="N145" s="288" t="str">
        <f t="shared" si="16"/>
        <v/>
      </c>
      <c r="O145" s="130" t="str">
        <f t="shared" si="17"/>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89" t="str">
        <f t="shared" si="15"/>
        <v/>
      </c>
      <c r="N146" s="288" t="str">
        <f t="shared" si="16"/>
        <v/>
      </c>
      <c r="O146" s="130" t="str">
        <f t="shared" si="17"/>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89" t="str">
        <f t="shared" si="15"/>
        <v/>
      </c>
      <c r="N147" s="288" t="str">
        <f t="shared" si="16"/>
        <v/>
      </c>
      <c r="O147" s="130" t="str">
        <f t="shared" si="17"/>
        <v/>
      </c>
    </row>
    <row r="148" spans="2:23" ht="31.5" customHeight="1"/>
    <row r="149" spans="2:23" ht="31.5" customHeight="1">
      <c r="F149" s="82"/>
      <c r="G149" s="201" t="s">
        <v>594</v>
      </c>
      <c r="H149" s="306">
        <f>SUM(H152:H189)</f>
        <v>527.25421357265361</v>
      </c>
      <c r="I149" s="306">
        <f t="shared" ref="I149:W149" si="18">SUM(I152:I189)</f>
        <v>0</v>
      </c>
      <c r="J149" s="306">
        <f t="shared" si="18"/>
        <v>0</v>
      </c>
      <c r="K149" s="306">
        <f t="shared" si="18"/>
        <v>191.18807099733613</v>
      </c>
      <c r="L149" s="306">
        <f t="shared" si="18"/>
        <v>0</v>
      </c>
      <c r="M149" s="306">
        <f t="shared" si="18"/>
        <v>336.06614257531749</v>
      </c>
      <c r="N149" s="306">
        <f t="shared" si="18"/>
        <v>191.18807099733613</v>
      </c>
      <c r="O149" s="306">
        <f t="shared" si="18"/>
        <v>0</v>
      </c>
      <c r="P149" s="306">
        <f t="shared" si="18"/>
        <v>0</v>
      </c>
      <c r="Q149" s="306">
        <f t="shared" si="18"/>
        <v>191.18807099733613</v>
      </c>
      <c r="R149" s="306">
        <f t="shared" si="18"/>
        <v>336.06614257531749</v>
      </c>
      <c r="S149" s="306">
        <f t="shared" si="18"/>
        <v>0</v>
      </c>
      <c r="T149" s="306">
        <f t="shared" si="18"/>
        <v>191.18807099733613</v>
      </c>
      <c r="U149" s="306">
        <f t="shared" si="18"/>
        <v>0</v>
      </c>
      <c r="V149" s="306">
        <f t="shared" si="18"/>
        <v>0</v>
      </c>
      <c r="W149" s="306">
        <f t="shared" si="18"/>
        <v>527.25421357265361</v>
      </c>
    </row>
    <row r="151" spans="2:23" ht="31">
      <c r="B151" s="91" t="s">
        <v>82</v>
      </c>
      <c r="C151" s="91" t="s">
        <v>51</v>
      </c>
      <c r="D151" s="116" t="s">
        <v>50</v>
      </c>
      <c r="E151" s="197" t="s">
        <v>147</v>
      </c>
      <c r="F151" s="116" t="s">
        <v>48</v>
      </c>
      <c r="G151" s="116" t="s">
        <v>119</v>
      </c>
      <c r="H151" s="199" t="s">
        <v>591</v>
      </c>
      <c r="I151" s="199" t="s">
        <v>568</v>
      </c>
      <c r="J151" s="199" t="s">
        <v>569</v>
      </c>
      <c r="K151" s="199" t="s">
        <v>570</v>
      </c>
      <c r="L151" s="199" t="s">
        <v>571</v>
      </c>
      <c r="M151" s="199" t="s">
        <v>572</v>
      </c>
      <c r="N151" s="199" t="s">
        <v>573</v>
      </c>
      <c r="O151" s="199" t="s">
        <v>574</v>
      </c>
      <c r="P151" s="199" t="s">
        <v>575</v>
      </c>
      <c r="Q151" s="199" t="s">
        <v>576</v>
      </c>
      <c r="R151" s="199" t="s">
        <v>577</v>
      </c>
      <c r="S151" s="199" t="s">
        <v>578</v>
      </c>
      <c r="T151" s="199" t="s">
        <v>579</v>
      </c>
      <c r="U151" s="199" t="s">
        <v>580</v>
      </c>
      <c r="V151" s="199" t="s">
        <v>581</v>
      </c>
      <c r="W151" s="199"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eq0003</v>
      </c>
      <c r="C152" s="70" t="str">
        <f>IF($B152="N/A","N/A",INDEX(Equipment_name[],MATCH(B152,equipment_ID,0)))</f>
        <v>Conversion crates</v>
      </c>
      <c r="D152" s="288">
        <f t="shared" ref="D152:D189" si="19">IF($B152="N/A","N/A",INDEX(Equipment_Capital_Cost,MATCH($B152,equipment_ID,0)))</f>
        <v>4.9567277665976031</v>
      </c>
      <c r="E152" s="88">
        <f t="shared" ref="E152:E189" si="20">IF($B152="N/A","N/A",INDEX(Equipment_Lifetime,MATCH($B152,equipment_ID,0)))</f>
        <v>5</v>
      </c>
      <c r="F152" s="200">
        <f t="shared" ref="F152:F189" si="21">IF($B152="N/A","N/A",INDEX(Equipment_Quantity_New,MATCH($B152,equipment_ID,0)))</f>
        <v>16</v>
      </c>
      <c r="G152" s="202">
        <f t="shared" ref="G152:G189" si="22">IF($B152="N/A","N/A",INDEX(Equipment_Allocation_New,MATCH($B152,equipment_ID,0),MATCH($C$107,Unit_codes,0)))</f>
        <v>0.5</v>
      </c>
      <c r="H152" s="288">
        <f>IFERROR(IF($B152="N/A","N/A",IF(MOD(COLUMNS(H$151:$H$151)-1,$E152)=0,$F152*$D152*$G152,)),)</f>
        <v>39.653822132780824</v>
      </c>
      <c r="I152" s="288">
        <f>IFERROR(IF($B152="N/A","N/A",IF(MOD(COLUMNS($H$151:I$151)-1,$E152)=0,$F152*$D152*$G152,)),)</f>
        <v>0</v>
      </c>
      <c r="J152" s="288">
        <f>IFERROR(IF($B152="N/A","N/A",IF(MOD(COLUMNS($H$151:J$151)-1,$E152)=0,$F152*$D152*$G152,)),)</f>
        <v>0</v>
      </c>
      <c r="K152" s="288">
        <f>IFERROR(IF($B152="N/A","N/A",IF(MOD(COLUMNS($H$151:K$151)-1,$E152)=0,$F152*$D152*$G152,)),)</f>
        <v>0</v>
      </c>
      <c r="L152" s="288">
        <f>IFERROR(IF($B152="N/A","N/A",IF(MOD(COLUMNS($H$151:L$151)-1,$E152)=0,$F152*$D152*$G152,)),)</f>
        <v>0</v>
      </c>
      <c r="M152" s="288">
        <f>IFERROR(IF($B152="N/A","N/A",IF(MOD(COLUMNS($H$151:M$151)-1,$E152)=0,$F152*$D152*$G152,)),)</f>
        <v>39.653822132780824</v>
      </c>
      <c r="N152" s="288">
        <f>IFERROR(IF($B152="N/A","N/A",IF(MOD(COLUMNS($H$151:N$151)-1,$E152)=0,$F152*$D152*$G152,)),)</f>
        <v>0</v>
      </c>
      <c r="O152" s="288">
        <f>IFERROR(IF($B152="N/A","N/A",IF(MOD(COLUMNS($H$151:O$151)-1,$E152)=0,$F152*$D152*$G152,)),)</f>
        <v>0</v>
      </c>
      <c r="P152" s="288">
        <f>IFERROR(IF($B152="N/A","N/A",IF(MOD(COLUMNS($H$151:P$151)-1,$E152)=0,$F152*$D152*$G152,)),)</f>
        <v>0</v>
      </c>
      <c r="Q152" s="288">
        <f>IFERROR(IF($B152="N/A","N/A",IF(MOD(COLUMNS($H$151:Q$151)-1,$E152)=0,$F152*$D152*$G152,)),)</f>
        <v>0</v>
      </c>
      <c r="R152" s="288">
        <f>IFERROR(IF($B152="N/A","N/A",IF(MOD(COLUMNS($H$151:R$151)-1,$E152)=0,$F152*$D152*$G152,)),)</f>
        <v>39.653822132780824</v>
      </c>
      <c r="S152" s="288">
        <f>IFERROR(IF($B152="N/A","N/A",IF(MOD(COLUMNS($H$151:S$151)-1,$E152)=0,$F152*$D152*$G152,)),)</f>
        <v>0</v>
      </c>
      <c r="T152" s="288">
        <f>IFERROR(IF($B152="N/A","N/A",IF(MOD(COLUMNS($H$151:T$151)-1,$E152)=0,$F152*$D152*$G152,)),)</f>
        <v>0</v>
      </c>
      <c r="U152" s="288">
        <f>IFERROR(IF($B152="N/A","N/A",IF(MOD(COLUMNS($H$151:U$151)-1,$E152)=0,$F152*$D152*$G152,)),)</f>
        <v>0</v>
      </c>
      <c r="V152" s="288">
        <f>IFERROR(IF($B152="N/A","N/A",IF(MOD(COLUMNS($H$151:V$151)-1,$E152)=0,$F152*$D152*$G152,)),)</f>
        <v>0</v>
      </c>
      <c r="W152" s="288">
        <f>IFERROR(IF($B152="N/A","N/A",IF(MOD(COLUMNS($H$151:W$151)-1,$E152)=0,$F152*$D152*$G152,)),)</f>
        <v>39.653822132780824</v>
      </c>
    </row>
    <row r="153" spans="2:23">
      <c r="B153" s="70" t="str">
        <f t="array" ref="B153">IF(COUNTIFS(INDEX(Equipment_Allocation_New,0,MATCH($C$107,Unit_codes,0)),"&gt;0")&lt;ROWS('2.2-Equipment input'!$X$8:$X9),"N/A",INDEX('2.2-Equipment input'!B:B,SMALL(IF(INDEX(Equipment_Allocation_New,0,MATCH($C$107,Unit_codes,0))&gt;0,ROW(equipment_ID)),ROW('2.2-Equipment input'!B2))))</f>
        <v>eq0004</v>
      </c>
      <c r="C153" s="70" t="str">
        <f>IF($B153="N/A","N/A",INDEX(Equipment_name[],MATCH(B153,equipment_ID,0)))</f>
        <v>Pallets</v>
      </c>
      <c r="D153" s="288">
        <f t="shared" si="19"/>
        <v>10.621559499852006</v>
      </c>
      <c r="E153" s="88">
        <f t="shared" si="20"/>
        <v>5</v>
      </c>
      <c r="F153" s="200">
        <f t="shared" si="21"/>
        <v>1</v>
      </c>
      <c r="G153" s="202">
        <f t="shared" si="22"/>
        <v>0.44</v>
      </c>
      <c r="H153" s="288">
        <f>IFERROR(IF($B153="N/A","N/A",IF(MOD(COLUMNS(H$151:$H$151)-1,$E153)=0,$F153*$D153*$G153,)),)</f>
        <v>4.6734861799348826</v>
      </c>
      <c r="I153" s="288">
        <f>IFERROR(IF($B153="N/A","N/A",IF(MOD(COLUMNS($H$151:I$151)-1,$E153)=0,$F153*$D153*$G153,)),)</f>
        <v>0</v>
      </c>
      <c r="J153" s="288">
        <f>IFERROR(IF($B153="N/A","N/A",IF(MOD(COLUMNS($H$151:J$151)-1,$E153)=0,$F153*$D153*$G153,)),)</f>
        <v>0</v>
      </c>
      <c r="K153" s="288">
        <f>IFERROR(IF($B153="N/A","N/A",IF(MOD(COLUMNS($H$151:K$151)-1,$E153)=0,$F153*$D153*$G153,)),)</f>
        <v>0</v>
      </c>
      <c r="L153" s="288">
        <f>IFERROR(IF($B153="N/A","N/A",IF(MOD(COLUMNS($H$151:L$151)-1,$E153)=0,$F153*$D153*$G153,)),)</f>
        <v>0</v>
      </c>
      <c r="M153" s="288">
        <f>IFERROR(IF($B153="N/A","N/A",IF(MOD(COLUMNS($H$151:M$151)-1,$E153)=0,$F153*$D153*$G153,)),)</f>
        <v>4.6734861799348826</v>
      </c>
      <c r="N153" s="288">
        <f>IFERROR(IF($B153="N/A","N/A",IF(MOD(COLUMNS($H$151:N$151)-1,$E153)=0,$F153*$D153*$G153,)),)</f>
        <v>0</v>
      </c>
      <c r="O153" s="288">
        <f>IFERROR(IF($B153="N/A","N/A",IF(MOD(COLUMNS($H$151:O$151)-1,$E153)=0,$F153*$D153*$G153,)),)</f>
        <v>0</v>
      </c>
      <c r="P153" s="288">
        <f>IFERROR(IF($B153="N/A","N/A",IF(MOD(COLUMNS($H$151:P$151)-1,$E153)=0,$F153*$D153*$G153,)),)</f>
        <v>0</v>
      </c>
      <c r="Q153" s="288">
        <f>IFERROR(IF($B153="N/A","N/A",IF(MOD(COLUMNS($H$151:Q$151)-1,$E153)=0,$F153*$D153*$G153,)),)</f>
        <v>0</v>
      </c>
      <c r="R153" s="288">
        <f>IFERROR(IF($B153="N/A","N/A",IF(MOD(COLUMNS($H$151:R$151)-1,$E153)=0,$F153*$D153*$G153,)),)</f>
        <v>4.6734861799348826</v>
      </c>
      <c r="S153" s="288">
        <f>IFERROR(IF($B153="N/A","N/A",IF(MOD(COLUMNS($H$151:S$151)-1,$E153)=0,$F153*$D153*$G153,)),)</f>
        <v>0</v>
      </c>
      <c r="T153" s="288">
        <f>IFERROR(IF($B153="N/A","N/A",IF(MOD(COLUMNS($H$151:T$151)-1,$E153)=0,$F153*$D153*$G153,)),)</f>
        <v>0</v>
      </c>
      <c r="U153" s="288">
        <f>IFERROR(IF($B153="N/A","N/A",IF(MOD(COLUMNS($H$151:U$151)-1,$E153)=0,$F153*$D153*$G153,)),)</f>
        <v>0</v>
      </c>
      <c r="V153" s="288">
        <f>IFERROR(IF($B153="N/A","N/A",IF(MOD(COLUMNS($H$151:V$151)-1,$E153)=0,$F153*$D153*$G153,)),)</f>
        <v>0</v>
      </c>
      <c r="W153" s="288">
        <f>IFERROR(IF($B153="N/A","N/A",IF(MOD(COLUMNS($H$151:W$151)-1,$E153)=0,$F153*$D153*$G153,)),)</f>
        <v>4.6734861799348826</v>
      </c>
    </row>
    <row r="154" spans="2:23">
      <c r="B154" s="70" t="str">
        <f t="array" ref="B154">IF(COUNTIFS(INDEX(Equipment_Allocation_New,0,MATCH($C$107,Unit_codes,0)),"&gt;0")&lt;ROWS('2.2-Equipment input'!$X$8:$X10),"N/A",INDEX('2.2-Equipment input'!B:B,SMALL(IF(INDEX(Equipment_Allocation_New,0,MATCH($C$107,Unit_codes,0))&gt;0,ROW(equipment_ID)),ROW('2.2-Equipment input'!B3))))</f>
        <v>eq0005</v>
      </c>
      <c r="C154" s="70" t="str">
        <f>IF($B154="N/A","N/A",INDEX(Equipment_name[],MATCH(B154,equipment_ID,0)))</f>
        <v>Ventilation frames</v>
      </c>
      <c r="D154" s="288">
        <f t="shared" si="19"/>
        <v>17.702599166420011</v>
      </c>
      <c r="E154" s="88">
        <f t="shared" si="20"/>
        <v>5</v>
      </c>
      <c r="F154" s="200">
        <f t="shared" si="21"/>
        <v>6</v>
      </c>
      <c r="G154" s="202">
        <f t="shared" si="22"/>
        <v>0.5</v>
      </c>
      <c r="H154" s="288">
        <f>IFERROR(IF($B154="N/A","N/A",IF(MOD(COLUMNS(H$151:$H$151)-1,$E154)=0,$F154*$D154*$G154,)),)</f>
        <v>53.10779749926003</v>
      </c>
      <c r="I154" s="288">
        <f>IFERROR(IF($B154="N/A","N/A",IF(MOD(COLUMNS($H$151:I$151)-1,$E154)=0,$F154*$D154*$G154,)),)</f>
        <v>0</v>
      </c>
      <c r="J154" s="288">
        <f>IFERROR(IF($B154="N/A","N/A",IF(MOD(COLUMNS($H$151:J$151)-1,$E154)=0,$F154*$D154*$G154,)),)</f>
        <v>0</v>
      </c>
      <c r="K154" s="288">
        <f>IFERROR(IF($B154="N/A","N/A",IF(MOD(COLUMNS($H$151:K$151)-1,$E154)=0,$F154*$D154*$G154,)),)</f>
        <v>0</v>
      </c>
      <c r="L154" s="288">
        <f>IFERROR(IF($B154="N/A","N/A",IF(MOD(COLUMNS($H$151:L$151)-1,$E154)=0,$F154*$D154*$G154,)),)</f>
        <v>0</v>
      </c>
      <c r="M154" s="288">
        <f>IFERROR(IF($B154="N/A","N/A",IF(MOD(COLUMNS($H$151:M$151)-1,$E154)=0,$F154*$D154*$G154,)),)</f>
        <v>53.10779749926003</v>
      </c>
      <c r="N154" s="288">
        <f>IFERROR(IF($B154="N/A","N/A",IF(MOD(COLUMNS($H$151:N$151)-1,$E154)=0,$F154*$D154*$G154,)),)</f>
        <v>0</v>
      </c>
      <c r="O154" s="288">
        <f>IFERROR(IF($B154="N/A","N/A",IF(MOD(COLUMNS($H$151:O$151)-1,$E154)=0,$F154*$D154*$G154,)),)</f>
        <v>0</v>
      </c>
      <c r="P154" s="288">
        <f>IFERROR(IF($B154="N/A","N/A",IF(MOD(COLUMNS($H$151:P$151)-1,$E154)=0,$F154*$D154*$G154,)),)</f>
        <v>0</v>
      </c>
      <c r="Q154" s="288">
        <f>IFERROR(IF($B154="N/A","N/A",IF(MOD(COLUMNS($H$151:Q$151)-1,$E154)=0,$F154*$D154*$G154,)),)</f>
        <v>0</v>
      </c>
      <c r="R154" s="288">
        <f>IFERROR(IF($B154="N/A","N/A",IF(MOD(COLUMNS($H$151:R$151)-1,$E154)=0,$F154*$D154*$G154,)),)</f>
        <v>53.10779749926003</v>
      </c>
      <c r="S154" s="288">
        <f>IFERROR(IF($B154="N/A","N/A",IF(MOD(COLUMNS($H$151:S$151)-1,$E154)=0,$F154*$D154*$G154,)),)</f>
        <v>0</v>
      </c>
      <c r="T154" s="288">
        <f>IFERROR(IF($B154="N/A","N/A",IF(MOD(COLUMNS($H$151:T$151)-1,$E154)=0,$F154*$D154*$G154,)),)</f>
        <v>0</v>
      </c>
      <c r="U154" s="288">
        <f>IFERROR(IF($B154="N/A","N/A",IF(MOD(COLUMNS($H$151:U$151)-1,$E154)=0,$F154*$D154*$G154,)),)</f>
        <v>0</v>
      </c>
      <c r="V154" s="288">
        <f>IFERROR(IF($B154="N/A","N/A",IF(MOD(COLUMNS($H$151:V$151)-1,$E154)=0,$F154*$D154*$G154,)),)</f>
        <v>0</v>
      </c>
      <c r="W154" s="288">
        <f>IFERROR(IF($B154="N/A","N/A",IF(MOD(COLUMNS($H$151:W$151)-1,$E154)=0,$F154*$D154*$G154,)),)</f>
        <v>53.10779749926003</v>
      </c>
    </row>
    <row r="155" spans="2:23">
      <c r="B155" s="70" t="str">
        <f t="array" ref="B155">IF(COUNTIFS(INDEX(Equipment_Allocation_New,0,MATCH($C$107,Unit_codes,0)),"&gt;0")&lt;ROWS('2.2-Equipment input'!$X$8:$X11),"N/A",INDEX('2.2-Equipment input'!B:B,SMALL(IF(INDEX(Equipment_Allocation_New,0,MATCH($C$107,Unit_codes,0))&gt;0,ROW(equipment_ID)),ROW('2.2-Equipment input'!B4))))</f>
        <v>eq0006</v>
      </c>
      <c r="C155" s="70" t="str">
        <f>IF($B155="N/A","N/A",INDEX(Equipment_name[],MATCH(B155,equipment_ID,0)))</f>
        <v>Pallet trolley</v>
      </c>
      <c r="D155" s="288">
        <f t="shared" si="19"/>
        <v>212.43118999704012</v>
      </c>
      <c r="E155" s="88">
        <f t="shared" si="20"/>
        <v>5</v>
      </c>
      <c r="F155" s="200">
        <f t="shared" si="21"/>
        <v>1</v>
      </c>
      <c r="G155" s="202">
        <f t="shared" si="22"/>
        <v>0.44</v>
      </c>
      <c r="H155" s="288">
        <f>IFERROR(IF($B155="N/A","N/A",IF(MOD(COLUMNS(H$151:$H$151)-1,$E155)=0,$F155*$D155*$G155,)),)</f>
        <v>93.469723598697655</v>
      </c>
      <c r="I155" s="288">
        <f>IFERROR(IF($B155="N/A","N/A",IF(MOD(COLUMNS($H$151:I$151)-1,$E155)=0,$F155*$D155*$G155,)),)</f>
        <v>0</v>
      </c>
      <c r="J155" s="288">
        <f>IFERROR(IF($B155="N/A","N/A",IF(MOD(COLUMNS($H$151:J$151)-1,$E155)=0,$F155*$D155*$G155,)),)</f>
        <v>0</v>
      </c>
      <c r="K155" s="288">
        <f>IFERROR(IF($B155="N/A","N/A",IF(MOD(COLUMNS($H$151:K$151)-1,$E155)=0,$F155*$D155*$G155,)),)</f>
        <v>0</v>
      </c>
      <c r="L155" s="288">
        <f>IFERROR(IF($B155="N/A","N/A",IF(MOD(COLUMNS($H$151:L$151)-1,$E155)=0,$F155*$D155*$G155,)),)</f>
        <v>0</v>
      </c>
      <c r="M155" s="288">
        <f>IFERROR(IF($B155="N/A","N/A",IF(MOD(COLUMNS($H$151:M$151)-1,$E155)=0,$F155*$D155*$G155,)),)</f>
        <v>93.469723598697655</v>
      </c>
      <c r="N155" s="288">
        <f>IFERROR(IF($B155="N/A","N/A",IF(MOD(COLUMNS($H$151:N$151)-1,$E155)=0,$F155*$D155*$G155,)),)</f>
        <v>0</v>
      </c>
      <c r="O155" s="288">
        <f>IFERROR(IF($B155="N/A","N/A",IF(MOD(COLUMNS($H$151:O$151)-1,$E155)=0,$F155*$D155*$G155,)),)</f>
        <v>0</v>
      </c>
      <c r="P155" s="288">
        <f>IFERROR(IF($B155="N/A","N/A",IF(MOD(COLUMNS($H$151:P$151)-1,$E155)=0,$F155*$D155*$G155,)),)</f>
        <v>0</v>
      </c>
      <c r="Q155" s="288">
        <f>IFERROR(IF($B155="N/A","N/A",IF(MOD(COLUMNS($H$151:Q$151)-1,$E155)=0,$F155*$D155*$G155,)),)</f>
        <v>0</v>
      </c>
      <c r="R155" s="288">
        <f>IFERROR(IF($B155="N/A","N/A",IF(MOD(COLUMNS($H$151:R$151)-1,$E155)=0,$F155*$D155*$G155,)),)</f>
        <v>93.469723598697655</v>
      </c>
      <c r="S155" s="288">
        <f>IFERROR(IF($B155="N/A","N/A",IF(MOD(COLUMNS($H$151:S$151)-1,$E155)=0,$F155*$D155*$G155,)),)</f>
        <v>0</v>
      </c>
      <c r="T155" s="288">
        <f>IFERROR(IF($B155="N/A","N/A",IF(MOD(COLUMNS($H$151:T$151)-1,$E155)=0,$F155*$D155*$G155,)),)</f>
        <v>0</v>
      </c>
      <c r="U155" s="288">
        <f>IFERROR(IF($B155="N/A","N/A",IF(MOD(COLUMNS($H$151:U$151)-1,$E155)=0,$F155*$D155*$G155,)),)</f>
        <v>0</v>
      </c>
      <c r="V155" s="288">
        <f>IFERROR(IF($B155="N/A","N/A",IF(MOD(COLUMNS($H$151:V$151)-1,$E155)=0,$F155*$D155*$G155,)),)</f>
        <v>0</v>
      </c>
      <c r="W155" s="288">
        <f>IFERROR(IF($B155="N/A","N/A",IF(MOD(COLUMNS($H$151:W$151)-1,$E155)=0,$F155*$D155*$G155,)),)</f>
        <v>93.469723598697655</v>
      </c>
    </row>
    <row r="156" spans="2:23">
      <c r="B156" s="70" t="str">
        <f t="array" ref="B156">IF(COUNTIFS(INDEX(Equipment_Allocation_New,0,MATCH($C$107,Unit_codes,0)),"&gt;0")&lt;ROWS('2.2-Equipment input'!$X$8:$X12),"N/A",INDEX('2.2-Equipment input'!B:B,SMALL(IF(INDEX(Equipment_Allocation_New,0,MATCH($C$107,Unit_codes,0))&gt;0,ROW(equipment_ID)),ROW('2.2-Equipment input'!B5))))</f>
        <v>eq0008</v>
      </c>
      <c r="C156" s="70" t="str">
        <f>IF($B156="N/A","N/A",INDEX(Equipment_name[],MATCH(B156,equipment_ID,0)))</f>
        <v>High pressure cleaner</v>
      </c>
      <c r="D156" s="288">
        <f t="shared" si="19"/>
        <v>637.29356999112042</v>
      </c>
      <c r="E156" s="88">
        <f t="shared" si="20"/>
        <v>3</v>
      </c>
      <c r="F156" s="200">
        <f t="shared" si="21"/>
        <v>1</v>
      </c>
      <c r="G156" s="202">
        <f t="shared" si="22"/>
        <v>0.3</v>
      </c>
      <c r="H156" s="288">
        <f>IFERROR(IF($B156="N/A","N/A",IF(MOD(COLUMNS(H$151:$H$151)-1,$E156)=0,$F156*$D156*$G156,)),)</f>
        <v>191.18807099733613</v>
      </c>
      <c r="I156" s="288">
        <f>IFERROR(IF($B156="N/A","N/A",IF(MOD(COLUMNS($H$151:I$151)-1,$E156)=0,$F156*$D156*$G156,)),)</f>
        <v>0</v>
      </c>
      <c r="J156" s="288">
        <f>IFERROR(IF($B156="N/A","N/A",IF(MOD(COLUMNS($H$151:J$151)-1,$E156)=0,$F156*$D156*$G156,)),)</f>
        <v>0</v>
      </c>
      <c r="K156" s="288">
        <f>IFERROR(IF($B156="N/A","N/A",IF(MOD(COLUMNS($H$151:K$151)-1,$E156)=0,$F156*$D156*$G156,)),)</f>
        <v>191.18807099733613</v>
      </c>
      <c r="L156" s="288">
        <f>IFERROR(IF($B156="N/A","N/A",IF(MOD(COLUMNS($H$151:L$151)-1,$E156)=0,$F156*$D156*$G156,)),)</f>
        <v>0</v>
      </c>
      <c r="M156" s="288">
        <f>IFERROR(IF($B156="N/A","N/A",IF(MOD(COLUMNS($H$151:M$151)-1,$E156)=0,$F156*$D156*$G156,)),)</f>
        <v>0</v>
      </c>
      <c r="N156" s="288">
        <f>IFERROR(IF($B156="N/A","N/A",IF(MOD(COLUMNS($H$151:N$151)-1,$E156)=0,$F156*$D156*$G156,)),)</f>
        <v>191.18807099733613</v>
      </c>
      <c r="O156" s="288">
        <f>IFERROR(IF($B156="N/A","N/A",IF(MOD(COLUMNS($H$151:O$151)-1,$E156)=0,$F156*$D156*$G156,)),)</f>
        <v>0</v>
      </c>
      <c r="P156" s="288">
        <f>IFERROR(IF($B156="N/A","N/A",IF(MOD(COLUMNS($H$151:P$151)-1,$E156)=0,$F156*$D156*$G156,)),)</f>
        <v>0</v>
      </c>
      <c r="Q156" s="288">
        <f>IFERROR(IF($B156="N/A","N/A",IF(MOD(COLUMNS($H$151:Q$151)-1,$E156)=0,$F156*$D156*$G156,)),)</f>
        <v>191.18807099733613</v>
      </c>
      <c r="R156" s="288">
        <f>IFERROR(IF($B156="N/A","N/A",IF(MOD(COLUMNS($H$151:R$151)-1,$E156)=0,$F156*$D156*$G156,)),)</f>
        <v>0</v>
      </c>
      <c r="S156" s="288">
        <f>IFERROR(IF($B156="N/A","N/A",IF(MOD(COLUMNS($H$151:S$151)-1,$E156)=0,$F156*$D156*$G156,)),)</f>
        <v>0</v>
      </c>
      <c r="T156" s="288">
        <f>IFERROR(IF($B156="N/A","N/A",IF(MOD(COLUMNS($H$151:T$151)-1,$E156)=0,$F156*$D156*$G156,)),)</f>
        <v>191.18807099733613</v>
      </c>
      <c r="U156" s="288">
        <f>IFERROR(IF($B156="N/A","N/A",IF(MOD(COLUMNS($H$151:U$151)-1,$E156)=0,$F156*$D156*$G156,)),)</f>
        <v>0</v>
      </c>
      <c r="V156" s="288">
        <f>IFERROR(IF($B156="N/A","N/A",IF(MOD(COLUMNS($H$151:V$151)-1,$E156)=0,$F156*$D156*$G156,)),)</f>
        <v>0</v>
      </c>
      <c r="W156" s="288">
        <f>IFERROR(IF($B156="N/A","N/A",IF(MOD(COLUMNS($H$151:W$151)-1,$E156)=0,$F156*$D156*$G156,)),)</f>
        <v>191.18807099733613</v>
      </c>
    </row>
    <row r="157" spans="2:23">
      <c r="B157" s="70" t="str">
        <f t="array" ref="B157">IF(COUNTIFS(INDEX(Equipment_Allocation_New,0,MATCH($C$107,Unit_codes,0)),"&gt;0")&lt;ROWS('2.2-Equipment input'!$X$8:$X13),"N/A",INDEX('2.2-Equipment input'!B:B,SMALL(IF(INDEX(Equipment_Allocation_New,0,MATCH($C$107,Unit_codes,0))&gt;0,ROW(equipment_ID)),ROW('2.2-Equipment input'!B6))))</f>
        <v>eq0030</v>
      </c>
      <c r="C157" s="70" t="str">
        <f>IF($B157="N/A","N/A",INDEX(Equipment_name[],MATCH(B157,equipment_ID,0)))</f>
        <v>Measuring balance ("heavy" duty)</v>
      </c>
      <c r="D157" s="288">
        <f t="shared" si="19"/>
        <v>177.02599166420012</v>
      </c>
      <c r="E157" s="88">
        <f t="shared" si="20"/>
        <v>5</v>
      </c>
      <c r="F157" s="200">
        <f t="shared" si="21"/>
        <v>1</v>
      </c>
      <c r="G157" s="202">
        <f t="shared" si="22"/>
        <v>0.32</v>
      </c>
      <c r="H157" s="288">
        <f>IFERROR(IF($B157="N/A","N/A",IF(MOD(COLUMNS(H$151:$H$151)-1,$E157)=0,$F157*$D157*$G157,)),)</f>
        <v>56.648317332544039</v>
      </c>
      <c r="I157" s="288">
        <f>IFERROR(IF($B157="N/A","N/A",IF(MOD(COLUMNS($H$151:I$151)-1,$E157)=0,$F157*$D157*$G157,)),)</f>
        <v>0</v>
      </c>
      <c r="J157" s="288">
        <f>IFERROR(IF($B157="N/A","N/A",IF(MOD(COLUMNS($H$151:J$151)-1,$E157)=0,$F157*$D157*$G157,)),)</f>
        <v>0</v>
      </c>
      <c r="K157" s="288">
        <f>IFERROR(IF($B157="N/A","N/A",IF(MOD(COLUMNS($H$151:K$151)-1,$E157)=0,$F157*$D157*$G157,)),)</f>
        <v>0</v>
      </c>
      <c r="L157" s="288">
        <f>IFERROR(IF($B157="N/A","N/A",IF(MOD(COLUMNS($H$151:L$151)-1,$E157)=0,$F157*$D157*$G157,)),)</f>
        <v>0</v>
      </c>
      <c r="M157" s="288">
        <f>IFERROR(IF($B157="N/A","N/A",IF(MOD(COLUMNS($H$151:M$151)-1,$E157)=0,$F157*$D157*$G157,)),)</f>
        <v>56.648317332544039</v>
      </c>
      <c r="N157" s="288">
        <f>IFERROR(IF($B157="N/A","N/A",IF(MOD(COLUMNS($H$151:N$151)-1,$E157)=0,$F157*$D157*$G157,)),)</f>
        <v>0</v>
      </c>
      <c r="O157" s="288">
        <f>IFERROR(IF($B157="N/A","N/A",IF(MOD(COLUMNS($H$151:O$151)-1,$E157)=0,$F157*$D157*$G157,)),)</f>
        <v>0</v>
      </c>
      <c r="P157" s="288">
        <f>IFERROR(IF($B157="N/A","N/A",IF(MOD(COLUMNS($H$151:P$151)-1,$E157)=0,$F157*$D157*$G157,)),)</f>
        <v>0</v>
      </c>
      <c r="Q157" s="288">
        <f>IFERROR(IF($B157="N/A","N/A",IF(MOD(COLUMNS($H$151:Q$151)-1,$E157)=0,$F157*$D157*$G157,)),)</f>
        <v>0</v>
      </c>
      <c r="R157" s="288">
        <f>IFERROR(IF($B157="N/A","N/A",IF(MOD(COLUMNS($H$151:R$151)-1,$E157)=0,$F157*$D157*$G157,)),)</f>
        <v>56.648317332544039</v>
      </c>
      <c r="S157" s="288">
        <f>IFERROR(IF($B157="N/A","N/A",IF(MOD(COLUMNS($H$151:S$151)-1,$E157)=0,$F157*$D157*$G157,)),)</f>
        <v>0</v>
      </c>
      <c r="T157" s="288">
        <f>IFERROR(IF($B157="N/A","N/A",IF(MOD(COLUMNS($H$151:T$151)-1,$E157)=0,$F157*$D157*$G157,)),)</f>
        <v>0</v>
      </c>
      <c r="U157" s="288">
        <f>IFERROR(IF($B157="N/A","N/A",IF(MOD(COLUMNS($H$151:U$151)-1,$E157)=0,$F157*$D157*$G157,)),)</f>
        <v>0</v>
      </c>
      <c r="V157" s="288">
        <f>IFERROR(IF($B157="N/A","N/A",IF(MOD(COLUMNS($H$151:V$151)-1,$E157)=0,$F157*$D157*$G157,)),)</f>
        <v>0</v>
      </c>
      <c r="W157" s="288">
        <f>IFERROR(IF($B157="N/A","N/A",IF(MOD(COLUMNS($H$151:W$151)-1,$E157)=0,$F157*$D157*$G157,)),)</f>
        <v>56.648317332544039</v>
      </c>
    </row>
    <row r="158" spans="2:23">
      <c r="B158" s="70" t="str">
        <f t="array" ref="B158">IF(COUNTIFS(INDEX(Equipment_Allocation_New,0,MATCH($C$107,Unit_codes,0)),"&gt;0")&lt;ROWS('2.2-Equipment input'!$X$8:$X14),"N/A",INDEX('2.2-Equipment input'!B:B,SMALL(IF(INDEX(Equipment_Allocation_New,0,MATCH($C$107,Unit_codes,0))&gt;0,ROW(equipment_ID)),ROW('2.2-Equipment input'!B7))))</f>
        <v>eq0032</v>
      </c>
      <c r="C158" s="70" t="str">
        <f>IF($B158="N/A","N/A",INDEX(Equipment_name[],MATCH(B158,equipment_ID,0)))</f>
        <v>Measuring balance (nursery)</v>
      </c>
      <c r="D158" s="288">
        <f t="shared" si="19"/>
        <v>354.05198332840024</v>
      </c>
      <c r="E158" s="88">
        <f t="shared" si="20"/>
        <v>5</v>
      </c>
      <c r="F158" s="200">
        <f t="shared" si="21"/>
        <v>1</v>
      </c>
      <c r="G158" s="202">
        <f t="shared" si="22"/>
        <v>0.25</v>
      </c>
      <c r="H158" s="288">
        <f>IFERROR(IF($B158="N/A","N/A",IF(MOD(COLUMNS(H$151:$H$151)-1,$E158)=0,$F158*$D158*$G158,)),)</f>
        <v>88.51299583210006</v>
      </c>
      <c r="I158" s="288">
        <f>IFERROR(IF($B158="N/A","N/A",IF(MOD(COLUMNS($H$151:I$151)-1,$E158)=0,$F158*$D158*$G158,)),)</f>
        <v>0</v>
      </c>
      <c r="J158" s="288">
        <f>IFERROR(IF($B158="N/A","N/A",IF(MOD(COLUMNS($H$151:J$151)-1,$E158)=0,$F158*$D158*$G158,)),)</f>
        <v>0</v>
      </c>
      <c r="K158" s="288">
        <f>IFERROR(IF($B158="N/A","N/A",IF(MOD(COLUMNS($H$151:K$151)-1,$E158)=0,$F158*$D158*$G158,)),)</f>
        <v>0</v>
      </c>
      <c r="L158" s="288">
        <f>IFERROR(IF($B158="N/A","N/A",IF(MOD(COLUMNS($H$151:L$151)-1,$E158)=0,$F158*$D158*$G158,)),)</f>
        <v>0</v>
      </c>
      <c r="M158" s="288">
        <f>IFERROR(IF($B158="N/A","N/A",IF(MOD(COLUMNS($H$151:M$151)-1,$E158)=0,$F158*$D158*$G158,)),)</f>
        <v>88.51299583210006</v>
      </c>
      <c r="N158" s="288">
        <f>IFERROR(IF($B158="N/A","N/A",IF(MOD(COLUMNS($H$151:N$151)-1,$E158)=0,$F158*$D158*$G158,)),)</f>
        <v>0</v>
      </c>
      <c r="O158" s="288">
        <f>IFERROR(IF($B158="N/A","N/A",IF(MOD(COLUMNS($H$151:O$151)-1,$E158)=0,$F158*$D158*$G158,)),)</f>
        <v>0</v>
      </c>
      <c r="P158" s="288">
        <f>IFERROR(IF($B158="N/A","N/A",IF(MOD(COLUMNS($H$151:P$151)-1,$E158)=0,$F158*$D158*$G158,)),)</f>
        <v>0</v>
      </c>
      <c r="Q158" s="288">
        <f>IFERROR(IF($B158="N/A","N/A",IF(MOD(COLUMNS($H$151:Q$151)-1,$E158)=0,$F158*$D158*$G158,)),)</f>
        <v>0</v>
      </c>
      <c r="R158" s="288">
        <f>IFERROR(IF($B158="N/A","N/A",IF(MOD(COLUMNS($H$151:R$151)-1,$E158)=0,$F158*$D158*$G158,)),)</f>
        <v>88.51299583210006</v>
      </c>
      <c r="S158" s="288">
        <f>IFERROR(IF($B158="N/A","N/A",IF(MOD(COLUMNS($H$151:S$151)-1,$E158)=0,$F158*$D158*$G158,)),)</f>
        <v>0</v>
      </c>
      <c r="T158" s="288">
        <f>IFERROR(IF($B158="N/A","N/A",IF(MOD(COLUMNS($H$151:T$151)-1,$E158)=0,$F158*$D158*$G158,)),)</f>
        <v>0</v>
      </c>
      <c r="U158" s="288">
        <f>IFERROR(IF($B158="N/A","N/A",IF(MOD(COLUMNS($H$151:U$151)-1,$E158)=0,$F158*$D158*$G158,)),)</f>
        <v>0</v>
      </c>
      <c r="V158" s="288">
        <f>IFERROR(IF($B158="N/A","N/A",IF(MOD(COLUMNS($H$151:V$151)-1,$E158)=0,$F158*$D158*$G158,)),)</f>
        <v>0</v>
      </c>
      <c r="W158" s="288">
        <f>IFERROR(IF($B158="N/A","N/A",IF(MOD(COLUMNS($H$151:W$151)-1,$E158)=0,$F158*$D158*$G158,)),)</f>
        <v>88.51299583210006</v>
      </c>
    </row>
    <row r="159" spans="2:23">
      <c r="B159" s="70" t="str">
        <f t="array" ref="B159">IF(COUNTIFS(INDEX(Equipment_Allocation_New,0,MATCH($C$107,Unit_codes,0)),"&gt;0")&lt;ROWS('2.2-Equipment input'!$X$8:$X15),"N/A",INDEX('2.2-Equipment input'!B:B,SMALL(IF(INDEX(Equipment_Allocation_New,0,MATCH($C$107,Unit_codes,0))&gt;0,ROW(equipment_ID)),ROW('2.2-Equipment input'!B8))))</f>
        <v>N/A</v>
      </c>
      <c r="C159" s="70" t="str">
        <f>IF($B159="N/A","N/A",INDEX(Equipment_name[],MATCH(B159,equipment_ID,0)))</f>
        <v>N/A</v>
      </c>
      <c r="D159" s="288" t="str">
        <f t="shared" si="19"/>
        <v>N/A</v>
      </c>
      <c r="E159" s="88" t="str">
        <f t="shared" si="20"/>
        <v>N/A</v>
      </c>
      <c r="F159" s="200" t="str">
        <f t="shared" si="21"/>
        <v>N/A</v>
      </c>
      <c r="G159" s="202" t="str">
        <f t="shared" si="22"/>
        <v>N/A</v>
      </c>
      <c r="H159" s="288" t="str">
        <f>IFERROR(IF($B159="N/A","N/A",IF(MOD(COLUMNS(H$151:$H$151)-1,$E159)=0,$F159*$D159*$G159,)),)</f>
        <v>N/A</v>
      </c>
      <c r="I159" s="288" t="str">
        <f>IFERROR(IF($B159="N/A","N/A",IF(MOD(COLUMNS($H$151:I$151)-1,$E159)=0,$F159*$D159*$G159,)),)</f>
        <v>N/A</v>
      </c>
      <c r="J159" s="288" t="str">
        <f>IFERROR(IF($B159="N/A","N/A",IF(MOD(COLUMNS($H$151:J$151)-1,$E159)=0,$F159*$D159*$G159,)),)</f>
        <v>N/A</v>
      </c>
      <c r="K159" s="288" t="str">
        <f>IFERROR(IF($B159="N/A","N/A",IF(MOD(COLUMNS($H$151:K$151)-1,$E159)=0,$F159*$D159*$G159,)),)</f>
        <v>N/A</v>
      </c>
      <c r="L159" s="288" t="str">
        <f>IFERROR(IF($B159="N/A","N/A",IF(MOD(COLUMNS($H$151:L$151)-1,$E159)=0,$F159*$D159*$G159,)),)</f>
        <v>N/A</v>
      </c>
      <c r="M159" s="288" t="str">
        <f>IFERROR(IF($B159="N/A","N/A",IF(MOD(COLUMNS($H$151:M$151)-1,$E159)=0,$F159*$D159*$G159,)),)</f>
        <v>N/A</v>
      </c>
      <c r="N159" s="288" t="str">
        <f>IFERROR(IF($B159="N/A","N/A",IF(MOD(COLUMNS($H$151:N$151)-1,$E159)=0,$F159*$D159*$G159,)),)</f>
        <v>N/A</v>
      </c>
      <c r="O159" s="288" t="str">
        <f>IFERROR(IF($B159="N/A","N/A",IF(MOD(COLUMNS($H$151:O$151)-1,$E159)=0,$F159*$D159*$G159,)),)</f>
        <v>N/A</v>
      </c>
      <c r="P159" s="288" t="str">
        <f>IFERROR(IF($B159="N/A","N/A",IF(MOD(COLUMNS($H$151:P$151)-1,$E159)=0,$F159*$D159*$G159,)),)</f>
        <v>N/A</v>
      </c>
      <c r="Q159" s="288" t="str">
        <f>IFERROR(IF($B159="N/A","N/A",IF(MOD(COLUMNS($H$151:Q$151)-1,$E159)=0,$F159*$D159*$G159,)),)</f>
        <v>N/A</v>
      </c>
      <c r="R159" s="288" t="str">
        <f>IFERROR(IF($B159="N/A","N/A",IF(MOD(COLUMNS($H$151:R$151)-1,$E159)=0,$F159*$D159*$G159,)),)</f>
        <v>N/A</v>
      </c>
      <c r="S159" s="288" t="str">
        <f>IFERROR(IF($B159="N/A","N/A",IF(MOD(COLUMNS($H$151:S$151)-1,$E159)=0,$F159*$D159*$G159,)),)</f>
        <v>N/A</v>
      </c>
      <c r="T159" s="288" t="str">
        <f>IFERROR(IF($B159="N/A","N/A",IF(MOD(COLUMNS($H$151:T$151)-1,$E159)=0,$F159*$D159*$G159,)),)</f>
        <v>N/A</v>
      </c>
      <c r="U159" s="288" t="str">
        <f>IFERROR(IF($B159="N/A","N/A",IF(MOD(COLUMNS($H$151:U$151)-1,$E159)=0,$F159*$D159*$G159,)),)</f>
        <v>N/A</v>
      </c>
      <c r="V159" s="288" t="str">
        <f>IFERROR(IF($B159="N/A","N/A",IF(MOD(COLUMNS($H$151:V$151)-1,$E159)=0,$F159*$D159*$G159,)),)</f>
        <v>N/A</v>
      </c>
      <c r="W159" s="288" t="str">
        <f>IFERROR(IF($B159="N/A","N/A",IF(MOD(COLUMNS($H$151:W$151)-1,$E159)=0,$F159*$D159*$G159,)),)</f>
        <v>N/A</v>
      </c>
    </row>
    <row r="160" spans="2:23">
      <c r="B160" s="70" t="str">
        <f t="array" ref="B160">IF(COUNTIFS(INDEX(Equipment_Allocation_New,0,MATCH($C$107,Unit_codes,0)),"&gt;0")&lt;ROWS('2.2-Equipment input'!$X$8:$X16),"N/A",INDEX('2.2-Equipment input'!B:B,SMALL(IF(INDEX(Equipment_Allocation_New,0,MATCH($C$107,Unit_codes,0))&gt;0,ROW(equipment_ID)),ROW('2.2-Equipment input'!B9))))</f>
        <v>N/A</v>
      </c>
      <c r="C160" s="70" t="str">
        <f>IF($B160="N/A","N/A",INDEX(Equipment_name[],MATCH(B160,equipment_ID,0)))</f>
        <v>N/A</v>
      </c>
      <c r="D160" s="288" t="str">
        <f t="shared" si="19"/>
        <v>N/A</v>
      </c>
      <c r="E160" s="88" t="str">
        <f t="shared" si="20"/>
        <v>N/A</v>
      </c>
      <c r="F160" s="200" t="str">
        <f t="shared" si="21"/>
        <v>N/A</v>
      </c>
      <c r="G160" s="202" t="str">
        <f t="shared" si="22"/>
        <v>N/A</v>
      </c>
      <c r="H160" s="288" t="str">
        <f>IFERROR(IF($B160="N/A","N/A",IF(MOD(COLUMNS(H$151:$H$151)-1,$E160)=0,$F160*$D160*$G160,)),)</f>
        <v>N/A</v>
      </c>
      <c r="I160" s="288" t="str">
        <f>IFERROR(IF($B160="N/A","N/A",IF(MOD(COLUMNS($H$151:I$151)-1,$E160)=0,$F160*$D160*$G160,)),)</f>
        <v>N/A</v>
      </c>
      <c r="J160" s="288" t="str">
        <f>IFERROR(IF($B160="N/A","N/A",IF(MOD(COLUMNS($H$151:J$151)-1,$E160)=0,$F160*$D160*$G160,)),)</f>
        <v>N/A</v>
      </c>
      <c r="K160" s="288" t="str">
        <f>IFERROR(IF($B160="N/A","N/A",IF(MOD(COLUMNS($H$151:K$151)-1,$E160)=0,$F160*$D160*$G160,)),)</f>
        <v>N/A</v>
      </c>
      <c r="L160" s="288" t="str">
        <f>IFERROR(IF($B160="N/A","N/A",IF(MOD(COLUMNS($H$151:L$151)-1,$E160)=0,$F160*$D160*$G160,)),)</f>
        <v>N/A</v>
      </c>
      <c r="M160" s="288" t="str">
        <f>IFERROR(IF($B160="N/A","N/A",IF(MOD(COLUMNS($H$151:M$151)-1,$E160)=0,$F160*$D160*$G160,)),)</f>
        <v>N/A</v>
      </c>
      <c r="N160" s="288" t="str">
        <f>IFERROR(IF($B160="N/A","N/A",IF(MOD(COLUMNS($H$151:N$151)-1,$E160)=0,$F160*$D160*$G160,)),)</f>
        <v>N/A</v>
      </c>
      <c r="O160" s="288" t="str">
        <f>IFERROR(IF($B160="N/A","N/A",IF(MOD(COLUMNS($H$151:O$151)-1,$E160)=0,$F160*$D160*$G160,)),)</f>
        <v>N/A</v>
      </c>
      <c r="P160" s="288" t="str">
        <f>IFERROR(IF($B160="N/A","N/A",IF(MOD(COLUMNS($H$151:P$151)-1,$E160)=0,$F160*$D160*$G160,)),)</f>
        <v>N/A</v>
      </c>
      <c r="Q160" s="288" t="str">
        <f>IFERROR(IF($B160="N/A","N/A",IF(MOD(COLUMNS($H$151:Q$151)-1,$E160)=0,$F160*$D160*$G160,)),)</f>
        <v>N/A</v>
      </c>
      <c r="R160" s="288" t="str">
        <f>IFERROR(IF($B160="N/A","N/A",IF(MOD(COLUMNS($H$151:R$151)-1,$E160)=0,$F160*$D160*$G160,)),)</f>
        <v>N/A</v>
      </c>
      <c r="S160" s="288" t="str">
        <f>IFERROR(IF($B160="N/A","N/A",IF(MOD(COLUMNS($H$151:S$151)-1,$E160)=0,$F160*$D160*$G160,)),)</f>
        <v>N/A</v>
      </c>
      <c r="T160" s="288" t="str">
        <f>IFERROR(IF($B160="N/A","N/A",IF(MOD(COLUMNS($H$151:T$151)-1,$E160)=0,$F160*$D160*$G160,)),)</f>
        <v>N/A</v>
      </c>
      <c r="U160" s="288" t="str">
        <f>IFERROR(IF($B160="N/A","N/A",IF(MOD(COLUMNS($H$151:U$151)-1,$E160)=0,$F160*$D160*$G160,)),)</f>
        <v>N/A</v>
      </c>
      <c r="V160" s="288" t="str">
        <f>IFERROR(IF($B160="N/A","N/A",IF(MOD(COLUMNS($H$151:V$151)-1,$E160)=0,$F160*$D160*$G160,)),)</f>
        <v>N/A</v>
      </c>
      <c r="W160" s="288" t="str">
        <f>IFERROR(IF($B160="N/A","N/A",IF(MOD(COLUMNS($H$151:W$151)-1,$E160)=0,$F160*$D160*$G160,)),)</f>
        <v>N/A</v>
      </c>
    </row>
    <row r="161" spans="2:23">
      <c r="B161" s="70" t="str">
        <f t="array" ref="B161">IF(COUNTIFS(INDEX(Equipment_Allocation_New,0,MATCH($C$107,Unit_codes,0)),"&gt;0")&lt;ROWS('2.2-Equipment input'!$X$8:$X17),"N/A",INDEX('2.2-Equipment input'!B:B,SMALL(IF(INDEX(Equipment_Allocation_New,0,MATCH($C$107,Unit_codes,0))&gt;0,ROW(equipment_ID)),ROW('2.2-Equipment input'!B10))))</f>
        <v>N/A</v>
      </c>
      <c r="C161" s="70" t="str">
        <f>IF($B161="N/A","N/A",INDEX(Equipment_name[],MATCH(B161,equipment_ID,0)))</f>
        <v>N/A</v>
      </c>
      <c r="D161" s="288" t="str">
        <f t="shared" si="19"/>
        <v>N/A</v>
      </c>
      <c r="E161" s="88" t="str">
        <f t="shared" si="20"/>
        <v>N/A</v>
      </c>
      <c r="F161" s="200" t="str">
        <f t="shared" si="21"/>
        <v>N/A</v>
      </c>
      <c r="G161" s="200" t="str">
        <f t="shared" si="22"/>
        <v>N/A</v>
      </c>
      <c r="H161" s="288" t="str">
        <f>IFERROR(IF($B161="N/A","N/A",IF(MOD(COLUMNS(H$151:$H$151)-1,$E161)=0,$F161*$D161*$G161,)),)</f>
        <v>N/A</v>
      </c>
      <c r="I161" s="288" t="str">
        <f>IFERROR(IF($B161="N/A","N/A",IF(MOD(COLUMNS($H$151:I$151)-1,$E161)=0,$F161*$D161*$G161,)),)</f>
        <v>N/A</v>
      </c>
      <c r="J161" s="288" t="str">
        <f>IFERROR(IF($B161="N/A","N/A",IF(MOD(COLUMNS($H$151:J$151)-1,$E161)=0,$F161*$D161*$G161,)),)</f>
        <v>N/A</v>
      </c>
      <c r="K161" s="288" t="str">
        <f>IFERROR(IF($B161="N/A","N/A",IF(MOD(COLUMNS($H$151:K$151)-1,$E161)=0,$F161*$D161*$G161,)),)</f>
        <v>N/A</v>
      </c>
      <c r="L161" s="288" t="str">
        <f>IFERROR(IF($B161="N/A","N/A",IF(MOD(COLUMNS($H$151:L$151)-1,$E161)=0,$F161*$D161*$G161,)),)</f>
        <v>N/A</v>
      </c>
      <c r="M161" s="288" t="str">
        <f>IFERROR(IF($B161="N/A","N/A",IF(MOD(COLUMNS($H$151:M$151)-1,$E161)=0,$F161*$D161*$G161,)),)</f>
        <v>N/A</v>
      </c>
      <c r="N161" s="288" t="str">
        <f>IFERROR(IF($B161="N/A","N/A",IF(MOD(COLUMNS($H$151:N$151)-1,$E161)=0,$F161*$D161*$G161,)),)</f>
        <v>N/A</v>
      </c>
      <c r="O161" s="288" t="str">
        <f>IFERROR(IF($B161="N/A","N/A",IF(MOD(COLUMNS($H$151:O$151)-1,$E161)=0,$F161*$D161*$G161,)),)</f>
        <v>N/A</v>
      </c>
      <c r="P161" s="288" t="str">
        <f>IFERROR(IF($B161="N/A","N/A",IF(MOD(COLUMNS($H$151:P$151)-1,$E161)=0,$F161*$D161*$G161,)),)</f>
        <v>N/A</v>
      </c>
      <c r="Q161" s="288" t="str">
        <f>IFERROR(IF($B161="N/A","N/A",IF(MOD(COLUMNS($H$151:Q$151)-1,$E161)=0,$F161*$D161*$G161,)),)</f>
        <v>N/A</v>
      </c>
      <c r="R161" s="288" t="str">
        <f>IFERROR(IF($B161="N/A","N/A",IF(MOD(COLUMNS($H$151:R$151)-1,$E161)=0,$F161*$D161*$G161,)),)</f>
        <v>N/A</v>
      </c>
      <c r="S161" s="288" t="str">
        <f>IFERROR(IF($B161="N/A","N/A",IF(MOD(COLUMNS($H$151:S$151)-1,$E161)=0,$F161*$D161*$G161,)),)</f>
        <v>N/A</v>
      </c>
      <c r="T161" s="288" t="str">
        <f>IFERROR(IF($B161="N/A","N/A",IF(MOD(COLUMNS($H$151:T$151)-1,$E161)=0,$F161*$D161*$G161,)),)</f>
        <v>N/A</v>
      </c>
      <c r="U161" s="288" t="str">
        <f>IFERROR(IF($B161="N/A","N/A",IF(MOD(COLUMNS($H$151:U$151)-1,$E161)=0,$F161*$D161*$G161,)),)</f>
        <v>N/A</v>
      </c>
      <c r="V161" s="288" t="str">
        <f>IFERROR(IF($B161="N/A","N/A",IF(MOD(COLUMNS($H$151:V$151)-1,$E161)=0,$F161*$D161*$G161,)),)</f>
        <v>N/A</v>
      </c>
      <c r="W161" s="288" t="str">
        <f>IFERROR(IF($B161="N/A","N/A",IF(MOD(COLUMNS($H$151:W$151)-1,$E161)=0,$F161*$D161*$G161,)),)</f>
        <v>N/A</v>
      </c>
    </row>
    <row r="162" spans="2:23">
      <c r="B162" s="70" t="str">
        <f t="array" ref="B162">IF(COUNTIFS(INDEX(Equipment_Allocation_New,0,MATCH($C$107,Unit_codes,0)),"&gt;0")&lt;ROWS('2.2-Equipment input'!$X$8:$X18),"N/A",INDEX('2.2-Equipment input'!B:B,SMALL(IF(INDEX(Equipment_Allocation_New,0,MATCH($C$107,Unit_codes,0))&gt;0,ROW(equipment_ID)),ROW('2.2-Equipment input'!B11))))</f>
        <v>N/A</v>
      </c>
      <c r="C162" s="70" t="str">
        <f>IF($B162="N/A","N/A",INDEX(Equipment_name[],MATCH(B162,equipment_ID,0)))</f>
        <v>N/A</v>
      </c>
      <c r="D162" s="288" t="str">
        <f t="shared" si="19"/>
        <v>N/A</v>
      </c>
      <c r="E162" s="88" t="str">
        <f t="shared" si="20"/>
        <v>N/A</v>
      </c>
      <c r="F162" s="200" t="str">
        <f t="shared" si="21"/>
        <v>N/A</v>
      </c>
      <c r="G162" s="200" t="str">
        <f t="shared" si="22"/>
        <v>N/A</v>
      </c>
      <c r="H162" s="288" t="str">
        <f>IFERROR(IF($B162="N/A","N/A",IF(MOD(COLUMNS(H$151:$H$151)-1,$E162)=0,$F162*$D162*$G162,)),)</f>
        <v>N/A</v>
      </c>
      <c r="I162" s="288" t="str">
        <f>IFERROR(IF($B162="N/A","N/A",IF(MOD(COLUMNS($H$151:I$151)-1,$E162)=0,$F162*$D162*$G162,)),)</f>
        <v>N/A</v>
      </c>
      <c r="J162" s="288" t="str">
        <f>IFERROR(IF($B162="N/A","N/A",IF(MOD(COLUMNS($H$151:J$151)-1,$E162)=0,$F162*$D162*$G162,)),)</f>
        <v>N/A</v>
      </c>
      <c r="K162" s="288" t="str">
        <f>IFERROR(IF($B162="N/A","N/A",IF(MOD(COLUMNS($H$151:K$151)-1,$E162)=0,$F162*$D162*$G162,)),)</f>
        <v>N/A</v>
      </c>
      <c r="L162" s="288" t="str">
        <f>IFERROR(IF($B162="N/A","N/A",IF(MOD(COLUMNS($H$151:L$151)-1,$E162)=0,$F162*$D162*$G162,)),)</f>
        <v>N/A</v>
      </c>
      <c r="M162" s="288" t="str">
        <f>IFERROR(IF($B162="N/A","N/A",IF(MOD(COLUMNS($H$151:M$151)-1,$E162)=0,$F162*$D162*$G162,)),)</f>
        <v>N/A</v>
      </c>
      <c r="N162" s="288" t="str">
        <f>IFERROR(IF($B162="N/A","N/A",IF(MOD(COLUMNS($H$151:N$151)-1,$E162)=0,$F162*$D162*$G162,)),)</f>
        <v>N/A</v>
      </c>
      <c r="O162" s="288" t="str">
        <f>IFERROR(IF($B162="N/A","N/A",IF(MOD(COLUMNS($H$151:O$151)-1,$E162)=0,$F162*$D162*$G162,)),)</f>
        <v>N/A</v>
      </c>
      <c r="P162" s="288" t="str">
        <f>IFERROR(IF($B162="N/A","N/A",IF(MOD(COLUMNS($H$151:P$151)-1,$E162)=0,$F162*$D162*$G162,)),)</f>
        <v>N/A</v>
      </c>
      <c r="Q162" s="288" t="str">
        <f>IFERROR(IF($B162="N/A","N/A",IF(MOD(COLUMNS($H$151:Q$151)-1,$E162)=0,$F162*$D162*$G162,)),)</f>
        <v>N/A</v>
      </c>
      <c r="R162" s="288" t="str">
        <f>IFERROR(IF($B162="N/A","N/A",IF(MOD(COLUMNS($H$151:R$151)-1,$E162)=0,$F162*$D162*$G162,)),)</f>
        <v>N/A</v>
      </c>
      <c r="S162" s="288" t="str">
        <f>IFERROR(IF($B162="N/A","N/A",IF(MOD(COLUMNS($H$151:S$151)-1,$E162)=0,$F162*$D162*$G162,)),)</f>
        <v>N/A</v>
      </c>
      <c r="T162" s="288" t="str">
        <f>IFERROR(IF($B162="N/A","N/A",IF(MOD(COLUMNS($H$151:T$151)-1,$E162)=0,$F162*$D162*$G162,)),)</f>
        <v>N/A</v>
      </c>
      <c r="U162" s="288" t="str">
        <f>IFERROR(IF($B162="N/A","N/A",IF(MOD(COLUMNS($H$151:U$151)-1,$E162)=0,$F162*$D162*$G162,)),)</f>
        <v>N/A</v>
      </c>
      <c r="V162" s="288" t="str">
        <f>IFERROR(IF($B162="N/A","N/A",IF(MOD(COLUMNS($H$151:V$151)-1,$E162)=0,$F162*$D162*$G162,)),)</f>
        <v>N/A</v>
      </c>
      <c r="W162" s="288" t="str">
        <f>IFERROR(IF($B162="N/A","N/A",IF(MOD(COLUMNS($H$151:W$151)-1,$E162)=0,$F162*$D162*$G162,)),)</f>
        <v>N/A</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19"/>
        <v>N/A</v>
      </c>
      <c r="E163" s="88" t="str">
        <f t="shared" si="20"/>
        <v>N/A</v>
      </c>
      <c r="F163" s="200" t="str">
        <f t="shared" si="21"/>
        <v>N/A</v>
      </c>
      <c r="G163" s="200" t="str">
        <f t="shared" si="22"/>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19"/>
        <v>N/A</v>
      </c>
      <c r="E164" s="88" t="str">
        <f t="shared" si="20"/>
        <v>N/A</v>
      </c>
      <c r="F164" s="200" t="str">
        <f t="shared" si="21"/>
        <v>N/A</v>
      </c>
      <c r="G164" s="200" t="str">
        <f t="shared" si="22"/>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19"/>
        <v>N/A</v>
      </c>
      <c r="E165" s="88" t="str">
        <f t="shared" si="20"/>
        <v>N/A</v>
      </c>
      <c r="F165" s="200" t="str">
        <f t="shared" si="21"/>
        <v>N/A</v>
      </c>
      <c r="G165" s="200" t="str">
        <f t="shared" si="22"/>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19"/>
        <v>N/A</v>
      </c>
      <c r="E166" s="88" t="str">
        <f t="shared" si="20"/>
        <v>N/A</v>
      </c>
      <c r="F166" s="200" t="str">
        <f t="shared" si="21"/>
        <v>N/A</v>
      </c>
      <c r="G166" s="200" t="str">
        <f t="shared" si="22"/>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19"/>
        <v>N/A</v>
      </c>
      <c r="E167" s="88" t="str">
        <f t="shared" si="20"/>
        <v>N/A</v>
      </c>
      <c r="F167" s="200" t="str">
        <f t="shared" si="21"/>
        <v>N/A</v>
      </c>
      <c r="G167" s="200" t="str">
        <f t="shared" si="22"/>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19"/>
        <v>N/A</v>
      </c>
      <c r="E168" s="88" t="str">
        <f t="shared" si="20"/>
        <v>N/A</v>
      </c>
      <c r="F168" s="200" t="str">
        <f t="shared" si="21"/>
        <v>N/A</v>
      </c>
      <c r="G168" s="200" t="str">
        <f t="shared" si="22"/>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19"/>
        <v>N/A</v>
      </c>
      <c r="E169" s="88" t="str">
        <f t="shared" si="20"/>
        <v>N/A</v>
      </c>
      <c r="F169" s="200" t="str">
        <f t="shared" si="21"/>
        <v>N/A</v>
      </c>
      <c r="G169" s="200" t="str">
        <f t="shared" si="22"/>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19"/>
        <v>N/A</v>
      </c>
      <c r="E170" s="88" t="str">
        <f t="shared" si="20"/>
        <v>N/A</v>
      </c>
      <c r="F170" s="200" t="str">
        <f t="shared" si="21"/>
        <v>N/A</v>
      </c>
      <c r="G170" s="200" t="str">
        <f t="shared" si="22"/>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19"/>
        <v>N/A</v>
      </c>
      <c r="E171" s="88" t="str">
        <f t="shared" si="20"/>
        <v>N/A</v>
      </c>
      <c r="F171" s="200" t="str">
        <f t="shared" si="21"/>
        <v>N/A</v>
      </c>
      <c r="G171" s="200" t="str">
        <f t="shared" si="22"/>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200" t="str">
        <f t="shared" si="21"/>
        <v>N/A</v>
      </c>
      <c r="G172" s="200"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200" t="str">
        <f t="shared" si="21"/>
        <v>N/A</v>
      </c>
      <c r="G173" s="200"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200" t="str">
        <f t="shared" si="21"/>
        <v>N/A</v>
      </c>
      <c r="G174" s="200"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200" t="str">
        <f t="shared" si="21"/>
        <v>N/A</v>
      </c>
      <c r="G175" s="200"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200" t="str">
        <f t="shared" si="21"/>
        <v>N/A</v>
      </c>
      <c r="G176" s="200"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200" t="str">
        <f t="shared" si="21"/>
        <v>N/A</v>
      </c>
      <c r="G177" s="200"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200" t="str">
        <f t="shared" si="21"/>
        <v>N/A</v>
      </c>
      <c r="G178" s="200"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200" t="str">
        <f t="shared" si="21"/>
        <v>N/A</v>
      </c>
      <c r="G179" s="200"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200" t="str">
        <f t="shared" si="21"/>
        <v>N/A</v>
      </c>
      <c r="G180" s="200"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200" t="str">
        <f t="shared" si="21"/>
        <v>N/A</v>
      </c>
      <c r="G181" s="200"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200" t="str">
        <f t="shared" si="21"/>
        <v>N/A</v>
      </c>
      <c r="G182" s="200"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200" t="str">
        <f t="shared" si="21"/>
        <v>N/A</v>
      </c>
      <c r="G183" s="200"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200" t="str">
        <f t="shared" si="21"/>
        <v>N/A</v>
      </c>
      <c r="G184" s="200"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200" t="str">
        <f t="shared" si="21"/>
        <v>N/A</v>
      </c>
      <c r="G185" s="200"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200" t="str">
        <f t="shared" si="21"/>
        <v>N/A</v>
      </c>
      <c r="G186" s="200"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200" t="str">
        <f t="shared" si="21"/>
        <v>N/A</v>
      </c>
      <c r="G187" s="200"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200" t="str">
        <f t="shared" si="21"/>
        <v>N/A</v>
      </c>
      <c r="G188" s="200"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200" t="str">
        <f t="shared" si="21"/>
        <v>N/A</v>
      </c>
      <c r="G189" s="200"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CzFQ1fNJQ7N74E1qXw5vo5hST7+PTCgVNbsZGS9b8Rm5PuIj+hjsH3LpoiXz2wKkYoXgPkIdMjtKnRSi4K4MRA==" saltValue="9uoigycmxC2Nih4VDaHpog==" spinCount="100000" sheet="1" objects="1" scenarios="1" selectLockedCells="1" selectUnlockedCells="1"/>
  <mergeCells count="6">
    <mergeCell ref="B33:D33"/>
    <mergeCell ref="C48:D48"/>
    <mergeCell ref="C49:D49"/>
    <mergeCell ref="C79:D79"/>
    <mergeCell ref="C80:D80"/>
    <mergeCell ref="B43:D43"/>
  </mergeCells>
  <conditionalFormatting sqref="B110:C147">
    <cfRule type="containsText" dxfId="653" priority="99" operator="containsText" text="N/A">
      <formula>NOT(ISERROR(SEARCH("N/A",B110)))</formula>
    </cfRule>
  </conditionalFormatting>
  <conditionalFormatting sqref="E110:E147">
    <cfRule type="containsText" dxfId="652" priority="98" operator="containsText" text="N/A">
      <formula>NOT(ISERROR(SEARCH("N/A",E110)))</formula>
    </cfRule>
  </conditionalFormatting>
  <conditionalFormatting sqref="E52:E74 B52:B74">
    <cfRule type="containsText" dxfId="651" priority="97" operator="containsText" text="N/A">
      <formula>NOT(ISERROR(SEARCH("N/A",B52)))</formula>
    </cfRule>
  </conditionalFormatting>
  <conditionalFormatting sqref="C52:C74">
    <cfRule type="containsText" dxfId="650" priority="96" operator="containsText" text="N/A">
      <formula>NOT(ISERROR(SEARCH("N/A",C52)))</formula>
    </cfRule>
  </conditionalFormatting>
  <conditionalFormatting sqref="E20:E31">
    <cfRule type="containsText" dxfId="649" priority="71" operator="containsText" text="N/A">
      <formula>NOT(ISERROR(SEARCH("N/A",E20)))</formula>
    </cfRule>
  </conditionalFormatting>
  <conditionalFormatting sqref="F52:F74">
    <cfRule type="containsText" dxfId="648" priority="94" operator="containsText" text="N/A">
      <formula>NOT(ISERROR(SEARCH("N/A",F52)))</formula>
    </cfRule>
  </conditionalFormatting>
  <conditionalFormatting sqref="E83:E103 B83:B103">
    <cfRule type="containsText" dxfId="647" priority="93" operator="containsText" text="N/A">
      <formula>NOT(ISERROR(SEARCH("N/A",B83)))</formula>
    </cfRule>
  </conditionalFormatting>
  <conditionalFormatting sqref="C83:C103">
    <cfRule type="containsText" dxfId="646" priority="92" operator="containsText" text="N/A">
      <formula>NOT(ISERROR(SEARCH("N/A",C83)))</formula>
    </cfRule>
  </conditionalFormatting>
  <conditionalFormatting sqref="G152:G189">
    <cfRule type="containsText" dxfId="645" priority="73" operator="containsText" text="N/A">
      <formula>NOT(ISERROR(SEARCH("N/A",G152)))</formula>
    </cfRule>
  </conditionalFormatting>
  <conditionalFormatting sqref="F83:F103">
    <cfRule type="containsText" dxfId="644" priority="90" operator="containsText" text="N/A">
      <formula>NOT(ISERROR(SEARCH("N/A",F83)))</formula>
    </cfRule>
  </conditionalFormatting>
  <conditionalFormatting sqref="B20:D31">
    <cfRule type="containsText" dxfId="643" priority="89" operator="containsText" text="N/A">
      <formula>NOT(ISERROR(SEARCH("N/A",B20)))</formula>
    </cfRule>
  </conditionalFormatting>
  <conditionalFormatting sqref="F110:F147">
    <cfRule type="containsText" dxfId="642" priority="85" operator="containsText" text="N/A">
      <formula>NOT(ISERROR(SEARCH("N/A",F110)))</formula>
    </cfRule>
  </conditionalFormatting>
  <conditionalFormatting sqref="G110:G147">
    <cfRule type="containsText" dxfId="641" priority="88" operator="containsText" text="N/A">
      <formula>NOT(ISERROR(SEARCH("N/A",G110)))</formula>
    </cfRule>
  </conditionalFormatting>
  <conditionalFormatting sqref="I110:I147">
    <cfRule type="containsText" dxfId="640" priority="87" operator="containsText" text="N/A">
      <formula>NOT(ISERROR(SEARCH("N/A",I110)))</formula>
    </cfRule>
  </conditionalFormatting>
  <conditionalFormatting sqref="K110:K147">
    <cfRule type="containsText" dxfId="639" priority="86" operator="containsText" text="N/A">
      <formula>NOT(ISERROR(SEARCH("N/A",K110)))</formula>
    </cfRule>
  </conditionalFormatting>
  <conditionalFormatting sqref="B152:B189">
    <cfRule type="containsText" dxfId="638" priority="84" operator="containsText" text="N/A">
      <formula>NOT(ISERROR(SEARCH("N/A",B152)))</formula>
    </cfRule>
  </conditionalFormatting>
  <conditionalFormatting sqref="C152:C189">
    <cfRule type="containsText" dxfId="637" priority="83" operator="containsText" text="N/A">
      <formula>NOT(ISERROR(SEARCH("N/A",C152)))</formula>
    </cfRule>
  </conditionalFormatting>
  <conditionalFormatting sqref="F152:F189">
    <cfRule type="containsText" dxfId="636" priority="82" operator="containsText" text="N/A">
      <formula>NOT(ISERROR(SEARCH("N/A",F152)))</formula>
    </cfRule>
  </conditionalFormatting>
  <conditionalFormatting sqref="E152:E189">
    <cfRule type="containsText" dxfId="635" priority="80" operator="containsText" text="N/A">
      <formula>NOT(ISERROR(SEARCH("N/A",E152)))</formula>
    </cfRule>
  </conditionalFormatting>
  <conditionalFormatting sqref="H153:W189 I152:W152">
    <cfRule type="containsText" dxfId="634" priority="76" operator="containsText" text="N/A">
      <formula>NOT(ISERROR(SEARCH("N/A",H152)))</formula>
    </cfRule>
  </conditionalFormatting>
  <conditionalFormatting sqref="O110:O147">
    <cfRule type="containsText" dxfId="633" priority="70" operator="containsText" text="N/A">
      <formula>NOT(ISERROR(SEARCH("N/A",O110)))</formula>
    </cfRule>
  </conditionalFormatting>
  <conditionalFormatting sqref="H149:W149">
    <cfRule type="expression" dxfId="632" priority="13">
      <formula>IF(INDIRECT("General_Currency_Selection")="CHF",TRUE)</formula>
    </cfRule>
    <cfRule type="expression" dxfId="631" priority="14">
      <formula>IF(INDIRECT("General_Currency_Selection")="EUR",TRUE)</formula>
    </cfRule>
    <cfRule type="expression" dxfId="630" priority="15">
      <formula>IF(INDIRECT("General_Currency_Selection")="USD",TRUE)</formula>
    </cfRule>
  </conditionalFormatting>
  <conditionalFormatting sqref="F39:F41">
    <cfRule type="expression" dxfId="629" priority="64">
      <formula>IF(INDIRECT("General_Currency_Selection")="CHF",TRUE)</formula>
    </cfRule>
    <cfRule type="expression" dxfId="628" priority="65">
      <formula>IF(INDIRECT("General_Currency_Selection")="EUR",TRUE)</formula>
    </cfRule>
    <cfRule type="expression" dxfId="627" priority="66">
      <formula>IF(INDIRECT("General_Currency_Selection")="USD",TRUE)</formula>
    </cfRule>
  </conditionalFormatting>
  <conditionalFormatting sqref="E39:E41">
    <cfRule type="expression" dxfId="626" priority="61">
      <formula>IF(INDIRECT("General_Currency_Selection")="CHF",TRUE)</formula>
    </cfRule>
    <cfRule type="expression" dxfId="625" priority="62">
      <formula>IF(INDIRECT("General_Currency_Selection")="EUR",TRUE)</formula>
    </cfRule>
    <cfRule type="expression" dxfId="624" priority="63">
      <formula>IF(INDIRECT("General_Currency_Selection")="USD",TRUE)</formula>
    </cfRule>
  </conditionalFormatting>
  <conditionalFormatting sqref="E43:F43">
    <cfRule type="expression" dxfId="623" priority="58">
      <formula>IF(INDIRECT("General_Currency_Selection")="CHF",TRUE)</formula>
    </cfRule>
    <cfRule type="expression" dxfId="622" priority="59">
      <formula>IF(INDIRECT("General_Currency_Selection")="EUR",TRUE)</formula>
    </cfRule>
    <cfRule type="expression" dxfId="621" priority="60">
      <formula>IF(INDIRECT("General_Currency_Selection")="USD",TRUE)</formula>
    </cfRule>
  </conditionalFormatting>
  <conditionalFormatting sqref="G35">
    <cfRule type="expression" dxfId="620" priority="55">
      <formula>IF(INDIRECT("General_Currency_Selection")="CHF",TRUE)</formula>
    </cfRule>
    <cfRule type="expression" dxfId="619" priority="56">
      <formula>IF(INDIRECT("General_Currency_Selection")="EUR",TRUE)</formula>
    </cfRule>
    <cfRule type="expression" dxfId="618" priority="57">
      <formula>IF(INDIRECT("General_Currency_Selection")="USD",TRUE)</formula>
    </cfRule>
  </conditionalFormatting>
  <conditionalFormatting sqref="G15">
    <cfRule type="expression" dxfId="617" priority="52">
      <formula>IF(INDIRECT("General_Currency_Selection")="CHF",TRUE)</formula>
    </cfRule>
    <cfRule type="expression" dxfId="616" priority="53">
      <formula>IF(INDIRECT("General_Currency_Selection")="EUR",TRUE)</formula>
    </cfRule>
    <cfRule type="expression" dxfId="615" priority="54">
      <formula>IF(INDIRECT("General_Currency_Selection")="USD",TRUE)</formula>
    </cfRule>
  </conditionalFormatting>
  <conditionalFormatting sqref="G45">
    <cfRule type="expression" dxfId="614" priority="49">
      <formula>IF(INDIRECT("General_Currency_Selection")="CHF",TRUE)</formula>
    </cfRule>
    <cfRule type="expression" dxfId="613" priority="50">
      <formula>IF(INDIRECT("General_Currency_Selection")="EUR",TRUE)</formula>
    </cfRule>
    <cfRule type="expression" dxfId="612" priority="51">
      <formula>IF(INDIRECT("General_Currency_Selection")="USD",TRUE)</formula>
    </cfRule>
  </conditionalFormatting>
  <conditionalFormatting sqref="F20:F31">
    <cfRule type="expression" dxfId="611" priority="46">
      <formula>IF(INDIRECT("General_Currency_Selection")="CHF",TRUE)</formula>
    </cfRule>
    <cfRule type="expression" dxfId="610" priority="47">
      <formula>IF(INDIRECT("General_Currency_Selection")="EUR",TRUE)</formula>
    </cfRule>
    <cfRule type="expression" dxfId="609" priority="48">
      <formula>IF(INDIRECT("General_Currency_Selection")="USD",TRUE)</formula>
    </cfRule>
  </conditionalFormatting>
  <conditionalFormatting sqref="E33">
    <cfRule type="expression" dxfId="608" priority="43">
      <formula>IF(INDIRECT("General_Currency_Selection")="CHF",TRUE)</formula>
    </cfRule>
    <cfRule type="expression" dxfId="607" priority="44">
      <formula>IF(INDIRECT("General_Currency_Selection")="EUR",TRUE)</formula>
    </cfRule>
    <cfRule type="expression" dxfId="606" priority="45">
      <formula>IF(INDIRECT("General_Currency_Selection")="USD",TRUE)</formula>
    </cfRule>
  </conditionalFormatting>
  <conditionalFormatting sqref="H152:W189">
    <cfRule type="expression" dxfId="605" priority="10">
      <formula>IF(INDIRECT("General_Currency_Selection")="CHF",TRUE)</formula>
    </cfRule>
    <cfRule type="expression" dxfId="604" priority="11">
      <formula>IF(INDIRECT("General_Currency_Selection")="EUR",TRUE)</formula>
    </cfRule>
    <cfRule type="expression" dxfId="603" priority="12">
      <formula>IF(INDIRECT("General_Currency_Selection")="USD",TRUE)</formula>
    </cfRule>
  </conditionalFormatting>
  <conditionalFormatting sqref="D52:D74">
    <cfRule type="expression" dxfId="602" priority="40">
      <formula>IF(INDIRECT("General_Currency_Selection")="CHF",TRUE)</formula>
    </cfRule>
    <cfRule type="expression" dxfId="601" priority="41">
      <formula>IF(INDIRECT("General_Currency_Selection")="EUR",TRUE)</formula>
    </cfRule>
    <cfRule type="expression" dxfId="600" priority="42">
      <formula>IF(INDIRECT("General_Currency_Selection")="USD",TRUE)</formula>
    </cfRule>
  </conditionalFormatting>
  <conditionalFormatting sqref="G52:G74">
    <cfRule type="expression" dxfId="599" priority="37">
      <formula>IF(INDIRECT("General_Currency_Selection")="CHF",TRUE)</formula>
    </cfRule>
    <cfRule type="expression" dxfId="598" priority="38">
      <formula>IF(INDIRECT("General_Currency_Selection")="EUR",TRUE)</formula>
    </cfRule>
    <cfRule type="expression" dxfId="597" priority="39">
      <formula>IF(INDIRECT("General_Currency_Selection")="USD",TRUE)</formula>
    </cfRule>
  </conditionalFormatting>
  <conditionalFormatting sqref="G76">
    <cfRule type="expression" dxfId="596" priority="34">
      <formula>IF(INDIRECT("General_Currency_Selection")="CHF",TRUE)</formula>
    </cfRule>
    <cfRule type="expression" dxfId="595" priority="35">
      <formula>IF(INDIRECT("General_Currency_Selection")="EUR",TRUE)</formula>
    </cfRule>
    <cfRule type="expression" dxfId="594" priority="36">
      <formula>IF(INDIRECT("General_Currency_Selection")="USD",TRUE)</formula>
    </cfRule>
  </conditionalFormatting>
  <conditionalFormatting sqref="D83:D103">
    <cfRule type="expression" dxfId="593" priority="31">
      <formula>IF(INDIRECT("General_Currency_Selection")="CHF",TRUE)</formula>
    </cfRule>
    <cfRule type="expression" dxfId="592" priority="32">
      <formula>IF(INDIRECT("General_Currency_Selection")="EUR",TRUE)</formula>
    </cfRule>
    <cfRule type="expression" dxfId="591" priority="33">
      <formula>IF(INDIRECT("General_Currency_Selection")="USD",TRUE)</formula>
    </cfRule>
  </conditionalFormatting>
  <conditionalFormatting sqref="G83:G103">
    <cfRule type="expression" dxfId="590" priority="28">
      <formula>IF(INDIRECT("General_Currency_Selection")="CHF",TRUE)</formula>
    </cfRule>
    <cfRule type="expression" dxfId="589" priority="29">
      <formula>IF(INDIRECT("General_Currency_Selection")="EUR",TRUE)</formula>
    </cfRule>
    <cfRule type="expression" dxfId="588" priority="30">
      <formula>IF(INDIRECT("General_Currency_Selection")="USD",TRUE)</formula>
    </cfRule>
  </conditionalFormatting>
  <conditionalFormatting sqref="G105">
    <cfRule type="expression" dxfId="587" priority="25">
      <formula>IF(INDIRECT("General_Currency_Selection")="CHF",TRUE)</formula>
    </cfRule>
    <cfRule type="expression" dxfId="586" priority="26">
      <formula>IF(INDIRECT("General_Currency_Selection")="EUR",TRUE)</formula>
    </cfRule>
    <cfRule type="expression" dxfId="585" priority="27">
      <formula>IF(INDIRECT("General_Currency_Selection")="USD",TRUE)</formula>
    </cfRule>
  </conditionalFormatting>
  <conditionalFormatting sqref="D110:D147">
    <cfRule type="expression" dxfId="584" priority="22">
      <formula>IF(INDIRECT("General_Currency_Selection")="CHF",TRUE)</formula>
    </cfRule>
    <cfRule type="expression" dxfId="583" priority="23">
      <formula>IF(INDIRECT("General_Currency_Selection")="EUR",TRUE)</formula>
    </cfRule>
    <cfRule type="expression" dxfId="582" priority="24">
      <formula>IF(INDIRECT("General_Currency_Selection")="USD",TRUE)</formula>
    </cfRule>
  </conditionalFormatting>
  <conditionalFormatting sqref="N110:N147">
    <cfRule type="expression" dxfId="581" priority="19">
      <formula>IF(INDIRECT("General_Currency_Selection")="CHF",TRUE)</formula>
    </cfRule>
    <cfRule type="expression" dxfId="580" priority="20">
      <formula>IF(INDIRECT("General_Currency_Selection")="EUR",TRUE)</formula>
    </cfRule>
    <cfRule type="expression" dxfId="579" priority="21">
      <formula>IF(INDIRECT("General_Currency_Selection")="USD",TRUE)</formula>
    </cfRule>
  </conditionalFormatting>
  <conditionalFormatting sqref="D152:D189">
    <cfRule type="expression" dxfId="578" priority="16">
      <formula>IF(INDIRECT("General_Currency_Selection")="CHF",TRUE)</formula>
    </cfRule>
    <cfRule type="expression" dxfId="577" priority="17">
      <formula>IF(INDIRECT("General_Currency_Selection")="EUR",TRUE)</formula>
    </cfRule>
    <cfRule type="expression" dxfId="576" priority="18">
      <formula>IF(INDIRECT("General_Currency_Selection")="USD",TRUE)</formula>
    </cfRule>
  </conditionalFormatting>
  <conditionalFormatting sqref="H110:H147">
    <cfRule type="expression" dxfId="575" priority="7">
      <formula>IF(INDIRECT("General_Currency_Selection")="CHF",TRUE)</formula>
    </cfRule>
    <cfRule type="expression" dxfId="574" priority="8">
      <formula>IF(INDIRECT("General_Currency_Selection")="EUR",TRUE)</formula>
    </cfRule>
    <cfRule type="expression" dxfId="573" priority="9">
      <formula>IF(INDIRECT("General_Currency_Selection")="USD",TRUE)</formula>
    </cfRule>
  </conditionalFormatting>
  <conditionalFormatting sqref="J110:J147">
    <cfRule type="expression" dxfId="572" priority="4">
      <formula>IF(INDIRECT("General_Currency_Selection")="CHF",TRUE)</formula>
    </cfRule>
    <cfRule type="expression" dxfId="571" priority="5">
      <formula>IF(INDIRECT("General_Currency_Selection")="EUR",TRUE)</formula>
    </cfRule>
    <cfRule type="expression" dxfId="570" priority="6">
      <formula>IF(INDIRECT("General_Currency_Selection")="USD",TRUE)</formula>
    </cfRule>
  </conditionalFormatting>
  <conditionalFormatting sqref="L110:L147">
    <cfRule type="expression" dxfId="569" priority="1">
      <formula>IF(INDIRECT("General_Currency_Selection")="CHF",TRUE)</formula>
    </cfRule>
    <cfRule type="expression" dxfId="568" priority="2">
      <formula>IF(INDIRECT("General_Currency_Selection")="EUR",TRUE)</formula>
    </cfRule>
    <cfRule type="expression" dxfId="567"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79998168889431442"/>
  </sheetPr>
  <dimension ref="B1:W189"/>
  <sheetViews>
    <sheetView showGridLines="0" showRowColHeaders="0" zoomScale="70" zoomScaleNormal="70" workbookViewId="0">
      <selection activeCell="G208" sqref="G208"/>
    </sheetView>
  </sheetViews>
  <sheetFormatPr defaultColWidth="11.1796875" defaultRowHeight="14.5"/>
  <cols>
    <col min="1" max="1" width="0.81640625" style="15" customWidth="1"/>
    <col min="2" max="2" width="13.81640625" style="15" customWidth="1"/>
    <col min="3" max="3" width="18.453125" style="15" customWidth="1"/>
    <col min="4" max="4" width="17.81640625" style="15" bestFit="1" customWidth="1"/>
    <col min="5" max="5" width="17.81640625" style="15" customWidth="1"/>
    <col min="6" max="6" width="26.81640625" style="15" customWidth="1"/>
    <col min="7" max="23" width="16.54296875" style="15" customWidth="1"/>
    <col min="24" max="16384" width="11.1796875" style="15"/>
  </cols>
  <sheetData>
    <row r="1" spans="2:16" ht="21">
      <c r="B1" s="1" t="s">
        <v>97</v>
      </c>
      <c r="C1" s="6"/>
    </row>
    <row r="2" spans="2:16" ht="15" thickBot="1"/>
    <row r="3" spans="2:16" ht="18.5">
      <c r="B3" s="2" t="s">
        <v>0</v>
      </c>
      <c r="C3" s="103"/>
      <c r="D3" s="51"/>
      <c r="E3" s="51"/>
      <c r="F3" s="51"/>
      <c r="G3" s="51"/>
      <c r="H3" s="51"/>
      <c r="I3" s="51"/>
      <c r="J3" s="51"/>
      <c r="K3" s="51"/>
      <c r="L3" s="51"/>
      <c r="M3" s="51"/>
      <c r="N3" s="51"/>
      <c r="O3" s="51"/>
      <c r="P3" s="51"/>
    </row>
    <row r="4" spans="2:16" ht="15.5">
      <c r="B4" s="61"/>
    </row>
    <row r="5" spans="2:16" ht="15.5">
      <c r="B5" s="61"/>
    </row>
    <row r="6" spans="2:16" ht="15.5">
      <c r="B6" s="61"/>
    </row>
    <row r="7" spans="2:16" ht="15.5">
      <c r="B7" s="61"/>
    </row>
    <row r="8" spans="2:16" ht="15.5">
      <c r="B8" s="61"/>
    </row>
    <row r="9" spans="2:16" ht="15.5">
      <c r="B9" s="61"/>
    </row>
    <row r="12" spans="2:16" ht="15.5">
      <c r="B12" s="98" t="s">
        <v>68</v>
      </c>
      <c r="C12" s="98" t="s">
        <v>69</v>
      </c>
      <c r="E12" s="61" t="s">
        <v>72</v>
      </c>
    </row>
    <row r="13" spans="2:16">
      <c r="B13" s="119" t="s">
        <v>109</v>
      </c>
      <c r="C13" s="118">
        <f>General_FreshLarvae_TotalProd</f>
        <v>1.3579009442632548</v>
      </c>
    </row>
    <row r="14" spans="2:16" ht="15" thickBot="1"/>
    <row r="15" spans="2:16" ht="18.5">
      <c r="B15" s="2" t="s">
        <v>71</v>
      </c>
      <c r="C15" s="103"/>
      <c r="D15" s="51"/>
      <c r="E15" s="51"/>
      <c r="F15" s="101" t="s">
        <v>128</v>
      </c>
      <c r="G15" s="306">
        <f>E33*C13*1000</f>
        <v>0</v>
      </c>
      <c r="H15" s="51"/>
      <c r="I15" s="51"/>
      <c r="J15" s="51"/>
      <c r="K15" s="51"/>
      <c r="L15" s="51"/>
      <c r="M15" s="51"/>
      <c r="N15" s="51"/>
      <c r="O15" s="51"/>
      <c r="P15" s="51"/>
    </row>
    <row r="16" spans="2:16" ht="15.5">
      <c r="B16" s="61" t="s">
        <v>429</v>
      </c>
      <c r="H16" s="22"/>
      <c r="I16" s="22"/>
      <c r="J16" s="22"/>
      <c r="K16" s="22"/>
      <c r="L16" s="22"/>
    </row>
    <row r="17" spans="2:12">
      <c r="B17" s="98" t="s">
        <v>76</v>
      </c>
      <c r="C17" s="80" t="s">
        <v>64</v>
      </c>
      <c r="H17" s="22"/>
      <c r="I17" s="22"/>
      <c r="J17" s="22"/>
      <c r="K17" s="22"/>
      <c r="L17" s="22"/>
    </row>
    <row r="18" spans="2:12">
      <c r="H18" s="22"/>
      <c r="I18" s="321"/>
      <c r="J18" s="114"/>
      <c r="K18" s="114"/>
      <c r="L18" s="22"/>
    </row>
    <row r="19" spans="2:12">
      <c r="B19" s="108" t="s">
        <v>404</v>
      </c>
      <c r="C19" s="108" t="s">
        <v>405</v>
      </c>
      <c r="D19" s="98" t="s">
        <v>850</v>
      </c>
      <c r="E19" s="98" t="s">
        <v>107</v>
      </c>
      <c r="F19" s="98" t="s">
        <v>621</v>
      </c>
      <c r="H19" s="22"/>
      <c r="I19" s="115"/>
      <c r="J19" s="114"/>
      <c r="K19" s="114"/>
      <c r="L19" s="22"/>
    </row>
    <row r="20" spans="2:12">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87" t="str">
        <f t="shared" ref="E20:E31" si="2">IF($B20="N/A","N/A",INDEX(Material_Unit_Price,MATCH($B20,Material_Code,0)))</f>
        <v>N/A</v>
      </c>
      <c r="F20" s="288" t="str">
        <f>IFERROR(E20*D20,"")</f>
        <v/>
      </c>
      <c r="H20" s="22"/>
      <c r="I20" s="115"/>
      <c r="J20" s="114"/>
      <c r="K20" s="114"/>
      <c r="L20" s="22"/>
    </row>
    <row r="21" spans="2:12">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87" t="str">
        <f t="shared" si="2"/>
        <v>N/A</v>
      </c>
      <c r="F21" s="288" t="str">
        <f t="shared" ref="F21:F31" si="3">IFERROR(E21*D21,"")</f>
        <v/>
      </c>
      <c r="H21" s="22"/>
      <c r="I21" s="115"/>
      <c r="J21" s="114"/>
      <c r="K21" s="114"/>
      <c r="L21" s="22"/>
    </row>
    <row r="22" spans="2:12">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87" t="str">
        <f t="shared" si="2"/>
        <v>N/A</v>
      </c>
      <c r="F22" s="288" t="str">
        <f t="shared" si="3"/>
        <v/>
      </c>
      <c r="H22" s="22"/>
      <c r="I22" s="22"/>
      <c r="J22" s="22"/>
      <c r="K22" s="22"/>
      <c r="L22" s="22"/>
    </row>
    <row r="23" spans="2:12">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row>
    <row r="24" spans="2:12">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row>
    <row r="25" spans="2:12">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row>
    <row r="26" spans="2:12">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row>
    <row r="27" spans="2:12">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row>
    <row r="28" spans="2:12">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row>
    <row r="29" spans="2:12">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row>
    <row r="30" spans="2:12">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row>
    <row r="31" spans="2:12">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row>
    <row r="32" spans="2:12">
      <c r="E32" s="78"/>
    </row>
    <row r="33" spans="2:16">
      <c r="B33" s="902" t="s">
        <v>194</v>
      </c>
      <c r="C33" s="902"/>
      <c r="D33" s="902"/>
      <c r="E33" s="307">
        <f>SUM(F20:F31)</f>
        <v>0</v>
      </c>
    </row>
    <row r="34" spans="2:16" ht="15" thickBot="1">
      <c r="B34" s="123"/>
      <c r="C34" s="123"/>
      <c r="D34" s="123"/>
      <c r="E34" s="114"/>
    </row>
    <row r="35" spans="2:16" ht="18.5">
      <c r="B35" s="2" t="s">
        <v>144</v>
      </c>
      <c r="C35" s="103"/>
      <c r="D35" s="51"/>
      <c r="E35" s="51"/>
      <c r="F35" s="101" t="s">
        <v>195</v>
      </c>
      <c r="G35" s="306">
        <f>F43</f>
        <v>1.8253504700345988</v>
      </c>
      <c r="H35" s="51"/>
      <c r="I35" s="51"/>
      <c r="J35" s="51"/>
      <c r="K35" s="51"/>
      <c r="L35" s="51"/>
      <c r="M35" s="51"/>
      <c r="N35" s="51"/>
      <c r="O35" s="51"/>
      <c r="P35" s="51"/>
    </row>
    <row r="36" spans="2:16" ht="15.5">
      <c r="B36" s="61" t="s">
        <v>529</v>
      </c>
      <c r="C36" s="22"/>
      <c r="D36" s="22"/>
      <c r="E36" s="22"/>
    </row>
    <row r="37" spans="2:16">
      <c r="B37" s="29"/>
      <c r="C37" s="131"/>
      <c r="D37" s="22"/>
      <c r="E37" s="22"/>
      <c r="H37" s="22"/>
      <c r="I37" s="22"/>
      <c r="J37" s="22"/>
      <c r="K37" s="22"/>
      <c r="L37" s="22"/>
    </row>
    <row r="38" spans="2:16" ht="15.5">
      <c r="C38" s="91" t="s">
        <v>515</v>
      </c>
      <c r="D38" s="91" t="s">
        <v>76</v>
      </c>
      <c r="E38" s="91" t="s">
        <v>620</v>
      </c>
      <c r="F38" s="91" t="s">
        <v>619</v>
      </c>
      <c r="H38" s="22"/>
      <c r="I38" s="208"/>
      <c r="J38" s="90"/>
      <c r="K38" s="114"/>
      <c r="L38" s="22"/>
    </row>
    <row r="39" spans="2:16">
      <c r="B39" s="98" t="str">
        <f>INDEX(Equipment_Utility_Spec_List,2)</f>
        <v>Water</v>
      </c>
      <c r="C39" s="134">
        <f>SUMPRODUCT($F$110:$F$147,$G$110:$G$147,$M$110:$M$147)</f>
        <v>6.204076361824208E-3</v>
      </c>
      <c r="D39" s="133" t="s">
        <v>516</v>
      </c>
      <c r="E39" s="288">
        <f>SUMIF($B$110:$B$147,("&lt;&gt;N/A"),$H$110:$H$147)</f>
        <v>1.3179393243748238E-3</v>
      </c>
      <c r="F39" s="288">
        <f>E39*Staff_Days_Operation</f>
        <v>0.48104785339681072</v>
      </c>
      <c r="H39" s="22"/>
      <c r="I39" s="73"/>
      <c r="J39" s="90"/>
      <c r="K39" s="114"/>
      <c r="L39" s="22"/>
    </row>
    <row r="40" spans="2:16">
      <c r="B40" s="98" t="str">
        <f>INDEX(Equipment_Utility_Spec_List,3)</f>
        <v>Electricity</v>
      </c>
      <c r="C40" s="134">
        <f>SUMPRODUCT($F$110:$F$147,$I$110:$I$147,$M$110:$M$147)</f>
        <v>3.4674953970291328E-2</v>
      </c>
      <c r="D40" s="133" t="s">
        <v>518</v>
      </c>
      <c r="E40" s="288">
        <f>SUMIF($B$110:$B$147,("&lt;&gt;N/A"),$J$110:$J$147)</f>
        <v>3.6830208675007895E-3</v>
      </c>
      <c r="F40" s="288">
        <f>E40*Staff_Days_Operation</f>
        <v>1.3443026166377881</v>
      </c>
      <c r="H40" s="22"/>
      <c r="I40" s="115"/>
      <c r="J40" s="114"/>
      <c r="K40" s="114"/>
      <c r="L40" s="22"/>
    </row>
    <row r="41" spans="2:16">
      <c r="B41" s="98" t="str">
        <f>INDEX(Equipment_Utility_Spec_List,4)</f>
        <v>Fuel</v>
      </c>
      <c r="C41" s="134">
        <f>SUMPRODUCT($F$110:$F$147,$K$110:$K$147,$M$110:$M$147)</f>
        <v>0</v>
      </c>
      <c r="D41" s="133" t="s">
        <v>517</v>
      </c>
      <c r="E41" s="288">
        <f>SUMIF($B$110:$B$147,("&lt;&gt;N/A"),$L$110:$L$147)</f>
        <v>0</v>
      </c>
      <c r="F41" s="288">
        <f>E41*Staff_Days_Operation</f>
        <v>0</v>
      </c>
      <c r="H41" s="22"/>
      <c r="I41" s="115"/>
      <c r="J41" s="114"/>
      <c r="K41" s="114"/>
      <c r="L41" s="22"/>
    </row>
    <row r="42" spans="2:16">
      <c r="B42" s="8"/>
      <c r="C42" s="115"/>
      <c r="D42" s="22"/>
      <c r="E42" s="132"/>
      <c r="H42" s="22"/>
      <c r="I42" s="22"/>
      <c r="J42" s="22"/>
      <c r="K42" s="22"/>
      <c r="L42" s="22"/>
    </row>
    <row r="43" spans="2:16">
      <c r="B43" s="901" t="s">
        <v>440</v>
      </c>
      <c r="C43" s="901"/>
      <c r="D43" s="901"/>
      <c r="E43" s="288">
        <f>SUM(E39:E41)</f>
        <v>5.0009601918756131E-3</v>
      </c>
      <c r="F43" s="288">
        <f>SUM(F39:F41)</f>
        <v>1.8253504700345988</v>
      </c>
      <c r="G43" s="22"/>
      <c r="H43" s="22"/>
      <c r="I43" s="22"/>
      <c r="J43" s="22"/>
      <c r="K43" s="114"/>
      <c r="L43" s="22"/>
    </row>
    <row r="44" spans="2:16" ht="15" thickBot="1">
      <c r="B44" s="123"/>
      <c r="C44" s="123"/>
      <c r="D44" s="123"/>
      <c r="E44" s="114"/>
      <c r="F44" s="54"/>
      <c r="G44" s="54"/>
    </row>
    <row r="45" spans="2:16" ht="18.5">
      <c r="B45" s="104" t="s">
        <v>2</v>
      </c>
      <c r="C45" s="105"/>
      <c r="D45" s="79"/>
      <c r="E45" s="79"/>
      <c r="F45" s="172" t="s">
        <v>129</v>
      </c>
      <c r="G45" s="306">
        <f>SUM(G52:G74)</f>
        <v>1475.5294536847382</v>
      </c>
      <c r="H45" s="79"/>
      <c r="I45" s="79"/>
      <c r="J45" s="79"/>
      <c r="K45" s="79"/>
      <c r="L45" s="79"/>
      <c r="M45" s="79"/>
      <c r="N45" s="79"/>
      <c r="O45" s="79"/>
      <c r="P45" s="79"/>
    </row>
    <row r="46" spans="2:16" ht="15.5">
      <c r="B46" s="61" t="s">
        <v>78</v>
      </c>
    </row>
    <row r="47" spans="2:16" ht="15.5">
      <c r="B47" s="61" t="s">
        <v>79</v>
      </c>
    </row>
    <row r="48" spans="2:16">
      <c r="B48" s="98" t="s">
        <v>75</v>
      </c>
      <c r="C48" s="900" t="s">
        <v>66</v>
      </c>
      <c r="D48" s="900"/>
    </row>
    <row r="49" spans="2:9">
      <c r="B49" s="98" t="s">
        <v>76</v>
      </c>
      <c r="C49" s="900" t="s">
        <v>64</v>
      </c>
      <c r="D49" s="900"/>
      <c r="I49" s="83"/>
    </row>
    <row r="51" spans="2:9" ht="31">
      <c r="B51" s="93" t="s">
        <v>220</v>
      </c>
      <c r="C51" s="93" t="s">
        <v>4</v>
      </c>
      <c r="D51" s="93" t="s">
        <v>77</v>
      </c>
      <c r="E51" s="122" t="s">
        <v>242</v>
      </c>
      <c r="F51" s="93" t="s">
        <v>119</v>
      </c>
      <c r="G51" s="93" t="s">
        <v>120</v>
      </c>
    </row>
    <row r="52" spans="2:9">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pos001</v>
      </c>
      <c r="C52" s="71" t="str">
        <f>IF($B52="N/A","N/A",INDEX(Staff_position[],MATCH(B52,Staff_Position_ID,0)))</f>
        <v>General worker</v>
      </c>
      <c r="D52" s="288">
        <f>IF($B52="N/A","N/A",INDEX(Staff_net_salary[],MATCH(B52,Staff_Position_ID,0)))</f>
        <v>1699.449519976321</v>
      </c>
      <c r="E52" s="85">
        <f t="shared" ref="E52:E74" si="4">IF($B52="N/A","N/A",INDEX(Staff_number_of_employees,MATCH(B52,Staff_Position_ID,0)))</f>
        <v>1</v>
      </c>
      <c r="F52" s="86">
        <f t="shared" ref="F52:F74" si="5">IFERROR(INDEX(Staff_Position_Allocation,MATCH(B52,Staff_Position_ID),MATCH($C$49,Unit_codes,0)),"")</f>
        <v>0.86823964839232015</v>
      </c>
      <c r="G52" s="288">
        <f>IFERROR(D52*E52*F52,"")</f>
        <v>1475.5294536847382</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si="4"/>
        <v>N/A</v>
      </c>
      <c r="F53" s="86" t="str">
        <f t="shared" si="5"/>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4"/>
        <v>N/A</v>
      </c>
      <c r="F54" s="86" t="str">
        <f t="shared" si="5"/>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4"/>
        <v>N/A</v>
      </c>
      <c r="F55" s="86" t="str">
        <f t="shared" si="5"/>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4"/>
        <v>N/A</v>
      </c>
      <c r="F56" s="86" t="str">
        <f t="shared" si="5"/>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4"/>
        <v>N/A</v>
      </c>
      <c r="F57" s="86" t="str">
        <f t="shared" si="5"/>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4"/>
        <v>N/A</v>
      </c>
      <c r="F58" s="86" t="str">
        <f t="shared" si="5"/>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4"/>
        <v>N/A</v>
      </c>
      <c r="F59" s="86" t="str">
        <f t="shared" si="5"/>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4"/>
        <v>N/A</v>
      </c>
      <c r="F60" s="86" t="str">
        <f t="shared" si="5"/>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4"/>
        <v>N/A</v>
      </c>
      <c r="F61" s="86" t="str">
        <f t="shared" si="5"/>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4"/>
        <v>N/A</v>
      </c>
      <c r="F62" s="86" t="str">
        <f t="shared" si="5"/>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4"/>
        <v>N/A</v>
      </c>
      <c r="F63" s="86" t="str">
        <f t="shared" si="5"/>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4"/>
        <v>N/A</v>
      </c>
      <c r="F64" s="86" t="str">
        <f t="shared" si="5"/>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4"/>
        <v>N/A</v>
      </c>
      <c r="F65" s="86" t="str">
        <f t="shared" si="5"/>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4"/>
        <v>N/A</v>
      </c>
      <c r="F66" s="86" t="str">
        <f t="shared" si="5"/>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4"/>
        <v>N/A</v>
      </c>
      <c r="F67" s="86" t="str">
        <f t="shared" si="5"/>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4"/>
        <v>N/A</v>
      </c>
      <c r="F68" s="86" t="str">
        <f t="shared" si="5"/>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4"/>
        <v>N/A</v>
      </c>
      <c r="F69" s="86" t="str">
        <f t="shared" si="5"/>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4"/>
        <v>N/A</v>
      </c>
      <c r="F70" s="86" t="str">
        <f t="shared" si="5"/>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4"/>
        <v>N/A</v>
      </c>
      <c r="F71" s="86" t="str">
        <f t="shared" si="5"/>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4"/>
        <v>N/A</v>
      </c>
      <c r="F72" s="86" t="str">
        <f t="shared" si="5"/>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4"/>
        <v>N/A</v>
      </c>
      <c r="F73" s="86" t="str">
        <f t="shared" si="5"/>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4"/>
        <v>N/A</v>
      </c>
      <c r="F74" s="86" t="str">
        <f t="shared" si="5"/>
        <v/>
      </c>
      <c r="G74" s="288" t="str">
        <f t="shared" si="6"/>
        <v/>
      </c>
    </row>
    <row r="75" spans="2:16" ht="15" thickBot="1"/>
    <row r="76" spans="2:16" ht="30">
      <c r="B76" s="104" t="s">
        <v>81</v>
      </c>
      <c r="C76" s="105"/>
      <c r="D76" s="79"/>
      <c r="E76" s="79"/>
      <c r="F76" s="99" t="s">
        <v>84</v>
      </c>
      <c r="G76" s="306">
        <f>SUMIF(G83:G103,("&lt;&gt;N/A"),G83:G103)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64</v>
      </c>
      <c r="D80" s="900"/>
    </row>
    <row r="82" spans="2:7" ht="31">
      <c r="B82" s="93" t="s">
        <v>220</v>
      </c>
      <c r="C82" s="93" t="s">
        <v>4</v>
      </c>
      <c r="D82" s="93" t="s">
        <v>77</v>
      </c>
      <c r="E82" s="122" t="s">
        <v>242</v>
      </c>
      <c r="F82" s="93" t="s">
        <v>119</v>
      </c>
      <c r="G82" s="93"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1" t="str">
        <f>IF($B83="N/A","N/A",INDEX(Staff_position[],MATCH(B83,Staff_Position_ID,0)))</f>
        <v>Waste units manager</v>
      </c>
      <c r="D83" s="288">
        <f>IF($B83="N/A","N/A",INDEX(Staff_net_salary[],MATCH(B83,Staff_Position_ID,0)))</f>
        <v>3398.8990399526419</v>
      </c>
      <c r="E83" s="85">
        <f t="shared" ref="E83:E103" si="7">IF($B83="N/A","N/A",INDEX(Staff_number_of_employees,MATCH(B83,Staff_Position_ID,0)))</f>
        <v>0</v>
      </c>
      <c r="F83" s="86">
        <f t="shared" ref="F83:F103" si="8">IFERROR(INDEX(Staff_Position_Allocation,MATCH(B83,Staff_Position_ID),MATCH($C$80,Unit_codes,0)),"")</f>
        <v>0.38</v>
      </c>
      <c r="G83" s="288">
        <f>IFERROR(D83*E83*F83,"")</f>
        <v>0</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1" t="str">
        <f>IF($B84="N/A","N/A",INDEX(Staff_position[],MATCH(B84,Staff_Position_ID,0)))</f>
        <v>Site manager</v>
      </c>
      <c r="D84" s="288">
        <f>IF($B84="N/A","N/A",INDEX(Staff_net_salary[],MATCH(B84,Staff_Position_ID,0)))</f>
        <v>5098.3485599289634</v>
      </c>
      <c r="E84" s="85">
        <f t="shared" si="7"/>
        <v>0</v>
      </c>
      <c r="F84" s="86">
        <f t="shared" si="8"/>
        <v>0.13</v>
      </c>
      <c r="G84" s="288">
        <f t="shared" ref="G84:G103" si="9">IFERROR(D84*E84*F84,"")</f>
        <v>0</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16" ht="15" thickBot="1">
      <c r="E104" s="143"/>
      <c r="F104" s="143"/>
      <c r="G104" s="143"/>
    </row>
    <row r="105" spans="2:16" ht="29">
      <c r="B105" s="2" t="s">
        <v>1</v>
      </c>
      <c r="C105" s="103"/>
      <c r="D105" s="51"/>
      <c r="F105" s="145" t="s">
        <v>151</v>
      </c>
      <c r="G105" s="306">
        <f>SUMIF(B110:B147,("&lt;&gt;N/A"),N110:N147)</f>
        <v>772.86479510067591</v>
      </c>
      <c r="H105" s="51"/>
      <c r="I105" s="51"/>
      <c r="J105" s="51"/>
      <c r="K105" s="51"/>
      <c r="L105" s="51"/>
      <c r="M105" s="51"/>
      <c r="N105" s="51"/>
      <c r="O105" s="51"/>
      <c r="P105" s="51"/>
    </row>
    <row r="106" spans="2:16" ht="15.5">
      <c r="B106" s="61" t="s">
        <v>80</v>
      </c>
    </row>
    <row r="107" spans="2:16">
      <c r="B107" s="98" t="s">
        <v>76</v>
      </c>
      <c r="C107" s="80" t="s">
        <v>64</v>
      </c>
    </row>
    <row r="109" spans="2:16" ht="46.5">
      <c r="B109" s="91" t="s">
        <v>82</v>
      </c>
      <c r="C109" s="91" t="s">
        <v>51</v>
      </c>
      <c r="D109" s="93" t="s">
        <v>150</v>
      </c>
      <c r="E109" s="116" t="s">
        <v>48</v>
      </c>
      <c r="F109" s="93" t="s">
        <v>502</v>
      </c>
      <c r="G109" s="93" t="s">
        <v>439</v>
      </c>
      <c r="H109" s="93" t="s">
        <v>503</v>
      </c>
      <c r="I109" s="93" t="s">
        <v>507</v>
      </c>
      <c r="J109" s="93" t="s">
        <v>504</v>
      </c>
      <c r="K109" s="93" t="s">
        <v>506</v>
      </c>
      <c r="L109" s="93" t="s">
        <v>505</v>
      </c>
      <c r="M109" s="93" t="s">
        <v>112</v>
      </c>
      <c r="N109" s="93" t="s">
        <v>152</v>
      </c>
      <c r="O109" s="93"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eq0003</v>
      </c>
      <c r="C110" s="70" t="str">
        <f>IF($B110="N/A","N/A",INDEX(Equipment_name[],MATCH(B110,equipment_ID,0)))</f>
        <v>Conversion crates</v>
      </c>
      <c r="D110" s="288">
        <f t="shared" ref="D110:D147" si="10">IF($B110="N/A","N/A",INDEX(Equipment_Depreciation,MATCH(B110,equipment_ID,0)))</f>
        <v>0.99134555331952057</v>
      </c>
      <c r="E110" s="88">
        <f t="shared" ref="E110:E147" si="11">IF($B110="N/A","N/A",INDEX(Equipment_Quantity_New,MATCH(B110,equipment_ID,0)))</f>
        <v>16</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12">IFERROR($E110*$F110*G110*$M110*General_Water_Price,"")</f>
        <v/>
      </c>
      <c r="I110" s="130" t="str">
        <f>IF($B110="N/A","",IF(INDEX(Equipment_Utility_Decision,MATCH($B110,equipment_ID,0))='4.2-Settings Internal'!$B$30,INDEX(Equipment_Utility_Electricity,MATCH($B110,equipment_ID,0)),""))</f>
        <v/>
      </c>
      <c r="J110" s="288" t="str">
        <f t="shared" ref="J110:J147" si="13">IFERROR($E110*$F110*I110*$M110*General_Electricity_Price,"")</f>
        <v/>
      </c>
      <c r="K110" s="130" t="str">
        <f>IF($B110="N/A","",IF(INDEX(Equipment_Utility_Decision,MATCH($B110,equipment_ID,0))=INDEX(Yes_No_Choice[],1),INDEX(Equipment_Utility_Fuel,MATCH($B110,equipment_ID,0)),""))</f>
        <v/>
      </c>
      <c r="L110" s="288" t="str">
        <f t="shared" ref="L110:L147" si="14">IFERROR($E110*$F110*$K110*$M110*INDEX(General_Utilities,MATCH(INDEX(Equipment_Utility_Fuel_Selection,MATCH($B110,equipment_ID,0)),General_Utilities_Type,0),4),"")</f>
        <v/>
      </c>
      <c r="M110" s="89">
        <f t="shared" ref="M110:M147" si="15">IFERROR(INDEX(Equipment_Allocation_New,MATCH(B110,equipment_ID,0),MATCH($C$107,Unit_codes,0)),"")</f>
        <v>0.5</v>
      </c>
      <c r="N110" s="288">
        <f t="shared" ref="N110:N147" si="16">IFERROR($D110*E110*M110,"")</f>
        <v>7.9307644265561645</v>
      </c>
      <c r="O110" s="130" t="str">
        <f t="shared" ref="O110:O147" si="17">IF($B110="N/A","",IF(INDEX(Equipment_Space_Selection,MATCH(B110,equipment_ID,0))="Yes",INDEX(Equipment_Space_Footprint,MATCH(B110,equipment_ID,0))*INDEX(Equipment_Quantity_New,MATCH(B110,equipment_ID,0))*M110,""))</f>
        <v/>
      </c>
    </row>
    <row r="111" spans="2:16">
      <c r="B111" s="70" t="str">
        <f t="array" ref="B111">IF(COUNTIFS(INDEX(Equipment_Allocation_New,0,MATCH($C$107,Unit_codes,0)),"&gt;0")&lt;ROWS('2.2-Equipment input'!$X$8:$X9),"N/A",INDEX('2.2-Equipment input'!B:B,SMALL(IF(INDEX(Equipment_Allocation_New,0,MATCH($C$107,Unit_codes,0))&gt;0,ROW(equipment_ID)),ROW('2.2-Equipment input'!B2))))</f>
        <v>eq0004</v>
      </c>
      <c r="C111" s="70" t="str">
        <f>IF($B111="N/A","N/A",INDEX(Equipment_name[],MATCH(B111,equipment_ID,0)))</f>
        <v>Pallets</v>
      </c>
      <c r="D111" s="288">
        <f t="shared" si="10"/>
        <v>2.1243118999704014</v>
      </c>
      <c r="E111" s="88">
        <f t="shared" si="11"/>
        <v>1</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89">
        <f t="shared" si="15"/>
        <v>0.43</v>
      </c>
      <c r="N111" s="288">
        <f t="shared" si="16"/>
        <v>0.91345411698727252</v>
      </c>
      <c r="O111" s="130">
        <f t="shared" si="17"/>
        <v>0.67673400000000006</v>
      </c>
    </row>
    <row r="112" spans="2:16">
      <c r="B112" s="70" t="str">
        <f t="array" ref="B112">IF(COUNTIFS(INDEX(Equipment_Allocation_New,0,MATCH($C$107,Unit_codes,0)),"&gt;0")&lt;ROWS('2.2-Equipment input'!$X$8:$X10),"N/A",INDEX('2.2-Equipment input'!B:B,SMALL(IF(INDEX(Equipment_Allocation_New,0,MATCH($C$107,Unit_codes,0))&gt;0,ROW(equipment_ID)),ROW('2.2-Equipment input'!B3))))</f>
        <v>eq0005</v>
      </c>
      <c r="C112" s="70" t="str">
        <f>IF($B112="N/A","N/A",INDEX(Equipment_name[],MATCH(B112,equipment_ID,0)))</f>
        <v>Ventilation frames</v>
      </c>
      <c r="D112" s="288">
        <f t="shared" si="10"/>
        <v>3.5405198332840024</v>
      </c>
      <c r="E112" s="88">
        <f t="shared" si="11"/>
        <v>6</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89">
        <f t="shared" si="15"/>
        <v>0.5</v>
      </c>
      <c r="N112" s="288">
        <f t="shared" si="16"/>
        <v>10.621559499852008</v>
      </c>
      <c r="O112" s="130" t="str">
        <f t="shared" si="17"/>
        <v/>
      </c>
    </row>
    <row r="113" spans="2:15">
      <c r="B113" s="70" t="str">
        <f t="array" ref="B113">IF(COUNTIFS(INDEX(Equipment_Allocation_New,0,MATCH($C$107,Unit_codes,0)),"&gt;0")&lt;ROWS('2.2-Equipment input'!$X$8:$X11),"N/A",INDEX('2.2-Equipment input'!B:B,SMALL(IF(INDEX(Equipment_Allocation_New,0,MATCH($C$107,Unit_codes,0))&gt;0,ROW(equipment_ID)),ROW('2.2-Equipment input'!B4))))</f>
        <v>eq0006</v>
      </c>
      <c r="C113" s="70" t="str">
        <f>IF($B113="N/A","N/A",INDEX(Equipment_name[],MATCH(B113,equipment_ID,0)))</f>
        <v>Pallet trolley</v>
      </c>
      <c r="D113" s="288">
        <f t="shared" si="10"/>
        <v>42.486237999408026</v>
      </c>
      <c r="E113" s="88">
        <f t="shared" si="11"/>
        <v>1</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89">
        <f t="shared" si="15"/>
        <v>0.43</v>
      </c>
      <c r="N113" s="288">
        <f t="shared" si="16"/>
        <v>18.269082339745452</v>
      </c>
      <c r="O113" s="130" t="str">
        <f t="shared" si="17"/>
        <v/>
      </c>
    </row>
    <row r="114" spans="2:15">
      <c r="B114" s="70" t="str">
        <f t="array" ref="B114">IF(COUNTIFS(INDEX(Equipment_Allocation_New,0,MATCH($C$107,Unit_codes,0)),"&gt;0")&lt;ROWS('2.2-Equipment input'!$X$8:$X12),"N/A",INDEX('2.2-Equipment input'!B:B,SMALL(IF(INDEX(Equipment_Allocation_New,0,MATCH($C$107,Unit_codes,0))&gt;0,ROW(equipment_ID)),ROW('2.2-Equipment input'!B5))))</f>
        <v>eq0008</v>
      </c>
      <c r="C114" s="70" t="str">
        <f>IF($B114="N/A","N/A",INDEX(Equipment_name[],MATCH(B114,equipment_ID,0)))</f>
        <v>High pressure cleaner</v>
      </c>
      <c r="D114" s="288">
        <f t="shared" si="10"/>
        <v>212.43118999704015</v>
      </c>
      <c r="E114" s="88">
        <f t="shared" si="11"/>
        <v>1</v>
      </c>
      <c r="F114" s="130">
        <f>IF($B114="N/A","",IF(INDEX(Equipment_Utility_Decision,MATCH($B114,equipment_ID,0))='4.2-Settings Internal'!$B$30,INDEX(Equipment_Utility_Run,MATCH($B114,equipment_ID,0)),""))</f>
        <v>4.8205721537095632E-2</v>
      </c>
      <c r="G114" s="130">
        <f>IF($B114="N/A","",IF(INDEX(Equipment_Utility_Decision,MATCH($B114,equipment_ID,0))='4.2-Settings Internal'!$B$30,INDEX(Equipment_Utility_Water,MATCH($B114,equipment_ID,0)),""))</f>
        <v>0.42899999999999999</v>
      </c>
      <c r="H114" s="288">
        <f t="shared" si="12"/>
        <v>1.3179393243748238E-3</v>
      </c>
      <c r="I114" s="130">
        <f>IF($B114="N/A","",IF(INDEX(Equipment_Utility_Decision,MATCH($B114,equipment_ID,0))='4.2-Settings Internal'!$B$30,INDEX(Equipment_Utility_Electricity,MATCH($B114,equipment_ID,0)),""))</f>
        <v>2</v>
      </c>
      <c r="J114" s="288">
        <f t="shared" si="13"/>
        <v>3.0721196372373513E-3</v>
      </c>
      <c r="K114" s="130">
        <f>IF($B114="N/A","",IF(INDEX(Equipment_Utility_Decision,MATCH($B114,equipment_ID,0))=INDEX(Yes_No_Choice[],1),INDEX(Equipment_Utility_Fuel,MATCH($B114,equipment_ID,0)),""))</f>
        <v>0</v>
      </c>
      <c r="L114" s="288" t="str">
        <f t="shared" si="14"/>
        <v/>
      </c>
      <c r="M114" s="89">
        <f t="shared" si="15"/>
        <v>0.3</v>
      </c>
      <c r="N114" s="288">
        <f t="shared" si="16"/>
        <v>63.729356999112042</v>
      </c>
      <c r="O114" s="130">
        <f t="shared" si="17"/>
        <v>7.4999999999999997E-2</v>
      </c>
    </row>
    <row r="115" spans="2:15">
      <c r="B115" s="70" t="str">
        <f t="array" ref="B115">IF(COUNTIFS(INDEX(Equipment_Allocation_New,0,MATCH($C$107,Unit_codes,0)),"&gt;0")&lt;ROWS('2.2-Equipment input'!$X$8:$X13),"N/A",INDEX('2.2-Equipment input'!B:B,SMALL(IF(INDEX(Equipment_Allocation_New,0,MATCH($C$107,Unit_codes,0))&gt;0,ROW(equipment_ID)),ROW('2.2-Equipment input'!B6))))</f>
        <v>eq0009</v>
      </c>
      <c r="C115" s="70" t="str">
        <f>IF($B115="N/A","N/A",INDEX(Equipment_name[],MATCH(B115,equipment_ID,0)))</f>
        <v>Vibrating sieve</v>
      </c>
      <c r="D115" s="288">
        <f t="shared" si="10"/>
        <v>354.05198332840024</v>
      </c>
      <c r="E115" s="88">
        <f t="shared" si="11"/>
        <v>1</v>
      </c>
      <c r="F115" s="130">
        <f>IF($B115="N/A","",IF(INDEX(Equipment_Utility_Decision,MATCH($B115,equipment_ID,0))='4.2-Settings Internal'!$B$30,INDEX(Equipment_Utility_Run,MATCH($B115,equipment_ID,0)),""))</f>
        <v>7.7129154459352998E-3</v>
      </c>
      <c r="G115" s="130">
        <f>IF($B115="N/A","",IF(INDEX(Equipment_Utility_Decision,MATCH($B115,equipment_ID,0))='4.2-Settings Internal'!$B$30,INDEX(Equipment_Utility_Water,MATCH($B115,equipment_ID,0)),""))</f>
        <v>0</v>
      </c>
      <c r="H115" s="288">
        <f t="shared" si="12"/>
        <v>0</v>
      </c>
      <c r="I115" s="130">
        <f>IF($B115="N/A","",IF(INDEX(Equipment_Utility_Decision,MATCH($B115,equipment_ID,0))='4.2-Settings Internal'!$B$30,INDEX(Equipment_Utility_Electricity,MATCH($B115,equipment_ID,0)),""))</f>
        <v>0.74570000000000003</v>
      </c>
      <c r="J115" s="288">
        <f t="shared" si="13"/>
        <v>6.1090123026343805E-4</v>
      </c>
      <c r="K115" s="130">
        <f>IF($B115="N/A","",IF(INDEX(Equipment_Utility_Decision,MATCH($B115,equipment_ID,0))=INDEX(Yes_No_Choice[],1),INDEX(Equipment_Utility_Fuel,MATCH($B115,equipment_ID,0)),""))</f>
        <v>0</v>
      </c>
      <c r="L115" s="288" t="str">
        <f t="shared" si="14"/>
        <v/>
      </c>
      <c r="M115" s="89">
        <f t="shared" si="15"/>
        <v>1</v>
      </c>
      <c r="N115" s="288">
        <f t="shared" si="16"/>
        <v>354.05198332840024</v>
      </c>
      <c r="O115" s="130">
        <f t="shared" si="17"/>
        <v>4</v>
      </c>
    </row>
    <row r="116" spans="2:15">
      <c r="B116" s="70" t="str">
        <f t="array" ref="B116">IF(COUNTIFS(INDEX(Equipment_Allocation_New,0,MATCH($C$107,Unit_codes,0)),"&gt;0")&lt;ROWS('2.2-Equipment input'!$X$8:$X14),"N/A",INDEX('2.2-Equipment input'!B:B,SMALL(IF(INDEX(Equipment_Allocation_New,0,MATCH($C$107,Unit_codes,0))&gt;0,ROW(equipment_ID)),ROW('2.2-Equipment input'!B7))))</f>
        <v>eq0010</v>
      </c>
      <c r="C116" s="70" t="str">
        <f>IF($B116="N/A","N/A",INDEX(Equipment_name[],MATCH(B116,equipment_ID,0)))</f>
        <v>Harvesting unit (wet)</v>
      </c>
      <c r="D116" s="288">
        <f t="shared" si="10"/>
        <v>203.22583843050171</v>
      </c>
      <c r="E116" s="88">
        <f t="shared" si="11"/>
        <v>1</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12"/>
        <v/>
      </c>
      <c r="I116" s="130" t="str">
        <f>IF($B116="N/A","",IF(INDEX(Equipment_Utility_Decision,MATCH($B116,equipment_ID,0))='4.2-Settings Internal'!$B$30,INDEX(Equipment_Utility_Electricity,MATCH($B116,equipment_ID,0)),""))</f>
        <v/>
      </c>
      <c r="J116" s="288" t="str">
        <f t="shared" si="13"/>
        <v/>
      </c>
      <c r="K116" s="130" t="str">
        <f>IF($B116="N/A","",IF(INDEX(Equipment_Utility_Decision,MATCH($B116,equipment_ID,0))=INDEX(Yes_No_Choice[],1),INDEX(Equipment_Utility_Fuel,MATCH($B116,equipment_ID,0)),""))</f>
        <v/>
      </c>
      <c r="L116" s="288" t="str">
        <f t="shared" si="14"/>
        <v/>
      </c>
      <c r="M116" s="89">
        <f t="shared" si="15"/>
        <v>1</v>
      </c>
      <c r="N116" s="288">
        <f t="shared" si="16"/>
        <v>203.22583843050171</v>
      </c>
      <c r="O116" s="130" t="str">
        <f t="shared" si="17"/>
        <v/>
      </c>
    </row>
    <row r="117" spans="2:15">
      <c r="B117" s="70" t="str">
        <f t="array" ref="B117">IF(COUNTIFS(INDEX(Equipment_Allocation_New,0,MATCH($C$107,Unit_codes,0)),"&gt;0")&lt;ROWS('2.2-Equipment input'!$X$8:$X15),"N/A",INDEX('2.2-Equipment input'!B:B,SMALL(IF(INDEX(Equipment_Allocation_New,0,MATCH($C$107,Unit_codes,0))&gt;0,ROW(equipment_ID)),ROW('2.2-Equipment input'!B8))))</f>
        <v>eq0011</v>
      </c>
      <c r="C117" s="70" t="str">
        <f>IF($B117="N/A","N/A",INDEX(Equipment_name[],MATCH(B117,equipment_ID,0)))</f>
        <v>Harvesting container</v>
      </c>
      <c r="D117" s="288">
        <f t="shared" si="10"/>
        <v>84.972475998816051</v>
      </c>
      <c r="E117" s="88">
        <f t="shared" si="11"/>
        <v>1</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12"/>
        <v/>
      </c>
      <c r="I117" s="130" t="str">
        <f>IF($B117="N/A","",IF(INDEX(Equipment_Utility_Decision,MATCH($B117,equipment_ID,0))='4.2-Settings Internal'!$B$30,INDEX(Equipment_Utility_Electricity,MATCH($B117,equipment_ID,0)),""))</f>
        <v/>
      </c>
      <c r="J117" s="288" t="str">
        <f t="shared" si="13"/>
        <v/>
      </c>
      <c r="K117" s="130" t="str">
        <f>IF($B117="N/A","",IF(INDEX(Equipment_Utility_Decision,MATCH($B117,equipment_ID,0))=INDEX(Yes_No_Choice[],1),INDEX(Equipment_Utility_Fuel,MATCH($B117,equipment_ID,0)),""))</f>
        <v/>
      </c>
      <c r="L117" s="288" t="str">
        <f t="shared" si="14"/>
        <v/>
      </c>
      <c r="M117" s="89">
        <f t="shared" si="15"/>
        <v>1</v>
      </c>
      <c r="N117" s="288">
        <f t="shared" si="16"/>
        <v>84.972475998816051</v>
      </c>
      <c r="O117" s="130" t="str">
        <f t="shared" si="17"/>
        <v/>
      </c>
    </row>
    <row r="118" spans="2:15">
      <c r="B118" s="70" t="str">
        <f t="array" ref="B118">IF(COUNTIFS(INDEX(Equipment_Allocation_New,0,MATCH($C$107,Unit_codes,0)),"&gt;0")&lt;ROWS('2.2-Equipment input'!$X$8:$X16),"N/A",INDEX('2.2-Equipment input'!B:B,SMALL(IF(INDEX(Equipment_Allocation_New,0,MATCH($C$107,Unit_codes,0))&gt;0,ROW(equipment_ID)),ROW('2.2-Equipment input'!B9))))</f>
        <v>eq0012</v>
      </c>
      <c r="C118" s="70" t="str">
        <f>IF($B118="N/A","N/A",INDEX(Equipment_name[],MATCH(B118,equipment_ID,0)))</f>
        <v>Harvesting large scoop</v>
      </c>
      <c r="D118" s="288">
        <f t="shared" si="10"/>
        <v>0.4720693111045336</v>
      </c>
      <c r="E118" s="88">
        <f t="shared" si="11"/>
        <v>1</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2"/>
        <v/>
      </c>
      <c r="I118" s="130" t="str">
        <f>IF($B118="N/A","",IF(INDEX(Equipment_Utility_Decision,MATCH($B118,equipment_ID,0))='4.2-Settings Internal'!$B$30,INDEX(Equipment_Utility_Electricity,MATCH($B118,equipment_ID,0)),""))</f>
        <v/>
      </c>
      <c r="J118" s="288" t="str">
        <f t="shared" si="13"/>
        <v/>
      </c>
      <c r="K118" s="130" t="str">
        <f>IF($B118="N/A","",IF(INDEX(Equipment_Utility_Decision,MATCH($B118,equipment_ID,0))=INDEX(Yes_No_Choice[],1),INDEX(Equipment_Utility_Fuel,MATCH($B118,equipment_ID,0)),""))</f>
        <v/>
      </c>
      <c r="L118" s="288" t="str">
        <f t="shared" si="14"/>
        <v/>
      </c>
      <c r="M118" s="89">
        <f t="shared" si="15"/>
        <v>1</v>
      </c>
      <c r="N118" s="288">
        <f t="shared" si="16"/>
        <v>0.4720693111045336</v>
      </c>
      <c r="O118" s="130" t="str">
        <f t="shared" si="17"/>
        <v/>
      </c>
    </row>
    <row r="119" spans="2:15">
      <c r="B119" s="70" t="str">
        <f t="array" ref="B119">IF(COUNTIFS(INDEX(Equipment_Allocation_New,0,MATCH($C$107,Unit_codes,0)),"&gt;0")&lt;ROWS('2.2-Equipment input'!$X$8:$X17),"N/A",INDEX('2.2-Equipment input'!B:B,SMALL(IF(INDEX(Equipment_Allocation_New,0,MATCH($C$107,Unit_codes,0))&gt;0,ROW(equipment_ID)),ROW('2.2-Equipment input'!B10))))</f>
        <v>eq0030</v>
      </c>
      <c r="C119" s="70" t="str">
        <f>IF($B119="N/A","N/A",INDEX(Equipment_name[],MATCH(B119,equipment_ID,0)))</f>
        <v>Measuring balance ("heavy" duty)</v>
      </c>
      <c r="D119" s="288">
        <f t="shared" si="10"/>
        <v>35.405198332840023</v>
      </c>
      <c r="E119" s="88">
        <f t="shared" si="11"/>
        <v>1</v>
      </c>
      <c r="F119" s="130">
        <f>IF($B119="N/A","",IF(INDEX(Equipment_Utility_Decision,MATCH($B119,equipment_ID,0))='4.2-Settings Internal'!$B$30,INDEX(Equipment_Utility_Run,MATCH($B119,equipment_ID,0)),""))</f>
        <v>0</v>
      </c>
      <c r="G119" s="130">
        <f>IF($B119="N/A","",IF(INDEX(Equipment_Utility_Decision,MATCH($B119,equipment_ID,0))='4.2-Settings Internal'!$B$30,INDEX(Equipment_Utility_Water,MATCH($B119,equipment_ID,0)),""))</f>
        <v>0</v>
      </c>
      <c r="H119" s="288">
        <f t="shared" si="12"/>
        <v>0</v>
      </c>
      <c r="I119" s="130">
        <f>IF($B119="N/A","",IF(INDEX(Equipment_Utility_Decision,MATCH($B119,equipment_ID,0))='4.2-Settings Internal'!$B$30,INDEX(Equipment_Utility_Electricity,MATCH($B119,equipment_ID,0)),""))</f>
        <v>0</v>
      </c>
      <c r="J119" s="288">
        <f t="shared" si="13"/>
        <v>0</v>
      </c>
      <c r="K119" s="130">
        <f>IF($B119="N/A","",IF(INDEX(Equipment_Utility_Decision,MATCH($B119,equipment_ID,0))=INDEX(Yes_No_Choice[],1),INDEX(Equipment_Utility_Fuel,MATCH($B119,equipment_ID,0)),""))</f>
        <v>0</v>
      </c>
      <c r="L119" s="288" t="str">
        <f t="shared" si="14"/>
        <v/>
      </c>
      <c r="M119" s="89">
        <f t="shared" si="15"/>
        <v>0.31</v>
      </c>
      <c r="N119" s="288">
        <f t="shared" si="16"/>
        <v>10.975611483180407</v>
      </c>
      <c r="O119" s="130" t="str">
        <f t="shared" si="17"/>
        <v/>
      </c>
    </row>
    <row r="120" spans="2:15">
      <c r="B120" s="70" t="str">
        <f t="array" ref="B120">IF(COUNTIFS(INDEX(Equipment_Allocation_New,0,MATCH($C$107,Unit_codes,0)),"&gt;0")&lt;ROWS('2.2-Equipment input'!$X$8:$X18),"N/A",INDEX('2.2-Equipment input'!B:B,SMALL(IF(INDEX(Equipment_Allocation_New,0,MATCH($C$107,Unit_codes,0))&gt;0,ROW(equipment_ID)),ROW('2.2-Equipment input'!B11))))</f>
        <v>eq0032</v>
      </c>
      <c r="C120" s="70" t="str">
        <f>IF($B120="N/A","N/A",INDEX(Equipment_name[],MATCH(B120,equipment_ID,0)))</f>
        <v>Measuring balance (nursery)</v>
      </c>
      <c r="D120" s="288">
        <f t="shared" si="10"/>
        <v>70.810396665680045</v>
      </c>
      <c r="E120" s="88">
        <f t="shared" si="11"/>
        <v>1</v>
      </c>
      <c r="F120" s="130">
        <f>IF($B120="N/A","",IF(INDEX(Equipment_Utility_Decision,MATCH($B120,equipment_ID,0))='4.2-Settings Internal'!$B$30,INDEX(Equipment_Utility_Run,MATCH($B120,equipment_ID,0)),""))</f>
        <v>0</v>
      </c>
      <c r="G120" s="130">
        <f>IF($B120="N/A","",IF(INDEX(Equipment_Utility_Decision,MATCH($B120,equipment_ID,0))='4.2-Settings Internal'!$B$30,INDEX(Equipment_Utility_Water,MATCH($B120,equipment_ID,0)),""))</f>
        <v>0</v>
      </c>
      <c r="H120" s="288">
        <f t="shared" si="12"/>
        <v>0</v>
      </c>
      <c r="I120" s="130">
        <f>IF($B120="N/A","",IF(INDEX(Equipment_Utility_Decision,MATCH($B120,equipment_ID,0))='4.2-Settings Internal'!$B$30,INDEX(Equipment_Utility_Electricity,MATCH($B120,equipment_ID,0)),""))</f>
        <v>0</v>
      </c>
      <c r="J120" s="288">
        <f t="shared" si="13"/>
        <v>0</v>
      </c>
      <c r="K120" s="130">
        <f>IF($B120="N/A","",IF(INDEX(Equipment_Utility_Decision,MATCH($B120,equipment_ID,0))=INDEX(Yes_No_Choice[],1),INDEX(Equipment_Utility_Fuel,MATCH($B120,equipment_ID,0)),""))</f>
        <v>0</v>
      </c>
      <c r="L120" s="288" t="str">
        <f t="shared" si="14"/>
        <v/>
      </c>
      <c r="M120" s="89">
        <f t="shared" si="15"/>
        <v>0.25</v>
      </c>
      <c r="N120" s="288">
        <f t="shared" si="16"/>
        <v>17.702599166420011</v>
      </c>
      <c r="O120" s="130" t="str">
        <f t="shared" si="17"/>
        <v/>
      </c>
    </row>
    <row r="121" spans="2:15">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10"/>
        <v>N/A</v>
      </c>
      <c r="E121" s="88" t="str">
        <f t="shared" si="11"/>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89" t="str">
        <f t="shared" si="15"/>
        <v/>
      </c>
      <c r="N121" s="288" t="str">
        <f t="shared" si="16"/>
        <v/>
      </c>
      <c r="O121" s="130" t="str">
        <f t="shared" si="17"/>
        <v/>
      </c>
    </row>
    <row r="122" spans="2:15">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10"/>
        <v>N/A</v>
      </c>
      <c r="E122" s="88" t="str">
        <f t="shared" si="11"/>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89" t="str">
        <f t="shared" si="15"/>
        <v/>
      </c>
      <c r="N122" s="288" t="str">
        <f t="shared" si="16"/>
        <v/>
      </c>
      <c r="O122" s="130" t="str">
        <f t="shared" si="17"/>
        <v/>
      </c>
    </row>
    <row r="123" spans="2:15">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10"/>
        <v>N/A</v>
      </c>
      <c r="E123" s="88" t="str">
        <f t="shared" si="11"/>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89" t="str">
        <f t="shared" si="15"/>
        <v/>
      </c>
      <c r="N123" s="288" t="str">
        <f t="shared" si="16"/>
        <v/>
      </c>
      <c r="O123" s="130" t="str">
        <f t="shared" si="17"/>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0"/>
        <v>N/A</v>
      </c>
      <c r="E124" s="88" t="str">
        <f t="shared" si="11"/>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89" t="str">
        <f t="shared" si="15"/>
        <v/>
      </c>
      <c r="N124" s="288" t="str">
        <f t="shared" si="16"/>
        <v/>
      </c>
      <c r="O124" s="130" t="str">
        <f t="shared" si="17"/>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0"/>
        <v>N/A</v>
      </c>
      <c r="E125" s="88" t="str">
        <f t="shared" si="11"/>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2"/>
        <v/>
      </c>
      <c r="I125" s="130" t="str">
        <f>IF($B125="N/A","",IF(INDEX(Equipment_Utility_Decision,MATCH($B125,equipment_ID,0))='4.2-Settings Internal'!$B$30,INDEX(Equipment_Utility_Electricity,MATCH($B125,equipment_ID,0)),""))</f>
        <v/>
      </c>
      <c r="J125" s="288" t="str">
        <f t="shared" si="13"/>
        <v/>
      </c>
      <c r="K125" s="130" t="str">
        <f>IF($B125="N/A","",IF(INDEX(Equipment_Utility_Decision,MATCH($B125,equipment_ID,0))=INDEX(Yes_No_Choice[],1),INDEX(Equipment_Utility_Fuel,MATCH($B125,equipment_ID,0)),""))</f>
        <v/>
      </c>
      <c r="L125" s="288" t="str">
        <f t="shared" si="14"/>
        <v/>
      </c>
      <c r="M125" s="89" t="str">
        <f t="shared" si="15"/>
        <v/>
      </c>
      <c r="N125" s="288" t="str">
        <f t="shared" si="16"/>
        <v/>
      </c>
      <c r="O125" s="130" t="str">
        <f t="shared" si="17"/>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0"/>
        <v>N/A</v>
      </c>
      <c r="E126" s="88" t="str">
        <f t="shared" si="11"/>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2"/>
        <v/>
      </c>
      <c r="I126" s="130" t="str">
        <f>IF($B126="N/A","",IF(INDEX(Equipment_Utility_Decision,MATCH($B126,equipment_ID,0))='4.2-Settings Internal'!$B$30,INDEX(Equipment_Utility_Electricity,MATCH($B126,equipment_ID,0)),""))</f>
        <v/>
      </c>
      <c r="J126" s="288" t="str">
        <f t="shared" si="13"/>
        <v/>
      </c>
      <c r="K126" s="130" t="str">
        <f>IF($B126="N/A","",IF(INDEX(Equipment_Utility_Decision,MATCH($B126,equipment_ID,0))=INDEX(Yes_No_Choice[],1),INDEX(Equipment_Utility_Fuel,MATCH($B126,equipment_ID,0)),""))</f>
        <v/>
      </c>
      <c r="L126" s="288" t="str">
        <f t="shared" si="14"/>
        <v/>
      </c>
      <c r="M126" s="89" t="str">
        <f t="shared" si="15"/>
        <v/>
      </c>
      <c r="N126" s="288" t="str">
        <f t="shared" si="16"/>
        <v/>
      </c>
      <c r="O126" s="130" t="str">
        <f t="shared" si="17"/>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0"/>
        <v>N/A</v>
      </c>
      <c r="E127" s="88" t="str">
        <f t="shared" si="11"/>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2"/>
        <v/>
      </c>
      <c r="I127" s="130" t="str">
        <f>IF($B127="N/A","",IF(INDEX(Equipment_Utility_Decision,MATCH($B127,equipment_ID,0))='4.2-Settings Internal'!$B$30,INDEX(Equipment_Utility_Electricity,MATCH($B127,equipment_ID,0)),""))</f>
        <v/>
      </c>
      <c r="J127" s="288" t="str">
        <f t="shared" si="13"/>
        <v/>
      </c>
      <c r="K127" s="130" t="str">
        <f>IF($B127="N/A","",IF(INDEX(Equipment_Utility_Decision,MATCH($B127,equipment_ID,0))=INDEX(Yes_No_Choice[],1),INDEX(Equipment_Utility_Fuel,MATCH($B127,equipment_ID,0)),""))</f>
        <v/>
      </c>
      <c r="L127" s="288" t="str">
        <f t="shared" si="14"/>
        <v/>
      </c>
      <c r="M127" s="89" t="str">
        <f t="shared" si="15"/>
        <v/>
      </c>
      <c r="N127" s="288" t="str">
        <f t="shared" si="16"/>
        <v/>
      </c>
      <c r="O127" s="130" t="str">
        <f t="shared" si="17"/>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0"/>
        <v>N/A</v>
      </c>
      <c r="E128" s="88" t="str">
        <f t="shared" si="11"/>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2"/>
        <v/>
      </c>
      <c r="I128" s="130" t="str">
        <f>IF($B128="N/A","",IF(INDEX(Equipment_Utility_Decision,MATCH($B128,equipment_ID,0))='4.2-Settings Internal'!$B$30,INDEX(Equipment_Utility_Electricity,MATCH($B128,equipment_ID,0)),""))</f>
        <v/>
      </c>
      <c r="J128" s="288" t="str">
        <f t="shared" si="13"/>
        <v/>
      </c>
      <c r="K128" s="130" t="str">
        <f>IF($B128="N/A","",IF(INDEX(Equipment_Utility_Decision,MATCH($B128,equipment_ID,0))=INDEX(Yes_No_Choice[],1),INDEX(Equipment_Utility_Fuel,MATCH($B128,equipment_ID,0)),""))</f>
        <v/>
      </c>
      <c r="L128" s="288" t="str">
        <f t="shared" si="14"/>
        <v/>
      </c>
      <c r="M128" s="89" t="str">
        <f t="shared" si="15"/>
        <v/>
      </c>
      <c r="N128" s="288" t="str">
        <f t="shared" si="16"/>
        <v/>
      </c>
      <c r="O128" s="130" t="str">
        <f t="shared" si="17"/>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0"/>
        <v>N/A</v>
      </c>
      <c r="E129" s="88" t="str">
        <f t="shared" si="11"/>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2"/>
        <v/>
      </c>
      <c r="I129" s="130" t="str">
        <f>IF($B129="N/A","",IF(INDEX(Equipment_Utility_Decision,MATCH($B129,equipment_ID,0))='4.2-Settings Internal'!$B$30,INDEX(Equipment_Utility_Electricity,MATCH($B129,equipment_ID,0)),""))</f>
        <v/>
      </c>
      <c r="J129" s="288" t="str">
        <f t="shared" si="13"/>
        <v/>
      </c>
      <c r="K129" s="130" t="str">
        <f>IF($B129="N/A","",IF(INDEX(Equipment_Utility_Decision,MATCH($B129,equipment_ID,0))=INDEX(Yes_No_Choice[],1),INDEX(Equipment_Utility_Fuel,MATCH($B129,equipment_ID,0)),""))</f>
        <v/>
      </c>
      <c r="L129" s="288" t="str">
        <f t="shared" si="14"/>
        <v/>
      </c>
      <c r="M129" s="89" t="str">
        <f t="shared" si="15"/>
        <v/>
      </c>
      <c r="N129" s="288" t="str">
        <f t="shared" si="16"/>
        <v/>
      </c>
      <c r="O129" s="130" t="str">
        <f t="shared" si="17"/>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89" t="str">
        <f t="shared" si="15"/>
        <v/>
      </c>
      <c r="N130" s="288" t="str">
        <f t="shared" si="16"/>
        <v/>
      </c>
      <c r="O130" s="130" t="str">
        <f t="shared" si="17"/>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89" t="str">
        <f t="shared" si="15"/>
        <v/>
      </c>
      <c r="N131" s="288" t="str">
        <f t="shared" si="16"/>
        <v/>
      </c>
      <c r="O131" s="130" t="str">
        <f t="shared" si="17"/>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89" t="str">
        <f t="shared" si="15"/>
        <v/>
      </c>
      <c r="N132" s="288" t="str">
        <f t="shared" si="16"/>
        <v/>
      </c>
      <c r="O132" s="130" t="str">
        <f t="shared" si="17"/>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89" t="str">
        <f t="shared" si="15"/>
        <v/>
      </c>
      <c r="N133" s="288" t="str">
        <f t="shared" si="16"/>
        <v/>
      </c>
      <c r="O133" s="130" t="str">
        <f t="shared" si="17"/>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89" t="str">
        <f t="shared" si="15"/>
        <v/>
      </c>
      <c r="N134" s="288" t="str">
        <f t="shared" si="16"/>
        <v/>
      </c>
      <c r="O134" s="130" t="str">
        <f t="shared" si="17"/>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89" t="str">
        <f t="shared" si="15"/>
        <v/>
      </c>
      <c r="N135" s="288" t="str">
        <f t="shared" si="16"/>
        <v/>
      </c>
      <c r="O135" s="130" t="str">
        <f t="shared" si="17"/>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89" t="str">
        <f t="shared" si="15"/>
        <v/>
      </c>
      <c r="N136" s="288" t="str">
        <f t="shared" si="16"/>
        <v/>
      </c>
      <c r="O136" s="130" t="str">
        <f t="shared" si="17"/>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89" t="str">
        <f t="shared" si="15"/>
        <v/>
      </c>
      <c r="N137" s="288" t="str">
        <f t="shared" si="16"/>
        <v/>
      </c>
      <c r="O137" s="130" t="str">
        <f t="shared" si="17"/>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89" t="str">
        <f t="shared" si="15"/>
        <v/>
      </c>
      <c r="N138" s="288" t="str">
        <f t="shared" si="16"/>
        <v/>
      </c>
      <c r="O138" s="130" t="str">
        <f t="shared" si="17"/>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89" t="str">
        <f t="shared" si="15"/>
        <v/>
      </c>
      <c r="N139" s="288" t="str">
        <f t="shared" si="16"/>
        <v/>
      </c>
      <c r="O139" s="130" t="str">
        <f t="shared" si="17"/>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89" t="str">
        <f t="shared" si="15"/>
        <v/>
      </c>
      <c r="N140" s="288" t="str">
        <f t="shared" si="16"/>
        <v/>
      </c>
      <c r="O140" s="130" t="str">
        <f t="shared" si="17"/>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89" t="str">
        <f t="shared" si="15"/>
        <v/>
      </c>
      <c r="N141" s="288" t="str">
        <f t="shared" si="16"/>
        <v/>
      </c>
      <c r="O141" s="130" t="str">
        <f t="shared" si="17"/>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89" t="str">
        <f t="shared" si="15"/>
        <v/>
      </c>
      <c r="N142" s="288" t="str">
        <f t="shared" si="16"/>
        <v/>
      </c>
      <c r="O142" s="130" t="str">
        <f t="shared" si="17"/>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89" t="str">
        <f t="shared" si="15"/>
        <v/>
      </c>
      <c r="N143" s="288" t="str">
        <f t="shared" si="16"/>
        <v/>
      </c>
      <c r="O143" s="130" t="str">
        <f t="shared" si="17"/>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89" t="str">
        <f t="shared" si="15"/>
        <v/>
      </c>
      <c r="N144" s="288" t="str">
        <f t="shared" si="16"/>
        <v/>
      </c>
      <c r="O144" s="130" t="str">
        <f t="shared" si="17"/>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89" t="str">
        <f t="shared" si="15"/>
        <v/>
      </c>
      <c r="N145" s="288" t="str">
        <f t="shared" si="16"/>
        <v/>
      </c>
      <c r="O145" s="130" t="str">
        <f t="shared" si="17"/>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89" t="str">
        <f t="shared" si="15"/>
        <v/>
      </c>
      <c r="N146" s="288" t="str">
        <f t="shared" si="16"/>
        <v/>
      </c>
      <c r="O146" s="130" t="str">
        <f t="shared" si="17"/>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89" t="str">
        <f t="shared" si="15"/>
        <v/>
      </c>
      <c r="N147" s="288" t="str">
        <f t="shared" si="16"/>
        <v/>
      </c>
      <c r="O147" s="130" t="str">
        <f t="shared" si="17"/>
        <v/>
      </c>
    </row>
    <row r="148" spans="2:23" ht="33" customHeight="1"/>
    <row r="149" spans="2:23" ht="33" customHeight="1">
      <c r="G149" s="201" t="s">
        <v>594</v>
      </c>
      <c r="H149" s="306">
        <f>SUM(H152:H189)</f>
        <v>3735.9211228829458</v>
      </c>
      <c r="I149" s="306">
        <f t="shared" ref="I149:W149" si="18">SUM(I152:I189)</f>
        <v>0</v>
      </c>
      <c r="J149" s="306">
        <f t="shared" si="18"/>
        <v>0</v>
      </c>
      <c r="K149" s="306">
        <f t="shared" si="18"/>
        <v>192.60427893064974</v>
      </c>
      <c r="L149" s="306">
        <f t="shared" si="18"/>
        <v>0</v>
      </c>
      <c r="M149" s="306">
        <f t="shared" si="18"/>
        <v>3543.316843952296</v>
      </c>
      <c r="N149" s="306">
        <f t="shared" si="18"/>
        <v>192.60427893064974</v>
      </c>
      <c r="O149" s="306">
        <f t="shared" si="18"/>
        <v>0</v>
      </c>
      <c r="P149" s="306">
        <f t="shared" si="18"/>
        <v>0</v>
      </c>
      <c r="Q149" s="306">
        <f t="shared" si="18"/>
        <v>192.60427893064974</v>
      </c>
      <c r="R149" s="306">
        <f t="shared" si="18"/>
        <v>3543.316843952296</v>
      </c>
      <c r="S149" s="306">
        <f t="shared" si="18"/>
        <v>0</v>
      </c>
      <c r="T149" s="306">
        <f t="shared" si="18"/>
        <v>192.60427893064974</v>
      </c>
      <c r="U149" s="306">
        <f t="shared" si="18"/>
        <v>0</v>
      </c>
      <c r="V149" s="306">
        <f t="shared" si="18"/>
        <v>0</v>
      </c>
      <c r="W149" s="306">
        <f t="shared" si="18"/>
        <v>3735.9211228829458</v>
      </c>
    </row>
    <row r="151" spans="2:23" ht="31">
      <c r="B151" s="91" t="s">
        <v>82</v>
      </c>
      <c r="C151" s="91" t="s">
        <v>51</v>
      </c>
      <c r="D151" s="116" t="s">
        <v>50</v>
      </c>
      <c r="E151" s="197" t="s">
        <v>147</v>
      </c>
      <c r="F151" s="116" t="s">
        <v>48</v>
      </c>
      <c r="G151" s="116" t="s">
        <v>119</v>
      </c>
      <c r="H151" s="116" t="s">
        <v>591</v>
      </c>
      <c r="I151" s="116" t="s">
        <v>568</v>
      </c>
      <c r="J151" s="116" t="s">
        <v>569</v>
      </c>
      <c r="K151" s="116" t="s">
        <v>570</v>
      </c>
      <c r="L151" s="116" t="s">
        <v>571</v>
      </c>
      <c r="M151" s="116" t="s">
        <v>572</v>
      </c>
      <c r="N151" s="116" t="s">
        <v>573</v>
      </c>
      <c r="O151" s="116" t="s">
        <v>574</v>
      </c>
      <c r="P151" s="116" t="s">
        <v>575</v>
      </c>
      <c r="Q151" s="116" t="s">
        <v>576</v>
      </c>
      <c r="R151" s="116" t="s">
        <v>577</v>
      </c>
      <c r="S151" s="116" t="s">
        <v>578</v>
      </c>
      <c r="T151" s="116" t="s">
        <v>579</v>
      </c>
      <c r="U151" s="116" t="s">
        <v>580</v>
      </c>
      <c r="V151" s="116" t="s">
        <v>581</v>
      </c>
      <c r="W151" s="116"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eq0003</v>
      </c>
      <c r="C152" s="70" t="str">
        <f>IF($B152="N/A","N/A",INDEX(Equipment_name[],MATCH(B152,equipment_ID,0)))</f>
        <v>Conversion crates</v>
      </c>
      <c r="D152" s="288">
        <f t="shared" ref="D152:D189" si="19">IF($B152="N/A","N/A",INDEX(Equipment_Capital_Cost,MATCH($B152,equipment_ID,0)))</f>
        <v>4.9567277665976031</v>
      </c>
      <c r="E152" s="88">
        <f t="shared" ref="E152:E189" si="20">IF($B152="N/A","N/A",INDEX(Equipment_Lifetime,MATCH($B152,equipment_ID,0)))</f>
        <v>5</v>
      </c>
      <c r="F152" s="88">
        <f t="shared" ref="F152:F189" si="21">IF($B152="N/A","N/A",INDEX(Equipment_Quantity_New,MATCH($B152,equipment_ID,0)))</f>
        <v>16</v>
      </c>
      <c r="G152" s="86">
        <f t="shared" ref="G152:G189" si="22">IF($B152="N/A","N/A",INDEX(Equipment_Allocation_New,MATCH($B152,equipment_ID,0),MATCH($C$107,Unit_codes,0)))</f>
        <v>0.5</v>
      </c>
      <c r="H152" s="288">
        <f>IFERROR(IF($B152="N/A","N/A",IF(MOD(COLUMNS(H$151:$H$151)-1,$E152)=0,$F152*$D152*$G152,)),)</f>
        <v>39.653822132780824</v>
      </c>
      <c r="I152" s="288">
        <f>IFERROR(IF($B152="N/A","N/A",IF(MOD(COLUMNS($H$151:I$151)-1,$E152)=0,$F152*$D152*$G152,)),)</f>
        <v>0</v>
      </c>
      <c r="J152" s="288">
        <f>IFERROR(IF($B152="N/A","N/A",IF(MOD(COLUMNS($H$151:J$151)-1,$E152)=0,$F152*$D152*$G152,)),)</f>
        <v>0</v>
      </c>
      <c r="K152" s="288">
        <f>IFERROR(IF($B152="N/A","N/A",IF(MOD(COLUMNS($H$151:K$151)-1,$E152)=0,$F152*$D152*$G152,)),)</f>
        <v>0</v>
      </c>
      <c r="L152" s="288">
        <f>IFERROR(IF($B152="N/A","N/A",IF(MOD(COLUMNS($H$151:L$151)-1,$E152)=0,$F152*$D152*$G152,)),)</f>
        <v>0</v>
      </c>
      <c r="M152" s="288">
        <f>IFERROR(IF($B152="N/A","N/A",IF(MOD(COLUMNS($H$151:M$151)-1,$E152)=0,$F152*$D152*$G152,)),)</f>
        <v>39.653822132780824</v>
      </c>
      <c r="N152" s="288">
        <f>IFERROR(IF($B152="N/A","N/A",IF(MOD(COLUMNS($H$151:N$151)-1,$E152)=0,$F152*$D152*$G152,)),)</f>
        <v>0</v>
      </c>
      <c r="O152" s="288">
        <f>IFERROR(IF($B152="N/A","N/A",IF(MOD(COLUMNS($H$151:O$151)-1,$E152)=0,$F152*$D152*$G152,)),)</f>
        <v>0</v>
      </c>
      <c r="P152" s="288">
        <f>IFERROR(IF($B152="N/A","N/A",IF(MOD(COLUMNS($H$151:P$151)-1,$E152)=0,$F152*$D152*$G152,)),)</f>
        <v>0</v>
      </c>
      <c r="Q152" s="288">
        <f>IFERROR(IF($B152="N/A","N/A",IF(MOD(COLUMNS($H$151:Q$151)-1,$E152)=0,$F152*$D152*$G152,)),)</f>
        <v>0</v>
      </c>
      <c r="R152" s="288">
        <f>IFERROR(IF($B152="N/A","N/A",IF(MOD(COLUMNS($H$151:R$151)-1,$E152)=0,$F152*$D152*$G152,)),)</f>
        <v>39.653822132780824</v>
      </c>
      <c r="S152" s="288">
        <f>IFERROR(IF($B152="N/A","N/A",IF(MOD(COLUMNS($H$151:S$151)-1,$E152)=0,$F152*$D152*$G152,)),)</f>
        <v>0</v>
      </c>
      <c r="T152" s="288">
        <f>IFERROR(IF($B152="N/A","N/A",IF(MOD(COLUMNS($H$151:T$151)-1,$E152)=0,$F152*$D152*$G152,)),)</f>
        <v>0</v>
      </c>
      <c r="U152" s="288">
        <f>IFERROR(IF($B152="N/A","N/A",IF(MOD(COLUMNS($H$151:U$151)-1,$E152)=0,$F152*$D152*$G152,)),)</f>
        <v>0</v>
      </c>
      <c r="V152" s="288">
        <f>IFERROR(IF($B152="N/A","N/A",IF(MOD(COLUMNS($H$151:V$151)-1,$E152)=0,$F152*$D152*$G152,)),)</f>
        <v>0</v>
      </c>
      <c r="W152" s="288">
        <f>IFERROR(IF($B152="N/A","N/A",IF(MOD(COLUMNS($H$151:W$151)-1,$E152)=0,$F152*$D152*$G152,)),)</f>
        <v>39.653822132780824</v>
      </c>
    </row>
    <row r="153" spans="2:23">
      <c r="B153" s="70" t="str">
        <f t="array" ref="B153">IF(COUNTIFS(INDEX(Equipment_Allocation_New,0,MATCH($C$107,Unit_codes,0)),"&gt;0")&lt;ROWS('2.2-Equipment input'!$X$8:$X9),"N/A",INDEX('2.2-Equipment input'!B:B,SMALL(IF(INDEX(Equipment_Allocation_New,0,MATCH($C$107,Unit_codes,0))&gt;0,ROW(equipment_ID)),ROW('2.2-Equipment input'!B2))))</f>
        <v>eq0004</v>
      </c>
      <c r="C153" s="70" t="str">
        <f>IF($B153="N/A","N/A",INDEX(Equipment_name[],MATCH(B153,equipment_ID,0)))</f>
        <v>Pallets</v>
      </c>
      <c r="D153" s="288">
        <f t="shared" si="19"/>
        <v>10.621559499852006</v>
      </c>
      <c r="E153" s="88">
        <f t="shared" si="20"/>
        <v>5</v>
      </c>
      <c r="F153" s="88">
        <f t="shared" si="21"/>
        <v>1</v>
      </c>
      <c r="G153" s="86">
        <f t="shared" si="22"/>
        <v>0.43</v>
      </c>
      <c r="H153" s="288">
        <f>IFERROR(IF($B153="N/A","N/A",IF(MOD(COLUMNS(H$151:$H$151)-1,$E153)=0,$F153*$D153*$G153,)),)</f>
        <v>4.5672705849363631</v>
      </c>
      <c r="I153" s="288">
        <f>IFERROR(IF($B153="N/A","N/A",IF(MOD(COLUMNS($H$151:I$151)-1,$E153)=0,$F153*$D153*$G153,)),)</f>
        <v>0</v>
      </c>
      <c r="J153" s="288">
        <f>IFERROR(IF($B153="N/A","N/A",IF(MOD(COLUMNS($H$151:J$151)-1,$E153)=0,$F153*$D153*$G153,)),)</f>
        <v>0</v>
      </c>
      <c r="K153" s="288">
        <f>IFERROR(IF($B153="N/A","N/A",IF(MOD(COLUMNS($H$151:K$151)-1,$E153)=0,$F153*$D153*$G153,)),)</f>
        <v>0</v>
      </c>
      <c r="L153" s="288">
        <f>IFERROR(IF($B153="N/A","N/A",IF(MOD(COLUMNS($H$151:L$151)-1,$E153)=0,$F153*$D153*$G153,)),)</f>
        <v>0</v>
      </c>
      <c r="M153" s="288">
        <f>IFERROR(IF($B153="N/A","N/A",IF(MOD(COLUMNS($H$151:M$151)-1,$E153)=0,$F153*$D153*$G153,)),)</f>
        <v>4.5672705849363631</v>
      </c>
      <c r="N153" s="288">
        <f>IFERROR(IF($B153="N/A","N/A",IF(MOD(COLUMNS($H$151:N$151)-1,$E153)=0,$F153*$D153*$G153,)),)</f>
        <v>0</v>
      </c>
      <c r="O153" s="288">
        <f>IFERROR(IF($B153="N/A","N/A",IF(MOD(COLUMNS($H$151:O$151)-1,$E153)=0,$F153*$D153*$G153,)),)</f>
        <v>0</v>
      </c>
      <c r="P153" s="288">
        <f>IFERROR(IF($B153="N/A","N/A",IF(MOD(COLUMNS($H$151:P$151)-1,$E153)=0,$F153*$D153*$G153,)),)</f>
        <v>0</v>
      </c>
      <c r="Q153" s="288">
        <f>IFERROR(IF($B153="N/A","N/A",IF(MOD(COLUMNS($H$151:Q$151)-1,$E153)=0,$F153*$D153*$G153,)),)</f>
        <v>0</v>
      </c>
      <c r="R153" s="288">
        <f>IFERROR(IF($B153="N/A","N/A",IF(MOD(COLUMNS($H$151:R$151)-1,$E153)=0,$F153*$D153*$G153,)),)</f>
        <v>4.5672705849363631</v>
      </c>
      <c r="S153" s="288">
        <f>IFERROR(IF($B153="N/A","N/A",IF(MOD(COLUMNS($H$151:S$151)-1,$E153)=0,$F153*$D153*$G153,)),)</f>
        <v>0</v>
      </c>
      <c r="T153" s="288">
        <f>IFERROR(IF($B153="N/A","N/A",IF(MOD(COLUMNS($H$151:T$151)-1,$E153)=0,$F153*$D153*$G153,)),)</f>
        <v>0</v>
      </c>
      <c r="U153" s="288">
        <f>IFERROR(IF($B153="N/A","N/A",IF(MOD(COLUMNS($H$151:U$151)-1,$E153)=0,$F153*$D153*$G153,)),)</f>
        <v>0</v>
      </c>
      <c r="V153" s="288">
        <f>IFERROR(IF($B153="N/A","N/A",IF(MOD(COLUMNS($H$151:V$151)-1,$E153)=0,$F153*$D153*$G153,)),)</f>
        <v>0</v>
      </c>
      <c r="W153" s="288">
        <f>IFERROR(IF($B153="N/A","N/A",IF(MOD(COLUMNS($H$151:W$151)-1,$E153)=0,$F153*$D153*$G153,)),)</f>
        <v>4.5672705849363631</v>
      </c>
    </row>
    <row r="154" spans="2:23">
      <c r="B154" s="70" t="str">
        <f t="array" ref="B154">IF(COUNTIFS(INDEX(Equipment_Allocation_New,0,MATCH($C$107,Unit_codes,0)),"&gt;0")&lt;ROWS('2.2-Equipment input'!$X$8:$X10),"N/A",INDEX('2.2-Equipment input'!B:B,SMALL(IF(INDEX(Equipment_Allocation_New,0,MATCH($C$107,Unit_codes,0))&gt;0,ROW(equipment_ID)),ROW('2.2-Equipment input'!B3))))</f>
        <v>eq0005</v>
      </c>
      <c r="C154" s="70" t="str">
        <f>IF($B154="N/A","N/A",INDEX(Equipment_name[],MATCH(B154,equipment_ID,0)))</f>
        <v>Ventilation frames</v>
      </c>
      <c r="D154" s="288">
        <f t="shared" si="19"/>
        <v>17.702599166420011</v>
      </c>
      <c r="E154" s="88">
        <f t="shared" si="20"/>
        <v>5</v>
      </c>
      <c r="F154" s="88">
        <f t="shared" si="21"/>
        <v>6</v>
      </c>
      <c r="G154" s="86">
        <f t="shared" si="22"/>
        <v>0.5</v>
      </c>
      <c r="H154" s="288">
        <f>IFERROR(IF($B154="N/A","N/A",IF(MOD(COLUMNS(H$151:$H$151)-1,$E154)=0,$F154*$D154*$G154,)),)</f>
        <v>53.10779749926003</v>
      </c>
      <c r="I154" s="288">
        <f>IFERROR(IF($B154="N/A","N/A",IF(MOD(COLUMNS($H$151:I$151)-1,$E154)=0,$F154*$D154*$G154,)),)</f>
        <v>0</v>
      </c>
      <c r="J154" s="288">
        <f>IFERROR(IF($B154="N/A","N/A",IF(MOD(COLUMNS($H$151:J$151)-1,$E154)=0,$F154*$D154*$G154,)),)</f>
        <v>0</v>
      </c>
      <c r="K154" s="288">
        <f>IFERROR(IF($B154="N/A","N/A",IF(MOD(COLUMNS($H$151:K$151)-1,$E154)=0,$F154*$D154*$G154,)),)</f>
        <v>0</v>
      </c>
      <c r="L154" s="288">
        <f>IFERROR(IF($B154="N/A","N/A",IF(MOD(COLUMNS($H$151:L$151)-1,$E154)=0,$F154*$D154*$G154,)),)</f>
        <v>0</v>
      </c>
      <c r="M154" s="288">
        <f>IFERROR(IF($B154="N/A","N/A",IF(MOD(COLUMNS($H$151:M$151)-1,$E154)=0,$F154*$D154*$G154,)),)</f>
        <v>53.10779749926003</v>
      </c>
      <c r="N154" s="288">
        <f>IFERROR(IF($B154="N/A","N/A",IF(MOD(COLUMNS($H$151:N$151)-1,$E154)=0,$F154*$D154*$G154,)),)</f>
        <v>0</v>
      </c>
      <c r="O154" s="288">
        <f>IFERROR(IF($B154="N/A","N/A",IF(MOD(COLUMNS($H$151:O$151)-1,$E154)=0,$F154*$D154*$G154,)),)</f>
        <v>0</v>
      </c>
      <c r="P154" s="288">
        <f>IFERROR(IF($B154="N/A","N/A",IF(MOD(COLUMNS($H$151:P$151)-1,$E154)=0,$F154*$D154*$G154,)),)</f>
        <v>0</v>
      </c>
      <c r="Q154" s="288">
        <f>IFERROR(IF($B154="N/A","N/A",IF(MOD(COLUMNS($H$151:Q$151)-1,$E154)=0,$F154*$D154*$G154,)),)</f>
        <v>0</v>
      </c>
      <c r="R154" s="288">
        <f>IFERROR(IF($B154="N/A","N/A",IF(MOD(COLUMNS($H$151:R$151)-1,$E154)=0,$F154*$D154*$G154,)),)</f>
        <v>53.10779749926003</v>
      </c>
      <c r="S154" s="288">
        <f>IFERROR(IF($B154="N/A","N/A",IF(MOD(COLUMNS($H$151:S$151)-1,$E154)=0,$F154*$D154*$G154,)),)</f>
        <v>0</v>
      </c>
      <c r="T154" s="288">
        <f>IFERROR(IF($B154="N/A","N/A",IF(MOD(COLUMNS($H$151:T$151)-1,$E154)=0,$F154*$D154*$G154,)),)</f>
        <v>0</v>
      </c>
      <c r="U154" s="288">
        <f>IFERROR(IF($B154="N/A","N/A",IF(MOD(COLUMNS($H$151:U$151)-1,$E154)=0,$F154*$D154*$G154,)),)</f>
        <v>0</v>
      </c>
      <c r="V154" s="288">
        <f>IFERROR(IF($B154="N/A","N/A",IF(MOD(COLUMNS($H$151:V$151)-1,$E154)=0,$F154*$D154*$G154,)),)</f>
        <v>0</v>
      </c>
      <c r="W154" s="288">
        <f>IFERROR(IF($B154="N/A","N/A",IF(MOD(COLUMNS($H$151:W$151)-1,$E154)=0,$F154*$D154*$G154,)),)</f>
        <v>53.10779749926003</v>
      </c>
    </row>
    <row r="155" spans="2:23">
      <c r="B155" s="70" t="str">
        <f t="array" ref="B155">IF(COUNTIFS(INDEX(Equipment_Allocation_New,0,MATCH($C$107,Unit_codes,0)),"&gt;0")&lt;ROWS('2.2-Equipment input'!$X$8:$X11),"N/A",INDEX('2.2-Equipment input'!B:B,SMALL(IF(INDEX(Equipment_Allocation_New,0,MATCH($C$107,Unit_codes,0))&gt;0,ROW(equipment_ID)),ROW('2.2-Equipment input'!B4))))</f>
        <v>eq0006</v>
      </c>
      <c r="C155" s="70" t="str">
        <f>IF($B155="N/A","N/A",INDEX(Equipment_name[],MATCH(B155,equipment_ID,0)))</f>
        <v>Pallet trolley</v>
      </c>
      <c r="D155" s="288">
        <f t="shared" si="19"/>
        <v>212.43118999704012</v>
      </c>
      <c r="E155" s="88">
        <f t="shared" si="20"/>
        <v>5</v>
      </c>
      <c r="F155" s="88">
        <f t="shared" si="21"/>
        <v>1</v>
      </c>
      <c r="G155" s="86">
        <f t="shared" si="22"/>
        <v>0.43</v>
      </c>
      <c r="H155" s="288">
        <f>IFERROR(IF($B155="N/A","N/A",IF(MOD(COLUMNS(H$151:$H$151)-1,$E155)=0,$F155*$D155*$G155,)),)</f>
        <v>91.345411698727247</v>
      </c>
      <c r="I155" s="288">
        <f>IFERROR(IF($B155="N/A","N/A",IF(MOD(COLUMNS($H$151:I$151)-1,$E155)=0,$F155*$D155*$G155,)),)</f>
        <v>0</v>
      </c>
      <c r="J155" s="288">
        <f>IFERROR(IF($B155="N/A","N/A",IF(MOD(COLUMNS($H$151:J$151)-1,$E155)=0,$F155*$D155*$G155,)),)</f>
        <v>0</v>
      </c>
      <c r="K155" s="288">
        <f>IFERROR(IF($B155="N/A","N/A",IF(MOD(COLUMNS($H$151:K$151)-1,$E155)=0,$F155*$D155*$G155,)),)</f>
        <v>0</v>
      </c>
      <c r="L155" s="288">
        <f>IFERROR(IF($B155="N/A","N/A",IF(MOD(COLUMNS($H$151:L$151)-1,$E155)=0,$F155*$D155*$G155,)),)</f>
        <v>0</v>
      </c>
      <c r="M155" s="288">
        <f>IFERROR(IF($B155="N/A","N/A",IF(MOD(COLUMNS($H$151:M$151)-1,$E155)=0,$F155*$D155*$G155,)),)</f>
        <v>91.345411698727247</v>
      </c>
      <c r="N155" s="288">
        <f>IFERROR(IF($B155="N/A","N/A",IF(MOD(COLUMNS($H$151:N$151)-1,$E155)=0,$F155*$D155*$G155,)),)</f>
        <v>0</v>
      </c>
      <c r="O155" s="288">
        <f>IFERROR(IF($B155="N/A","N/A",IF(MOD(COLUMNS($H$151:O$151)-1,$E155)=0,$F155*$D155*$G155,)),)</f>
        <v>0</v>
      </c>
      <c r="P155" s="288">
        <f>IFERROR(IF($B155="N/A","N/A",IF(MOD(COLUMNS($H$151:P$151)-1,$E155)=0,$F155*$D155*$G155,)),)</f>
        <v>0</v>
      </c>
      <c r="Q155" s="288">
        <f>IFERROR(IF($B155="N/A","N/A",IF(MOD(COLUMNS($H$151:Q$151)-1,$E155)=0,$F155*$D155*$G155,)),)</f>
        <v>0</v>
      </c>
      <c r="R155" s="288">
        <f>IFERROR(IF($B155="N/A","N/A",IF(MOD(COLUMNS($H$151:R$151)-1,$E155)=0,$F155*$D155*$G155,)),)</f>
        <v>91.345411698727247</v>
      </c>
      <c r="S155" s="288">
        <f>IFERROR(IF($B155="N/A","N/A",IF(MOD(COLUMNS($H$151:S$151)-1,$E155)=0,$F155*$D155*$G155,)),)</f>
        <v>0</v>
      </c>
      <c r="T155" s="288">
        <f>IFERROR(IF($B155="N/A","N/A",IF(MOD(COLUMNS($H$151:T$151)-1,$E155)=0,$F155*$D155*$G155,)),)</f>
        <v>0</v>
      </c>
      <c r="U155" s="288">
        <f>IFERROR(IF($B155="N/A","N/A",IF(MOD(COLUMNS($H$151:U$151)-1,$E155)=0,$F155*$D155*$G155,)),)</f>
        <v>0</v>
      </c>
      <c r="V155" s="288">
        <f>IFERROR(IF($B155="N/A","N/A",IF(MOD(COLUMNS($H$151:V$151)-1,$E155)=0,$F155*$D155*$G155,)),)</f>
        <v>0</v>
      </c>
      <c r="W155" s="288">
        <f>IFERROR(IF($B155="N/A","N/A",IF(MOD(COLUMNS($H$151:W$151)-1,$E155)=0,$F155*$D155*$G155,)),)</f>
        <v>91.345411698727247</v>
      </c>
    </row>
    <row r="156" spans="2:23">
      <c r="B156" s="70" t="str">
        <f t="array" ref="B156">IF(COUNTIFS(INDEX(Equipment_Allocation_New,0,MATCH($C$107,Unit_codes,0)),"&gt;0")&lt;ROWS('2.2-Equipment input'!$X$8:$X12),"N/A",INDEX('2.2-Equipment input'!B:B,SMALL(IF(INDEX(Equipment_Allocation_New,0,MATCH($C$107,Unit_codes,0))&gt;0,ROW(equipment_ID)),ROW('2.2-Equipment input'!B5))))</f>
        <v>eq0008</v>
      </c>
      <c r="C156" s="70" t="str">
        <f>IF($B156="N/A","N/A",INDEX(Equipment_name[],MATCH(B156,equipment_ID,0)))</f>
        <v>High pressure cleaner</v>
      </c>
      <c r="D156" s="288">
        <f t="shared" si="19"/>
        <v>637.29356999112042</v>
      </c>
      <c r="E156" s="88">
        <f t="shared" si="20"/>
        <v>3</v>
      </c>
      <c r="F156" s="88">
        <f t="shared" si="21"/>
        <v>1</v>
      </c>
      <c r="G156" s="86">
        <f t="shared" si="22"/>
        <v>0.3</v>
      </c>
      <c r="H156" s="288">
        <f>IFERROR(IF($B156="N/A","N/A",IF(MOD(COLUMNS(H$151:$H$151)-1,$E156)=0,$F156*$D156*$G156,)),)</f>
        <v>191.18807099733613</v>
      </c>
      <c r="I156" s="288">
        <f>IFERROR(IF($B156="N/A","N/A",IF(MOD(COLUMNS($H$151:I$151)-1,$E156)=0,$F156*$D156*$G156,)),)</f>
        <v>0</v>
      </c>
      <c r="J156" s="288">
        <f>IFERROR(IF($B156="N/A","N/A",IF(MOD(COLUMNS($H$151:J$151)-1,$E156)=0,$F156*$D156*$G156,)),)</f>
        <v>0</v>
      </c>
      <c r="K156" s="288">
        <f>IFERROR(IF($B156="N/A","N/A",IF(MOD(COLUMNS($H$151:K$151)-1,$E156)=0,$F156*$D156*$G156,)),)</f>
        <v>191.18807099733613</v>
      </c>
      <c r="L156" s="288">
        <f>IFERROR(IF($B156="N/A","N/A",IF(MOD(COLUMNS($H$151:L$151)-1,$E156)=0,$F156*$D156*$G156,)),)</f>
        <v>0</v>
      </c>
      <c r="M156" s="288">
        <f>IFERROR(IF($B156="N/A","N/A",IF(MOD(COLUMNS($H$151:M$151)-1,$E156)=0,$F156*$D156*$G156,)),)</f>
        <v>0</v>
      </c>
      <c r="N156" s="288">
        <f>IFERROR(IF($B156="N/A","N/A",IF(MOD(COLUMNS($H$151:N$151)-1,$E156)=0,$F156*$D156*$G156,)),)</f>
        <v>191.18807099733613</v>
      </c>
      <c r="O156" s="288">
        <f>IFERROR(IF($B156="N/A","N/A",IF(MOD(COLUMNS($H$151:O$151)-1,$E156)=0,$F156*$D156*$G156,)),)</f>
        <v>0</v>
      </c>
      <c r="P156" s="288">
        <f>IFERROR(IF($B156="N/A","N/A",IF(MOD(COLUMNS($H$151:P$151)-1,$E156)=0,$F156*$D156*$G156,)),)</f>
        <v>0</v>
      </c>
      <c r="Q156" s="288">
        <f>IFERROR(IF($B156="N/A","N/A",IF(MOD(COLUMNS($H$151:Q$151)-1,$E156)=0,$F156*$D156*$G156,)),)</f>
        <v>191.18807099733613</v>
      </c>
      <c r="R156" s="288">
        <f>IFERROR(IF($B156="N/A","N/A",IF(MOD(COLUMNS($H$151:R$151)-1,$E156)=0,$F156*$D156*$G156,)),)</f>
        <v>0</v>
      </c>
      <c r="S156" s="288">
        <f>IFERROR(IF($B156="N/A","N/A",IF(MOD(COLUMNS($H$151:S$151)-1,$E156)=0,$F156*$D156*$G156,)),)</f>
        <v>0</v>
      </c>
      <c r="T156" s="288">
        <f>IFERROR(IF($B156="N/A","N/A",IF(MOD(COLUMNS($H$151:T$151)-1,$E156)=0,$F156*$D156*$G156,)),)</f>
        <v>191.18807099733613</v>
      </c>
      <c r="U156" s="288">
        <f>IFERROR(IF($B156="N/A","N/A",IF(MOD(COLUMNS($H$151:U$151)-1,$E156)=0,$F156*$D156*$G156,)),)</f>
        <v>0</v>
      </c>
      <c r="V156" s="288">
        <f>IFERROR(IF($B156="N/A","N/A",IF(MOD(COLUMNS($H$151:V$151)-1,$E156)=0,$F156*$D156*$G156,)),)</f>
        <v>0</v>
      </c>
      <c r="W156" s="288">
        <f>IFERROR(IF($B156="N/A","N/A",IF(MOD(COLUMNS($H$151:W$151)-1,$E156)=0,$F156*$D156*$G156,)),)</f>
        <v>191.18807099733613</v>
      </c>
    </row>
    <row r="157" spans="2:23">
      <c r="B157" s="70" t="str">
        <f t="array" ref="B157">IF(COUNTIFS(INDEX(Equipment_Allocation_New,0,MATCH($C$107,Unit_codes,0)),"&gt;0")&lt;ROWS('2.2-Equipment input'!$X$8:$X13),"N/A",INDEX('2.2-Equipment input'!B:B,SMALL(IF(INDEX(Equipment_Allocation_New,0,MATCH($C$107,Unit_codes,0))&gt;0,ROW(equipment_ID)),ROW('2.2-Equipment input'!B6))))</f>
        <v>eq0009</v>
      </c>
      <c r="C157" s="70" t="str">
        <f>IF($B157="N/A","N/A",INDEX(Equipment_name[],MATCH(B157,equipment_ID,0)))</f>
        <v>Vibrating sieve</v>
      </c>
      <c r="D157" s="288">
        <f t="shared" si="19"/>
        <v>1770.2599166420011</v>
      </c>
      <c r="E157" s="88">
        <f t="shared" si="20"/>
        <v>5</v>
      </c>
      <c r="F157" s="88">
        <f t="shared" si="21"/>
        <v>1</v>
      </c>
      <c r="G157" s="86">
        <f t="shared" si="22"/>
        <v>1</v>
      </c>
      <c r="H157" s="288">
        <f>IFERROR(IF($B157="N/A","N/A",IF(MOD(COLUMNS(H$151:$H$151)-1,$E157)=0,$F157*$D157*$G157,)),)</f>
        <v>1770.2599166420011</v>
      </c>
      <c r="I157" s="288">
        <f>IFERROR(IF($B157="N/A","N/A",IF(MOD(COLUMNS($H$151:I$151)-1,$E157)=0,$F157*$D157*$G157,)),)</f>
        <v>0</v>
      </c>
      <c r="J157" s="288">
        <f>IFERROR(IF($B157="N/A","N/A",IF(MOD(COLUMNS($H$151:J$151)-1,$E157)=0,$F157*$D157*$G157,)),)</f>
        <v>0</v>
      </c>
      <c r="K157" s="288">
        <f>IFERROR(IF($B157="N/A","N/A",IF(MOD(COLUMNS($H$151:K$151)-1,$E157)=0,$F157*$D157*$G157,)),)</f>
        <v>0</v>
      </c>
      <c r="L157" s="288">
        <f>IFERROR(IF($B157="N/A","N/A",IF(MOD(COLUMNS($H$151:L$151)-1,$E157)=0,$F157*$D157*$G157,)),)</f>
        <v>0</v>
      </c>
      <c r="M157" s="288">
        <f>IFERROR(IF($B157="N/A","N/A",IF(MOD(COLUMNS($H$151:M$151)-1,$E157)=0,$F157*$D157*$G157,)),)</f>
        <v>1770.2599166420011</v>
      </c>
      <c r="N157" s="288">
        <f>IFERROR(IF($B157="N/A","N/A",IF(MOD(COLUMNS($H$151:N$151)-1,$E157)=0,$F157*$D157*$G157,)),)</f>
        <v>0</v>
      </c>
      <c r="O157" s="288">
        <f>IFERROR(IF($B157="N/A","N/A",IF(MOD(COLUMNS($H$151:O$151)-1,$E157)=0,$F157*$D157*$G157,)),)</f>
        <v>0</v>
      </c>
      <c r="P157" s="288">
        <f>IFERROR(IF($B157="N/A","N/A",IF(MOD(COLUMNS($H$151:P$151)-1,$E157)=0,$F157*$D157*$G157,)),)</f>
        <v>0</v>
      </c>
      <c r="Q157" s="288">
        <f>IFERROR(IF($B157="N/A","N/A",IF(MOD(COLUMNS($H$151:Q$151)-1,$E157)=0,$F157*$D157*$G157,)),)</f>
        <v>0</v>
      </c>
      <c r="R157" s="288">
        <f>IFERROR(IF($B157="N/A","N/A",IF(MOD(COLUMNS($H$151:R$151)-1,$E157)=0,$F157*$D157*$G157,)),)</f>
        <v>1770.2599166420011</v>
      </c>
      <c r="S157" s="288">
        <f>IFERROR(IF($B157="N/A","N/A",IF(MOD(COLUMNS($H$151:S$151)-1,$E157)=0,$F157*$D157*$G157,)),)</f>
        <v>0</v>
      </c>
      <c r="T157" s="288">
        <f>IFERROR(IF($B157="N/A","N/A",IF(MOD(COLUMNS($H$151:T$151)-1,$E157)=0,$F157*$D157*$G157,)),)</f>
        <v>0</v>
      </c>
      <c r="U157" s="288">
        <f>IFERROR(IF($B157="N/A","N/A",IF(MOD(COLUMNS($H$151:U$151)-1,$E157)=0,$F157*$D157*$G157,)),)</f>
        <v>0</v>
      </c>
      <c r="V157" s="288">
        <f>IFERROR(IF($B157="N/A","N/A",IF(MOD(COLUMNS($H$151:V$151)-1,$E157)=0,$F157*$D157*$G157,)),)</f>
        <v>0</v>
      </c>
      <c r="W157" s="288">
        <f>IFERROR(IF($B157="N/A","N/A",IF(MOD(COLUMNS($H$151:W$151)-1,$E157)=0,$F157*$D157*$G157,)),)</f>
        <v>1770.2599166420011</v>
      </c>
    </row>
    <row r="158" spans="2:23">
      <c r="B158" s="70" t="str">
        <f t="array" ref="B158">IF(COUNTIFS(INDEX(Equipment_Allocation_New,0,MATCH($C$107,Unit_codes,0)),"&gt;0")&lt;ROWS('2.2-Equipment input'!$X$8:$X14),"N/A",INDEX('2.2-Equipment input'!B:B,SMALL(IF(INDEX(Equipment_Allocation_New,0,MATCH($C$107,Unit_codes,0))&gt;0,ROW(equipment_ID)),ROW('2.2-Equipment input'!B7))))</f>
        <v>eq0010</v>
      </c>
      <c r="C158" s="70" t="str">
        <f>IF($B158="N/A","N/A",INDEX(Equipment_name[],MATCH(B158,equipment_ID,0)))</f>
        <v>Harvesting unit (wet)</v>
      </c>
      <c r="D158" s="288">
        <f t="shared" si="19"/>
        <v>1016.1291921525086</v>
      </c>
      <c r="E158" s="88">
        <f t="shared" si="20"/>
        <v>5</v>
      </c>
      <c r="F158" s="88">
        <f t="shared" si="21"/>
        <v>1</v>
      </c>
      <c r="G158" s="86">
        <f t="shared" si="22"/>
        <v>1</v>
      </c>
      <c r="H158" s="288">
        <f>IFERROR(IF($B158="N/A","N/A",IF(MOD(COLUMNS(H$151:$H$151)-1,$E158)=0,$F158*$D158*$G158,)),)</f>
        <v>1016.1291921525086</v>
      </c>
      <c r="I158" s="288">
        <f>IFERROR(IF($B158="N/A","N/A",IF(MOD(COLUMNS($H$151:I$151)-1,$E158)=0,$F158*$D158*$G158,)),)</f>
        <v>0</v>
      </c>
      <c r="J158" s="288">
        <f>IFERROR(IF($B158="N/A","N/A",IF(MOD(COLUMNS($H$151:J$151)-1,$E158)=0,$F158*$D158*$G158,)),)</f>
        <v>0</v>
      </c>
      <c r="K158" s="288">
        <f>IFERROR(IF($B158="N/A","N/A",IF(MOD(COLUMNS($H$151:K$151)-1,$E158)=0,$F158*$D158*$G158,)),)</f>
        <v>0</v>
      </c>
      <c r="L158" s="288">
        <f>IFERROR(IF($B158="N/A","N/A",IF(MOD(COLUMNS($H$151:L$151)-1,$E158)=0,$F158*$D158*$G158,)),)</f>
        <v>0</v>
      </c>
      <c r="M158" s="288">
        <f>IFERROR(IF($B158="N/A","N/A",IF(MOD(COLUMNS($H$151:M$151)-1,$E158)=0,$F158*$D158*$G158,)),)</f>
        <v>1016.1291921525086</v>
      </c>
      <c r="N158" s="288">
        <f>IFERROR(IF($B158="N/A","N/A",IF(MOD(COLUMNS($H$151:N$151)-1,$E158)=0,$F158*$D158*$G158,)),)</f>
        <v>0</v>
      </c>
      <c r="O158" s="288">
        <f>IFERROR(IF($B158="N/A","N/A",IF(MOD(COLUMNS($H$151:O$151)-1,$E158)=0,$F158*$D158*$G158,)),)</f>
        <v>0</v>
      </c>
      <c r="P158" s="288">
        <f>IFERROR(IF($B158="N/A","N/A",IF(MOD(COLUMNS($H$151:P$151)-1,$E158)=0,$F158*$D158*$G158,)),)</f>
        <v>0</v>
      </c>
      <c r="Q158" s="288">
        <f>IFERROR(IF($B158="N/A","N/A",IF(MOD(COLUMNS($H$151:Q$151)-1,$E158)=0,$F158*$D158*$G158,)),)</f>
        <v>0</v>
      </c>
      <c r="R158" s="288">
        <f>IFERROR(IF($B158="N/A","N/A",IF(MOD(COLUMNS($H$151:R$151)-1,$E158)=0,$F158*$D158*$G158,)),)</f>
        <v>1016.1291921525086</v>
      </c>
      <c r="S158" s="288">
        <f>IFERROR(IF($B158="N/A","N/A",IF(MOD(COLUMNS($H$151:S$151)-1,$E158)=0,$F158*$D158*$G158,)),)</f>
        <v>0</v>
      </c>
      <c r="T158" s="288">
        <f>IFERROR(IF($B158="N/A","N/A",IF(MOD(COLUMNS($H$151:T$151)-1,$E158)=0,$F158*$D158*$G158,)),)</f>
        <v>0</v>
      </c>
      <c r="U158" s="288">
        <f>IFERROR(IF($B158="N/A","N/A",IF(MOD(COLUMNS($H$151:U$151)-1,$E158)=0,$F158*$D158*$G158,)),)</f>
        <v>0</v>
      </c>
      <c r="V158" s="288">
        <f>IFERROR(IF($B158="N/A","N/A",IF(MOD(COLUMNS($H$151:V$151)-1,$E158)=0,$F158*$D158*$G158,)),)</f>
        <v>0</v>
      </c>
      <c r="W158" s="288">
        <f>IFERROR(IF($B158="N/A","N/A",IF(MOD(COLUMNS($H$151:W$151)-1,$E158)=0,$F158*$D158*$G158,)),)</f>
        <v>1016.1291921525086</v>
      </c>
    </row>
    <row r="159" spans="2:23">
      <c r="B159" s="70" t="str">
        <f t="array" ref="B159">IF(COUNTIFS(INDEX(Equipment_Allocation_New,0,MATCH($C$107,Unit_codes,0)),"&gt;0")&lt;ROWS('2.2-Equipment input'!$X$8:$X15),"N/A",INDEX('2.2-Equipment input'!B:B,SMALL(IF(INDEX(Equipment_Allocation_New,0,MATCH($C$107,Unit_codes,0))&gt;0,ROW(equipment_ID)),ROW('2.2-Equipment input'!B8))))</f>
        <v>eq0011</v>
      </c>
      <c r="C159" s="70" t="str">
        <f>IF($B159="N/A","N/A",INDEX(Equipment_name[],MATCH(B159,equipment_ID,0)))</f>
        <v>Harvesting container</v>
      </c>
      <c r="D159" s="288">
        <f t="shared" si="19"/>
        <v>424.86237999408024</v>
      </c>
      <c r="E159" s="88">
        <f t="shared" si="20"/>
        <v>5</v>
      </c>
      <c r="F159" s="88">
        <f t="shared" si="21"/>
        <v>1</v>
      </c>
      <c r="G159" s="86">
        <f t="shared" si="22"/>
        <v>1</v>
      </c>
      <c r="H159" s="288">
        <f>IFERROR(IF($B159="N/A","N/A",IF(MOD(COLUMNS(H$151:$H$151)-1,$E159)=0,$F159*$D159*$G159,)),)</f>
        <v>424.86237999408024</v>
      </c>
      <c r="I159" s="288">
        <f>IFERROR(IF($B159="N/A","N/A",IF(MOD(COLUMNS($H$151:I$151)-1,$E159)=0,$F159*$D159*$G159,)),)</f>
        <v>0</v>
      </c>
      <c r="J159" s="288">
        <f>IFERROR(IF($B159="N/A","N/A",IF(MOD(COLUMNS($H$151:J$151)-1,$E159)=0,$F159*$D159*$G159,)),)</f>
        <v>0</v>
      </c>
      <c r="K159" s="288">
        <f>IFERROR(IF($B159="N/A","N/A",IF(MOD(COLUMNS($H$151:K$151)-1,$E159)=0,$F159*$D159*$G159,)),)</f>
        <v>0</v>
      </c>
      <c r="L159" s="288">
        <f>IFERROR(IF($B159="N/A","N/A",IF(MOD(COLUMNS($H$151:L$151)-1,$E159)=0,$F159*$D159*$G159,)),)</f>
        <v>0</v>
      </c>
      <c r="M159" s="288">
        <f>IFERROR(IF($B159="N/A","N/A",IF(MOD(COLUMNS($H$151:M$151)-1,$E159)=0,$F159*$D159*$G159,)),)</f>
        <v>424.86237999408024</v>
      </c>
      <c r="N159" s="288">
        <f>IFERROR(IF($B159="N/A","N/A",IF(MOD(COLUMNS($H$151:N$151)-1,$E159)=0,$F159*$D159*$G159,)),)</f>
        <v>0</v>
      </c>
      <c r="O159" s="288">
        <f>IFERROR(IF($B159="N/A","N/A",IF(MOD(COLUMNS($H$151:O$151)-1,$E159)=0,$F159*$D159*$G159,)),)</f>
        <v>0</v>
      </c>
      <c r="P159" s="288">
        <f>IFERROR(IF($B159="N/A","N/A",IF(MOD(COLUMNS($H$151:P$151)-1,$E159)=0,$F159*$D159*$G159,)),)</f>
        <v>0</v>
      </c>
      <c r="Q159" s="288">
        <f>IFERROR(IF($B159="N/A","N/A",IF(MOD(COLUMNS($H$151:Q$151)-1,$E159)=0,$F159*$D159*$G159,)),)</f>
        <v>0</v>
      </c>
      <c r="R159" s="288">
        <f>IFERROR(IF($B159="N/A","N/A",IF(MOD(COLUMNS($H$151:R$151)-1,$E159)=0,$F159*$D159*$G159,)),)</f>
        <v>424.86237999408024</v>
      </c>
      <c r="S159" s="288">
        <f>IFERROR(IF($B159="N/A","N/A",IF(MOD(COLUMNS($H$151:S$151)-1,$E159)=0,$F159*$D159*$G159,)),)</f>
        <v>0</v>
      </c>
      <c r="T159" s="288">
        <f>IFERROR(IF($B159="N/A","N/A",IF(MOD(COLUMNS($H$151:T$151)-1,$E159)=0,$F159*$D159*$G159,)),)</f>
        <v>0</v>
      </c>
      <c r="U159" s="288">
        <f>IFERROR(IF($B159="N/A","N/A",IF(MOD(COLUMNS($H$151:U$151)-1,$E159)=0,$F159*$D159*$G159,)),)</f>
        <v>0</v>
      </c>
      <c r="V159" s="288">
        <f>IFERROR(IF($B159="N/A","N/A",IF(MOD(COLUMNS($H$151:V$151)-1,$E159)=0,$F159*$D159*$G159,)),)</f>
        <v>0</v>
      </c>
      <c r="W159" s="288">
        <f>IFERROR(IF($B159="N/A","N/A",IF(MOD(COLUMNS($H$151:W$151)-1,$E159)=0,$F159*$D159*$G159,)),)</f>
        <v>424.86237999408024</v>
      </c>
    </row>
    <row r="160" spans="2:23">
      <c r="B160" s="70" t="str">
        <f t="array" ref="B160">IF(COUNTIFS(INDEX(Equipment_Allocation_New,0,MATCH($C$107,Unit_codes,0)),"&gt;0")&lt;ROWS('2.2-Equipment input'!$X$8:$X16),"N/A",INDEX('2.2-Equipment input'!B:B,SMALL(IF(INDEX(Equipment_Allocation_New,0,MATCH($C$107,Unit_codes,0))&gt;0,ROW(equipment_ID)),ROW('2.2-Equipment input'!B9))))</f>
        <v>eq0012</v>
      </c>
      <c r="C160" s="70" t="str">
        <f>IF($B160="N/A","N/A",INDEX(Equipment_name[],MATCH(B160,equipment_ID,0)))</f>
        <v>Harvesting large scoop</v>
      </c>
      <c r="D160" s="288">
        <f t="shared" si="19"/>
        <v>1.4162079333136008</v>
      </c>
      <c r="E160" s="88">
        <f t="shared" si="20"/>
        <v>3</v>
      </c>
      <c r="F160" s="88">
        <f t="shared" si="21"/>
        <v>1</v>
      </c>
      <c r="G160" s="86">
        <f t="shared" si="22"/>
        <v>1</v>
      </c>
      <c r="H160" s="288">
        <f>IFERROR(IF($B160="N/A","N/A",IF(MOD(COLUMNS(H$151:$H$151)-1,$E160)=0,$F160*$D160*$G160,)),)</f>
        <v>1.4162079333136008</v>
      </c>
      <c r="I160" s="288">
        <f>IFERROR(IF($B160="N/A","N/A",IF(MOD(COLUMNS($H$151:I$151)-1,$E160)=0,$F160*$D160*$G160,)),)</f>
        <v>0</v>
      </c>
      <c r="J160" s="288">
        <f>IFERROR(IF($B160="N/A","N/A",IF(MOD(COLUMNS($H$151:J$151)-1,$E160)=0,$F160*$D160*$G160,)),)</f>
        <v>0</v>
      </c>
      <c r="K160" s="288">
        <f>IFERROR(IF($B160="N/A","N/A",IF(MOD(COLUMNS($H$151:K$151)-1,$E160)=0,$F160*$D160*$G160,)),)</f>
        <v>1.4162079333136008</v>
      </c>
      <c r="L160" s="288">
        <f>IFERROR(IF($B160="N/A","N/A",IF(MOD(COLUMNS($H$151:L$151)-1,$E160)=0,$F160*$D160*$G160,)),)</f>
        <v>0</v>
      </c>
      <c r="M160" s="288">
        <f>IFERROR(IF($B160="N/A","N/A",IF(MOD(COLUMNS($H$151:M$151)-1,$E160)=0,$F160*$D160*$G160,)),)</f>
        <v>0</v>
      </c>
      <c r="N160" s="288">
        <f>IFERROR(IF($B160="N/A","N/A",IF(MOD(COLUMNS($H$151:N$151)-1,$E160)=0,$F160*$D160*$G160,)),)</f>
        <v>1.4162079333136008</v>
      </c>
      <c r="O160" s="288">
        <f>IFERROR(IF($B160="N/A","N/A",IF(MOD(COLUMNS($H$151:O$151)-1,$E160)=0,$F160*$D160*$G160,)),)</f>
        <v>0</v>
      </c>
      <c r="P160" s="288">
        <f>IFERROR(IF($B160="N/A","N/A",IF(MOD(COLUMNS($H$151:P$151)-1,$E160)=0,$F160*$D160*$G160,)),)</f>
        <v>0</v>
      </c>
      <c r="Q160" s="288">
        <f>IFERROR(IF($B160="N/A","N/A",IF(MOD(COLUMNS($H$151:Q$151)-1,$E160)=0,$F160*$D160*$G160,)),)</f>
        <v>1.4162079333136008</v>
      </c>
      <c r="R160" s="288">
        <f>IFERROR(IF($B160="N/A","N/A",IF(MOD(COLUMNS($H$151:R$151)-1,$E160)=0,$F160*$D160*$G160,)),)</f>
        <v>0</v>
      </c>
      <c r="S160" s="288">
        <f>IFERROR(IF($B160="N/A","N/A",IF(MOD(COLUMNS($H$151:S$151)-1,$E160)=0,$F160*$D160*$G160,)),)</f>
        <v>0</v>
      </c>
      <c r="T160" s="288">
        <f>IFERROR(IF($B160="N/A","N/A",IF(MOD(COLUMNS($H$151:T$151)-1,$E160)=0,$F160*$D160*$G160,)),)</f>
        <v>1.4162079333136008</v>
      </c>
      <c r="U160" s="288">
        <f>IFERROR(IF($B160="N/A","N/A",IF(MOD(COLUMNS($H$151:U$151)-1,$E160)=0,$F160*$D160*$G160,)),)</f>
        <v>0</v>
      </c>
      <c r="V160" s="288">
        <f>IFERROR(IF($B160="N/A","N/A",IF(MOD(COLUMNS($H$151:V$151)-1,$E160)=0,$F160*$D160*$G160,)),)</f>
        <v>0</v>
      </c>
      <c r="W160" s="288">
        <f>IFERROR(IF($B160="N/A","N/A",IF(MOD(COLUMNS($H$151:W$151)-1,$E160)=0,$F160*$D160*$G160,)),)</f>
        <v>1.4162079333136008</v>
      </c>
    </row>
    <row r="161" spans="2:23">
      <c r="B161" s="70" t="str">
        <f t="array" ref="B161">IF(COUNTIFS(INDEX(Equipment_Allocation_New,0,MATCH($C$107,Unit_codes,0)),"&gt;0")&lt;ROWS('2.2-Equipment input'!$X$8:$X17),"N/A",INDEX('2.2-Equipment input'!B:B,SMALL(IF(INDEX(Equipment_Allocation_New,0,MATCH($C$107,Unit_codes,0))&gt;0,ROW(equipment_ID)),ROW('2.2-Equipment input'!B10))))</f>
        <v>eq0030</v>
      </c>
      <c r="C161" s="70" t="str">
        <f>IF($B161="N/A","N/A",INDEX(Equipment_name[],MATCH(B161,equipment_ID,0)))</f>
        <v>Measuring balance ("heavy" duty)</v>
      </c>
      <c r="D161" s="288">
        <f t="shared" si="19"/>
        <v>177.02599166420012</v>
      </c>
      <c r="E161" s="88">
        <f t="shared" si="20"/>
        <v>5</v>
      </c>
      <c r="F161" s="88">
        <f t="shared" si="21"/>
        <v>1</v>
      </c>
      <c r="G161" s="88">
        <f t="shared" si="22"/>
        <v>0.31</v>
      </c>
      <c r="H161" s="288">
        <f>IFERROR(IF($B161="N/A","N/A",IF(MOD(COLUMNS(H$151:$H$151)-1,$E161)=0,$F161*$D161*$G161,)),)</f>
        <v>54.878057415902035</v>
      </c>
      <c r="I161" s="288">
        <f>IFERROR(IF($B161="N/A","N/A",IF(MOD(COLUMNS($H$151:I$151)-1,$E161)=0,$F161*$D161*$G161,)),)</f>
        <v>0</v>
      </c>
      <c r="J161" s="288">
        <f>IFERROR(IF($B161="N/A","N/A",IF(MOD(COLUMNS($H$151:J$151)-1,$E161)=0,$F161*$D161*$G161,)),)</f>
        <v>0</v>
      </c>
      <c r="K161" s="288">
        <f>IFERROR(IF($B161="N/A","N/A",IF(MOD(COLUMNS($H$151:K$151)-1,$E161)=0,$F161*$D161*$G161,)),)</f>
        <v>0</v>
      </c>
      <c r="L161" s="288">
        <f>IFERROR(IF($B161="N/A","N/A",IF(MOD(COLUMNS($H$151:L$151)-1,$E161)=0,$F161*$D161*$G161,)),)</f>
        <v>0</v>
      </c>
      <c r="M161" s="288">
        <f>IFERROR(IF($B161="N/A","N/A",IF(MOD(COLUMNS($H$151:M$151)-1,$E161)=0,$F161*$D161*$G161,)),)</f>
        <v>54.878057415902035</v>
      </c>
      <c r="N161" s="288">
        <f>IFERROR(IF($B161="N/A","N/A",IF(MOD(COLUMNS($H$151:N$151)-1,$E161)=0,$F161*$D161*$G161,)),)</f>
        <v>0</v>
      </c>
      <c r="O161" s="288">
        <f>IFERROR(IF($B161="N/A","N/A",IF(MOD(COLUMNS($H$151:O$151)-1,$E161)=0,$F161*$D161*$G161,)),)</f>
        <v>0</v>
      </c>
      <c r="P161" s="288">
        <f>IFERROR(IF($B161="N/A","N/A",IF(MOD(COLUMNS($H$151:P$151)-1,$E161)=0,$F161*$D161*$G161,)),)</f>
        <v>0</v>
      </c>
      <c r="Q161" s="288">
        <f>IFERROR(IF($B161="N/A","N/A",IF(MOD(COLUMNS($H$151:Q$151)-1,$E161)=0,$F161*$D161*$G161,)),)</f>
        <v>0</v>
      </c>
      <c r="R161" s="288">
        <f>IFERROR(IF($B161="N/A","N/A",IF(MOD(COLUMNS($H$151:R$151)-1,$E161)=0,$F161*$D161*$G161,)),)</f>
        <v>54.878057415902035</v>
      </c>
      <c r="S161" s="288">
        <f>IFERROR(IF($B161="N/A","N/A",IF(MOD(COLUMNS($H$151:S$151)-1,$E161)=0,$F161*$D161*$G161,)),)</f>
        <v>0</v>
      </c>
      <c r="T161" s="288">
        <f>IFERROR(IF($B161="N/A","N/A",IF(MOD(COLUMNS($H$151:T$151)-1,$E161)=0,$F161*$D161*$G161,)),)</f>
        <v>0</v>
      </c>
      <c r="U161" s="288">
        <f>IFERROR(IF($B161="N/A","N/A",IF(MOD(COLUMNS($H$151:U$151)-1,$E161)=0,$F161*$D161*$G161,)),)</f>
        <v>0</v>
      </c>
      <c r="V161" s="288">
        <f>IFERROR(IF($B161="N/A","N/A",IF(MOD(COLUMNS($H$151:V$151)-1,$E161)=0,$F161*$D161*$G161,)),)</f>
        <v>0</v>
      </c>
      <c r="W161" s="288">
        <f>IFERROR(IF($B161="N/A","N/A",IF(MOD(COLUMNS($H$151:W$151)-1,$E161)=0,$F161*$D161*$G161,)),)</f>
        <v>54.878057415902035</v>
      </c>
    </row>
    <row r="162" spans="2:23">
      <c r="B162" s="70" t="str">
        <f t="array" ref="B162">IF(COUNTIFS(INDEX(Equipment_Allocation_New,0,MATCH($C$107,Unit_codes,0)),"&gt;0")&lt;ROWS('2.2-Equipment input'!$X$8:$X18),"N/A",INDEX('2.2-Equipment input'!B:B,SMALL(IF(INDEX(Equipment_Allocation_New,0,MATCH($C$107,Unit_codes,0))&gt;0,ROW(equipment_ID)),ROW('2.2-Equipment input'!B11))))</f>
        <v>eq0032</v>
      </c>
      <c r="C162" s="70" t="str">
        <f>IF($B162="N/A","N/A",INDEX(Equipment_name[],MATCH(B162,equipment_ID,0)))</f>
        <v>Measuring balance (nursery)</v>
      </c>
      <c r="D162" s="288">
        <f t="shared" si="19"/>
        <v>354.05198332840024</v>
      </c>
      <c r="E162" s="88">
        <f t="shared" si="20"/>
        <v>5</v>
      </c>
      <c r="F162" s="88">
        <f t="shared" si="21"/>
        <v>1</v>
      </c>
      <c r="G162" s="88">
        <f t="shared" si="22"/>
        <v>0.25</v>
      </c>
      <c r="H162" s="288">
        <f>IFERROR(IF($B162="N/A","N/A",IF(MOD(COLUMNS(H$151:$H$151)-1,$E162)=0,$F162*$D162*$G162,)),)</f>
        <v>88.51299583210006</v>
      </c>
      <c r="I162" s="288">
        <f>IFERROR(IF($B162="N/A","N/A",IF(MOD(COLUMNS($H$151:I$151)-1,$E162)=0,$F162*$D162*$G162,)),)</f>
        <v>0</v>
      </c>
      <c r="J162" s="288">
        <f>IFERROR(IF($B162="N/A","N/A",IF(MOD(COLUMNS($H$151:J$151)-1,$E162)=0,$F162*$D162*$G162,)),)</f>
        <v>0</v>
      </c>
      <c r="K162" s="288">
        <f>IFERROR(IF($B162="N/A","N/A",IF(MOD(COLUMNS($H$151:K$151)-1,$E162)=0,$F162*$D162*$G162,)),)</f>
        <v>0</v>
      </c>
      <c r="L162" s="288">
        <f>IFERROR(IF($B162="N/A","N/A",IF(MOD(COLUMNS($H$151:L$151)-1,$E162)=0,$F162*$D162*$G162,)),)</f>
        <v>0</v>
      </c>
      <c r="M162" s="288">
        <f>IFERROR(IF($B162="N/A","N/A",IF(MOD(COLUMNS($H$151:M$151)-1,$E162)=0,$F162*$D162*$G162,)),)</f>
        <v>88.51299583210006</v>
      </c>
      <c r="N162" s="288">
        <f>IFERROR(IF($B162="N/A","N/A",IF(MOD(COLUMNS($H$151:N$151)-1,$E162)=0,$F162*$D162*$G162,)),)</f>
        <v>0</v>
      </c>
      <c r="O162" s="288">
        <f>IFERROR(IF($B162="N/A","N/A",IF(MOD(COLUMNS($H$151:O$151)-1,$E162)=0,$F162*$D162*$G162,)),)</f>
        <v>0</v>
      </c>
      <c r="P162" s="288">
        <f>IFERROR(IF($B162="N/A","N/A",IF(MOD(COLUMNS($H$151:P$151)-1,$E162)=0,$F162*$D162*$G162,)),)</f>
        <v>0</v>
      </c>
      <c r="Q162" s="288">
        <f>IFERROR(IF($B162="N/A","N/A",IF(MOD(COLUMNS($H$151:Q$151)-1,$E162)=0,$F162*$D162*$G162,)),)</f>
        <v>0</v>
      </c>
      <c r="R162" s="288">
        <f>IFERROR(IF($B162="N/A","N/A",IF(MOD(COLUMNS($H$151:R$151)-1,$E162)=0,$F162*$D162*$G162,)),)</f>
        <v>88.51299583210006</v>
      </c>
      <c r="S162" s="288">
        <f>IFERROR(IF($B162="N/A","N/A",IF(MOD(COLUMNS($H$151:S$151)-1,$E162)=0,$F162*$D162*$G162,)),)</f>
        <v>0</v>
      </c>
      <c r="T162" s="288">
        <f>IFERROR(IF($B162="N/A","N/A",IF(MOD(COLUMNS($H$151:T$151)-1,$E162)=0,$F162*$D162*$G162,)),)</f>
        <v>0</v>
      </c>
      <c r="U162" s="288">
        <f>IFERROR(IF($B162="N/A","N/A",IF(MOD(COLUMNS($H$151:U$151)-1,$E162)=0,$F162*$D162*$G162,)),)</f>
        <v>0</v>
      </c>
      <c r="V162" s="288">
        <f>IFERROR(IF($B162="N/A","N/A",IF(MOD(COLUMNS($H$151:V$151)-1,$E162)=0,$F162*$D162*$G162,)),)</f>
        <v>0</v>
      </c>
      <c r="W162" s="288">
        <f>IFERROR(IF($B162="N/A","N/A",IF(MOD(COLUMNS($H$151:W$151)-1,$E162)=0,$F162*$D162*$G162,)),)</f>
        <v>88.51299583210006</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19"/>
        <v>N/A</v>
      </c>
      <c r="E163" s="88" t="str">
        <f t="shared" si="20"/>
        <v>N/A</v>
      </c>
      <c r="F163" s="88" t="str">
        <f t="shared" si="21"/>
        <v>N/A</v>
      </c>
      <c r="G163" s="88" t="str">
        <f t="shared" si="22"/>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19"/>
        <v>N/A</v>
      </c>
      <c r="E164" s="88" t="str">
        <f t="shared" si="20"/>
        <v>N/A</v>
      </c>
      <c r="F164" s="88" t="str">
        <f t="shared" si="21"/>
        <v>N/A</v>
      </c>
      <c r="G164" s="88" t="str">
        <f t="shared" si="22"/>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19"/>
        <v>N/A</v>
      </c>
      <c r="E165" s="88" t="str">
        <f t="shared" si="20"/>
        <v>N/A</v>
      </c>
      <c r="F165" s="88" t="str">
        <f t="shared" si="21"/>
        <v>N/A</v>
      </c>
      <c r="G165" s="88" t="str">
        <f t="shared" si="22"/>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19"/>
        <v>N/A</v>
      </c>
      <c r="E166" s="88" t="str">
        <f t="shared" si="20"/>
        <v>N/A</v>
      </c>
      <c r="F166" s="88" t="str">
        <f t="shared" si="21"/>
        <v>N/A</v>
      </c>
      <c r="G166" s="88" t="str">
        <f t="shared" si="22"/>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19"/>
        <v>N/A</v>
      </c>
      <c r="E167" s="88" t="str">
        <f t="shared" si="20"/>
        <v>N/A</v>
      </c>
      <c r="F167" s="88" t="str">
        <f t="shared" si="21"/>
        <v>N/A</v>
      </c>
      <c r="G167" s="88" t="str">
        <f t="shared" si="22"/>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19"/>
        <v>N/A</v>
      </c>
      <c r="E168" s="88" t="str">
        <f t="shared" si="20"/>
        <v>N/A</v>
      </c>
      <c r="F168" s="88" t="str">
        <f t="shared" si="21"/>
        <v>N/A</v>
      </c>
      <c r="G168" s="88" t="str">
        <f t="shared" si="22"/>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19"/>
        <v>N/A</v>
      </c>
      <c r="E169" s="88" t="str">
        <f t="shared" si="20"/>
        <v>N/A</v>
      </c>
      <c r="F169" s="88" t="str">
        <f t="shared" si="21"/>
        <v>N/A</v>
      </c>
      <c r="G169" s="88" t="str">
        <f t="shared" si="22"/>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19"/>
        <v>N/A</v>
      </c>
      <c r="E170" s="88" t="str">
        <f t="shared" si="20"/>
        <v>N/A</v>
      </c>
      <c r="F170" s="88" t="str">
        <f t="shared" si="21"/>
        <v>N/A</v>
      </c>
      <c r="G170" s="88" t="str">
        <f t="shared" si="22"/>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19"/>
        <v>N/A</v>
      </c>
      <c r="E171" s="88" t="str">
        <f t="shared" si="20"/>
        <v>N/A</v>
      </c>
      <c r="F171" s="88" t="str">
        <f t="shared" si="21"/>
        <v>N/A</v>
      </c>
      <c r="G171" s="88" t="str">
        <f t="shared" si="22"/>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88" t="str">
        <f t="shared" si="21"/>
        <v>N/A</v>
      </c>
      <c r="G172" s="88"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88" t="str">
        <f t="shared" si="21"/>
        <v>N/A</v>
      </c>
      <c r="G173" s="88"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88" t="str">
        <f t="shared" si="21"/>
        <v>N/A</v>
      </c>
      <c r="G174" s="88"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88" t="str">
        <f t="shared" si="21"/>
        <v>N/A</v>
      </c>
      <c r="G175" s="88"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88" t="str">
        <f t="shared" si="21"/>
        <v>N/A</v>
      </c>
      <c r="G176" s="88"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88" t="str">
        <f t="shared" si="21"/>
        <v>N/A</v>
      </c>
      <c r="G177" s="88"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88" t="str">
        <f t="shared" si="21"/>
        <v>N/A</v>
      </c>
      <c r="G178" s="88"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88" t="str">
        <f t="shared" si="21"/>
        <v>N/A</v>
      </c>
      <c r="G179" s="88"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88" t="str">
        <f t="shared" si="21"/>
        <v>N/A</v>
      </c>
      <c r="G180" s="88"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88" t="str">
        <f t="shared" si="21"/>
        <v>N/A</v>
      </c>
      <c r="G181" s="88"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88" t="str">
        <f t="shared" si="21"/>
        <v>N/A</v>
      </c>
      <c r="G182" s="88"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88" t="str">
        <f t="shared" si="21"/>
        <v>N/A</v>
      </c>
      <c r="G183" s="88"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88" t="str">
        <f t="shared" si="21"/>
        <v>N/A</v>
      </c>
      <c r="G184" s="88"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88" t="str">
        <f t="shared" si="21"/>
        <v>N/A</v>
      </c>
      <c r="G185" s="88"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88" t="str">
        <f t="shared" si="21"/>
        <v>N/A</v>
      </c>
      <c r="G186" s="88"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88" t="str">
        <f t="shared" si="21"/>
        <v>N/A</v>
      </c>
      <c r="G187" s="88"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88" t="str">
        <f t="shared" si="21"/>
        <v>N/A</v>
      </c>
      <c r="G188" s="88"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88" t="str">
        <f t="shared" si="21"/>
        <v>N/A</v>
      </c>
      <c r="G189" s="88"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73k+bbH2OjZ1EjW869O4/+OWbGXrGL3D4cf7dahlFQa/TqKYfwPhpfJHtjLeZ0QNwsgkAeuO01czI82gbieaFg==" saltValue="n5L+Z30a97/NHLxs64tmKw==" spinCount="100000" sheet="1" objects="1" scenarios="1" selectLockedCells="1" selectUnlockedCells="1"/>
  <mergeCells count="6">
    <mergeCell ref="B33:D33"/>
    <mergeCell ref="C48:D48"/>
    <mergeCell ref="C49:D49"/>
    <mergeCell ref="C79:D79"/>
    <mergeCell ref="C80:D80"/>
    <mergeCell ref="B43:D43"/>
  </mergeCells>
  <conditionalFormatting sqref="B110:C147">
    <cfRule type="containsText" dxfId="566" priority="98" operator="containsText" text="N/A">
      <formula>NOT(ISERROR(SEARCH("N/A",B110)))</formula>
    </cfRule>
  </conditionalFormatting>
  <conditionalFormatting sqref="E110:E147">
    <cfRule type="containsText" dxfId="565" priority="97" operator="containsText" text="N/A">
      <formula>NOT(ISERROR(SEARCH("N/A",E110)))</formula>
    </cfRule>
  </conditionalFormatting>
  <conditionalFormatting sqref="E52:E74 B52:B74">
    <cfRule type="containsText" dxfId="564" priority="96" operator="containsText" text="N/A">
      <formula>NOT(ISERROR(SEARCH("N/A",B52)))</formula>
    </cfRule>
  </conditionalFormatting>
  <conditionalFormatting sqref="C52:C74">
    <cfRule type="containsText" dxfId="563" priority="95" operator="containsText" text="N/A">
      <formula>NOT(ISERROR(SEARCH("N/A",C52)))</formula>
    </cfRule>
  </conditionalFormatting>
  <conditionalFormatting sqref="O110:O147">
    <cfRule type="containsText" dxfId="562" priority="70" operator="containsText" text="N/A">
      <formula>NOT(ISERROR(SEARCH("N/A",O110)))</formula>
    </cfRule>
  </conditionalFormatting>
  <conditionalFormatting sqref="F52:F74">
    <cfRule type="containsText" dxfId="561" priority="93" operator="containsText" text="N/A">
      <formula>NOT(ISERROR(SEARCH("N/A",F52)))</formula>
    </cfRule>
  </conditionalFormatting>
  <conditionalFormatting sqref="E83:E103 B83:B103">
    <cfRule type="containsText" dxfId="560" priority="92" operator="containsText" text="N/A">
      <formula>NOT(ISERROR(SEARCH("N/A",B83)))</formula>
    </cfRule>
  </conditionalFormatting>
  <conditionalFormatting sqref="C83:C103">
    <cfRule type="containsText" dxfId="559" priority="91" operator="containsText" text="N/A">
      <formula>NOT(ISERROR(SEARCH("N/A",C83)))</formula>
    </cfRule>
  </conditionalFormatting>
  <conditionalFormatting sqref="F83:F103">
    <cfRule type="containsText" dxfId="558" priority="89" operator="containsText" text="N/A">
      <formula>NOT(ISERROR(SEARCH("N/A",F83)))</formula>
    </cfRule>
  </conditionalFormatting>
  <conditionalFormatting sqref="B20:D31">
    <cfRule type="containsText" dxfId="557" priority="88" operator="containsText" text="N/A">
      <formula>NOT(ISERROR(SEARCH("N/A",B20)))</formula>
    </cfRule>
  </conditionalFormatting>
  <conditionalFormatting sqref="F110:F147">
    <cfRule type="containsText" dxfId="556" priority="84" operator="containsText" text="N/A">
      <formula>NOT(ISERROR(SEARCH("N/A",F110)))</formula>
    </cfRule>
  </conditionalFormatting>
  <conditionalFormatting sqref="G110:G147">
    <cfRule type="containsText" dxfId="555" priority="87" operator="containsText" text="N/A">
      <formula>NOT(ISERROR(SEARCH("N/A",G110)))</formula>
    </cfRule>
  </conditionalFormatting>
  <conditionalFormatting sqref="I110:I147">
    <cfRule type="containsText" dxfId="554" priority="86" operator="containsText" text="N/A">
      <formula>NOT(ISERROR(SEARCH("N/A",I110)))</formula>
    </cfRule>
  </conditionalFormatting>
  <conditionalFormatting sqref="K110:K147">
    <cfRule type="containsText" dxfId="553" priority="85" operator="containsText" text="N/A">
      <formula>NOT(ISERROR(SEARCH("N/A",K110)))</formula>
    </cfRule>
  </conditionalFormatting>
  <conditionalFormatting sqref="B152:B189">
    <cfRule type="containsText" dxfId="552" priority="83" operator="containsText" text="N/A">
      <formula>NOT(ISERROR(SEARCH("N/A",B152)))</formula>
    </cfRule>
  </conditionalFormatting>
  <conditionalFormatting sqref="C152:C189">
    <cfRule type="containsText" dxfId="551" priority="82" operator="containsText" text="N/A">
      <formula>NOT(ISERROR(SEARCH("N/A",C152)))</formula>
    </cfRule>
  </conditionalFormatting>
  <conditionalFormatting sqref="F152:F189">
    <cfRule type="containsText" dxfId="550" priority="81" operator="containsText" text="N/A">
      <formula>NOT(ISERROR(SEARCH("N/A",F152)))</formula>
    </cfRule>
  </conditionalFormatting>
  <conditionalFormatting sqref="E152:E189">
    <cfRule type="containsText" dxfId="549" priority="79" operator="containsText" text="N/A">
      <formula>NOT(ISERROR(SEARCH("N/A",E152)))</formula>
    </cfRule>
  </conditionalFormatting>
  <conditionalFormatting sqref="H153:W189 I152:W152">
    <cfRule type="containsText" dxfId="548" priority="76" operator="containsText" text="N/A">
      <formula>NOT(ISERROR(SEARCH("N/A",H152)))</formula>
    </cfRule>
  </conditionalFormatting>
  <conditionalFormatting sqref="G152:G189">
    <cfRule type="containsText" dxfId="547" priority="73" operator="containsText" text="N/A">
      <formula>NOT(ISERROR(SEARCH("N/A",G152)))</formula>
    </cfRule>
  </conditionalFormatting>
  <conditionalFormatting sqref="E20:E31">
    <cfRule type="containsText" dxfId="546" priority="71" operator="containsText" text="N/A">
      <formula>NOT(ISERROR(SEARCH("N/A",E20)))</formula>
    </cfRule>
  </conditionalFormatting>
  <conditionalFormatting sqref="H149:W149">
    <cfRule type="expression" dxfId="545" priority="13">
      <formula>IF(INDIRECT("General_Currency_Selection")="CHF",TRUE)</formula>
    </cfRule>
    <cfRule type="expression" dxfId="544" priority="14">
      <formula>IF(INDIRECT("General_Currency_Selection")="EUR",TRUE)</formula>
    </cfRule>
    <cfRule type="expression" dxfId="543" priority="15">
      <formula>IF(INDIRECT("General_Currency_Selection")="USD",TRUE)</formula>
    </cfRule>
  </conditionalFormatting>
  <conditionalFormatting sqref="F39:F41">
    <cfRule type="expression" dxfId="542" priority="64">
      <formula>IF(INDIRECT("General_Currency_Selection")="CHF",TRUE)</formula>
    </cfRule>
    <cfRule type="expression" dxfId="541" priority="65">
      <formula>IF(INDIRECT("General_Currency_Selection")="EUR",TRUE)</formula>
    </cfRule>
    <cfRule type="expression" dxfId="540" priority="66">
      <formula>IF(INDIRECT("General_Currency_Selection")="USD",TRUE)</formula>
    </cfRule>
  </conditionalFormatting>
  <conditionalFormatting sqref="E39:E41">
    <cfRule type="expression" dxfId="539" priority="61">
      <formula>IF(INDIRECT("General_Currency_Selection")="CHF",TRUE)</formula>
    </cfRule>
    <cfRule type="expression" dxfId="538" priority="62">
      <formula>IF(INDIRECT("General_Currency_Selection")="EUR",TRUE)</formula>
    </cfRule>
    <cfRule type="expression" dxfId="537" priority="63">
      <formula>IF(INDIRECT("General_Currency_Selection")="USD",TRUE)</formula>
    </cfRule>
  </conditionalFormatting>
  <conditionalFormatting sqref="E43:F43">
    <cfRule type="expression" dxfId="536" priority="58">
      <formula>IF(INDIRECT("General_Currency_Selection")="CHF",TRUE)</formula>
    </cfRule>
    <cfRule type="expression" dxfId="535" priority="59">
      <formula>IF(INDIRECT("General_Currency_Selection")="EUR",TRUE)</formula>
    </cfRule>
    <cfRule type="expression" dxfId="534" priority="60">
      <formula>IF(INDIRECT("General_Currency_Selection")="USD",TRUE)</formula>
    </cfRule>
  </conditionalFormatting>
  <conditionalFormatting sqref="G35">
    <cfRule type="expression" dxfId="533" priority="55">
      <formula>IF(INDIRECT("General_Currency_Selection")="CHF",TRUE)</formula>
    </cfRule>
    <cfRule type="expression" dxfId="532" priority="56">
      <formula>IF(INDIRECT("General_Currency_Selection")="EUR",TRUE)</formula>
    </cfRule>
    <cfRule type="expression" dxfId="531" priority="57">
      <formula>IF(INDIRECT("General_Currency_Selection")="USD",TRUE)</formula>
    </cfRule>
  </conditionalFormatting>
  <conditionalFormatting sqref="G15">
    <cfRule type="expression" dxfId="530" priority="52">
      <formula>IF(INDIRECT("General_Currency_Selection")="CHF",TRUE)</formula>
    </cfRule>
    <cfRule type="expression" dxfId="529" priority="53">
      <formula>IF(INDIRECT("General_Currency_Selection")="EUR",TRUE)</formula>
    </cfRule>
    <cfRule type="expression" dxfId="528" priority="54">
      <formula>IF(INDIRECT("General_Currency_Selection")="USD",TRUE)</formula>
    </cfRule>
  </conditionalFormatting>
  <conditionalFormatting sqref="G45">
    <cfRule type="expression" dxfId="527" priority="49">
      <formula>IF(INDIRECT("General_Currency_Selection")="CHF",TRUE)</formula>
    </cfRule>
    <cfRule type="expression" dxfId="526" priority="50">
      <formula>IF(INDIRECT("General_Currency_Selection")="EUR",TRUE)</formula>
    </cfRule>
    <cfRule type="expression" dxfId="525" priority="51">
      <formula>IF(INDIRECT("General_Currency_Selection")="USD",TRUE)</formula>
    </cfRule>
  </conditionalFormatting>
  <conditionalFormatting sqref="F20:F31">
    <cfRule type="expression" dxfId="524" priority="46">
      <formula>IF(INDIRECT("General_Currency_Selection")="CHF",TRUE)</formula>
    </cfRule>
    <cfRule type="expression" dxfId="523" priority="47">
      <formula>IF(INDIRECT("General_Currency_Selection")="EUR",TRUE)</formula>
    </cfRule>
    <cfRule type="expression" dxfId="522" priority="48">
      <formula>IF(INDIRECT("General_Currency_Selection")="USD",TRUE)</formula>
    </cfRule>
  </conditionalFormatting>
  <conditionalFormatting sqref="E33">
    <cfRule type="expression" dxfId="521" priority="43">
      <formula>IF(INDIRECT("General_Currency_Selection")="CHF",TRUE)</formula>
    </cfRule>
    <cfRule type="expression" dxfId="520" priority="44">
      <formula>IF(INDIRECT("General_Currency_Selection")="EUR",TRUE)</formula>
    </cfRule>
    <cfRule type="expression" dxfId="519" priority="45">
      <formula>IF(INDIRECT("General_Currency_Selection")="USD",TRUE)</formula>
    </cfRule>
  </conditionalFormatting>
  <conditionalFormatting sqref="H152:W189">
    <cfRule type="expression" dxfId="518" priority="10">
      <formula>IF(INDIRECT("General_Currency_Selection")="CHF",TRUE)</formula>
    </cfRule>
    <cfRule type="expression" dxfId="517" priority="11">
      <formula>IF(INDIRECT("General_Currency_Selection")="EUR",TRUE)</formula>
    </cfRule>
    <cfRule type="expression" dxfId="516" priority="12">
      <formula>IF(INDIRECT("General_Currency_Selection")="USD",TRUE)</formula>
    </cfRule>
  </conditionalFormatting>
  <conditionalFormatting sqref="D52:D74">
    <cfRule type="expression" dxfId="515" priority="40">
      <formula>IF(INDIRECT("General_Currency_Selection")="CHF",TRUE)</formula>
    </cfRule>
    <cfRule type="expression" dxfId="514" priority="41">
      <formula>IF(INDIRECT("General_Currency_Selection")="EUR",TRUE)</formula>
    </cfRule>
    <cfRule type="expression" dxfId="513" priority="42">
      <formula>IF(INDIRECT("General_Currency_Selection")="USD",TRUE)</formula>
    </cfRule>
  </conditionalFormatting>
  <conditionalFormatting sqref="G52:G74">
    <cfRule type="expression" dxfId="512" priority="37">
      <formula>IF(INDIRECT("General_Currency_Selection")="CHF",TRUE)</formula>
    </cfRule>
    <cfRule type="expression" dxfId="511" priority="38">
      <formula>IF(INDIRECT("General_Currency_Selection")="EUR",TRUE)</formula>
    </cfRule>
    <cfRule type="expression" dxfId="510" priority="39">
      <formula>IF(INDIRECT("General_Currency_Selection")="USD",TRUE)</formula>
    </cfRule>
  </conditionalFormatting>
  <conditionalFormatting sqref="G76">
    <cfRule type="expression" dxfId="509" priority="34">
      <formula>IF(INDIRECT("General_Currency_Selection")="CHF",TRUE)</formula>
    </cfRule>
    <cfRule type="expression" dxfId="508" priority="35">
      <formula>IF(INDIRECT("General_Currency_Selection")="EUR",TRUE)</formula>
    </cfRule>
    <cfRule type="expression" dxfId="507" priority="36">
      <formula>IF(INDIRECT("General_Currency_Selection")="USD",TRUE)</formula>
    </cfRule>
  </conditionalFormatting>
  <conditionalFormatting sqref="D83:D103">
    <cfRule type="expression" dxfId="506" priority="31">
      <formula>IF(INDIRECT("General_Currency_Selection")="CHF",TRUE)</formula>
    </cfRule>
    <cfRule type="expression" dxfId="505" priority="32">
      <formula>IF(INDIRECT("General_Currency_Selection")="EUR",TRUE)</formula>
    </cfRule>
    <cfRule type="expression" dxfId="504" priority="33">
      <formula>IF(INDIRECT("General_Currency_Selection")="USD",TRUE)</formula>
    </cfRule>
  </conditionalFormatting>
  <conditionalFormatting sqref="G83:G103">
    <cfRule type="expression" dxfId="503" priority="28">
      <formula>IF(INDIRECT("General_Currency_Selection")="CHF",TRUE)</formula>
    </cfRule>
    <cfRule type="expression" dxfId="502" priority="29">
      <formula>IF(INDIRECT("General_Currency_Selection")="EUR",TRUE)</formula>
    </cfRule>
    <cfRule type="expression" dxfId="501" priority="30">
      <formula>IF(INDIRECT("General_Currency_Selection")="USD",TRUE)</formula>
    </cfRule>
  </conditionalFormatting>
  <conditionalFormatting sqref="G105">
    <cfRule type="expression" dxfId="500" priority="25">
      <formula>IF(INDIRECT("General_Currency_Selection")="CHF",TRUE)</formula>
    </cfRule>
    <cfRule type="expression" dxfId="499" priority="26">
      <formula>IF(INDIRECT("General_Currency_Selection")="EUR",TRUE)</formula>
    </cfRule>
    <cfRule type="expression" dxfId="498" priority="27">
      <formula>IF(INDIRECT("General_Currency_Selection")="USD",TRUE)</formula>
    </cfRule>
  </conditionalFormatting>
  <conditionalFormatting sqref="D110:D147">
    <cfRule type="expression" dxfId="497" priority="22">
      <formula>IF(INDIRECT("General_Currency_Selection")="CHF",TRUE)</formula>
    </cfRule>
    <cfRule type="expression" dxfId="496" priority="23">
      <formula>IF(INDIRECT("General_Currency_Selection")="EUR",TRUE)</formula>
    </cfRule>
    <cfRule type="expression" dxfId="495" priority="24">
      <formula>IF(INDIRECT("General_Currency_Selection")="USD",TRUE)</formula>
    </cfRule>
  </conditionalFormatting>
  <conditionalFormatting sqref="N110:N147">
    <cfRule type="expression" dxfId="494" priority="19">
      <formula>IF(INDIRECT("General_Currency_Selection")="CHF",TRUE)</formula>
    </cfRule>
    <cfRule type="expression" dxfId="493" priority="20">
      <formula>IF(INDIRECT("General_Currency_Selection")="EUR",TRUE)</formula>
    </cfRule>
    <cfRule type="expression" dxfId="492" priority="21">
      <formula>IF(INDIRECT("General_Currency_Selection")="USD",TRUE)</formula>
    </cfRule>
  </conditionalFormatting>
  <conditionalFormatting sqref="D152:D189">
    <cfRule type="expression" dxfId="491" priority="16">
      <formula>IF(INDIRECT("General_Currency_Selection")="CHF",TRUE)</formula>
    </cfRule>
    <cfRule type="expression" dxfId="490" priority="17">
      <formula>IF(INDIRECT("General_Currency_Selection")="EUR",TRUE)</formula>
    </cfRule>
    <cfRule type="expression" dxfId="489" priority="18">
      <formula>IF(INDIRECT("General_Currency_Selection")="USD",TRUE)</formula>
    </cfRule>
  </conditionalFormatting>
  <conditionalFormatting sqref="H110:H147">
    <cfRule type="expression" dxfId="488" priority="7">
      <formula>IF(INDIRECT("General_Currency_Selection")="CHF",TRUE)</formula>
    </cfRule>
    <cfRule type="expression" dxfId="487" priority="8">
      <formula>IF(INDIRECT("General_Currency_Selection")="EUR",TRUE)</formula>
    </cfRule>
    <cfRule type="expression" dxfId="486" priority="9">
      <formula>IF(INDIRECT("General_Currency_Selection")="USD",TRUE)</formula>
    </cfRule>
  </conditionalFormatting>
  <conditionalFormatting sqref="J110:J147">
    <cfRule type="expression" dxfId="485" priority="4">
      <formula>IF(INDIRECT("General_Currency_Selection")="CHF",TRUE)</formula>
    </cfRule>
    <cfRule type="expression" dxfId="484" priority="5">
      <formula>IF(INDIRECT("General_Currency_Selection")="EUR",TRUE)</formula>
    </cfRule>
    <cfRule type="expression" dxfId="483" priority="6">
      <formula>IF(INDIRECT("General_Currency_Selection")="USD",TRUE)</formula>
    </cfRule>
  </conditionalFormatting>
  <conditionalFormatting sqref="L110:L147">
    <cfRule type="expression" dxfId="482" priority="1">
      <formula>IF(INDIRECT("General_Currency_Selection")="CHF",TRUE)</formula>
    </cfRule>
    <cfRule type="expression" dxfId="481" priority="2">
      <formula>IF(INDIRECT("General_Currency_Selection")="EUR",TRUE)</formula>
    </cfRule>
    <cfRule type="expression" dxfId="480"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79998168889431442"/>
  </sheetPr>
  <dimension ref="B1:AD189"/>
  <sheetViews>
    <sheetView showGridLines="0" showRowColHeaders="0" zoomScale="70" zoomScaleNormal="70" workbookViewId="0">
      <selection activeCell="G5" sqref="G5"/>
    </sheetView>
  </sheetViews>
  <sheetFormatPr defaultColWidth="11.1796875" defaultRowHeight="14.5"/>
  <cols>
    <col min="1" max="1" width="0.81640625" style="15" customWidth="1"/>
    <col min="2" max="2" width="14.453125" style="15" customWidth="1"/>
    <col min="3" max="3" width="21.81640625" style="15" customWidth="1"/>
    <col min="4" max="4" width="18.453125" style="15" customWidth="1"/>
    <col min="5" max="5" width="17.81640625" style="15" customWidth="1"/>
    <col min="6" max="6" width="26.54296875" style="15" customWidth="1"/>
    <col min="7" max="7" width="21.7265625" style="15" customWidth="1"/>
    <col min="8" max="23" width="16.54296875" style="15" customWidth="1"/>
    <col min="24" max="16384" width="11.1796875" style="15"/>
  </cols>
  <sheetData>
    <row r="1" spans="2:16" ht="21">
      <c r="B1" s="1" t="s">
        <v>187</v>
      </c>
      <c r="C1" s="6"/>
      <c r="D1" s="6"/>
      <c r="E1" s="6"/>
    </row>
    <row r="2" spans="2:16" ht="15" thickBot="1">
      <c r="B2" s="904"/>
      <c r="C2" s="904"/>
      <c r="D2" s="904"/>
      <c r="E2" s="904"/>
      <c r="F2" s="904"/>
    </row>
    <row r="3" spans="2:16" ht="18.5">
      <c r="B3" s="58" t="s">
        <v>0</v>
      </c>
      <c r="C3" s="22"/>
      <c r="D3" s="22"/>
      <c r="E3" s="22"/>
      <c r="F3" s="22"/>
      <c r="G3" s="51"/>
      <c r="H3" s="51"/>
      <c r="I3" s="51"/>
      <c r="J3" s="51"/>
      <c r="K3" s="51"/>
      <c r="L3" s="51"/>
      <c r="M3" s="51"/>
      <c r="N3" s="51"/>
      <c r="O3" s="51"/>
      <c r="P3" s="51"/>
    </row>
    <row r="4" spans="2:16" ht="15.5">
      <c r="B4" s="61"/>
    </row>
    <row r="5" spans="2:16" ht="15.5">
      <c r="B5" s="61"/>
    </row>
    <row r="6" spans="2:16" ht="15.5">
      <c r="B6" s="61"/>
    </row>
    <row r="12" spans="2:16" ht="15.5">
      <c r="B12" s="62" t="s">
        <v>68</v>
      </c>
      <c r="C12" s="60" t="s">
        <v>69</v>
      </c>
      <c r="E12" s="61"/>
    </row>
    <row r="13" spans="2:16">
      <c r="B13" s="96" t="s">
        <v>186</v>
      </c>
      <c r="C13" s="97">
        <f>General_EggProduction_Total</f>
        <v>0</v>
      </c>
      <c r="E13" s="135"/>
      <c r="F13" s="135"/>
      <c r="G13" s="135"/>
      <c r="H13" s="135"/>
      <c r="I13" s="135"/>
      <c r="J13" s="135"/>
      <c r="K13" s="135"/>
      <c r="L13" s="135"/>
      <c r="M13" s="135"/>
      <c r="N13" s="135"/>
      <c r="O13" s="135"/>
      <c r="P13" s="22"/>
    </row>
    <row r="14" spans="2:16" ht="15" thickBot="1">
      <c r="G14" s="54"/>
    </row>
    <row r="15" spans="2:16" ht="18.5">
      <c r="B15" s="2" t="s">
        <v>71</v>
      </c>
      <c r="C15" s="103"/>
      <c r="D15" s="51"/>
      <c r="E15" s="51"/>
      <c r="F15" s="101" t="s">
        <v>128</v>
      </c>
      <c r="G15" s="836">
        <f>E33*C13*1000</f>
        <v>0</v>
      </c>
      <c r="H15" s="51"/>
      <c r="I15" s="51"/>
      <c r="J15" s="69"/>
      <c r="K15" s="51"/>
      <c r="L15" s="51"/>
      <c r="M15" s="51"/>
      <c r="N15" s="51"/>
      <c r="O15" s="51"/>
      <c r="P15" s="51"/>
    </row>
    <row r="16" spans="2:16" ht="15.5">
      <c r="B16" s="61" t="s">
        <v>429</v>
      </c>
    </row>
    <row r="17" spans="2:12">
      <c r="B17" s="98" t="s">
        <v>76</v>
      </c>
      <c r="C17" s="80" t="s">
        <v>520</v>
      </c>
    </row>
    <row r="18" spans="2:12">
      <c r="H18" s="22"/>
      <c r="I18" s="22"/>
      <c r="J18" s="22"/>
      <c r="K18" s="22"/>
      <c r="L18" s="22"/>
    </row>
    <row r="19" spans="2:12" ht="15.5">
      <c r="B19" s="140" t="s">
        <v>404</v>
      </c>
      <c r="C19" s="140" t="s">
        <v>405</v>
      </c>
      <c r="D19" s="91" t="s">
        <v>190</v>
      </c>
      <c r="E19" s="91" t="s">
        <v>107</v>
      </c>
      <c r="F19" s="91" t="s">
        <v>621</v>
      </c>
      <c r="H19" s="28"/>
      <c r="I19" s="28"/>
      <c r="J19" s="28"/>
      <c r="K19" s="258"/>
      <c r="L19" s="22"/>
    </row>
    <row r="20" spans="2:12">
      <c r="B20" s="71" t="str">
        <f t="array" ref="B20">IF(COUNTIFS(INDEX(Material_Input,0,MATCH($C$17,Unit_codes,0)),"&gt;0")&lt;ROWS('2.1-Material input'!$J$4:J4),"N/A",INDEX('2.1-Material input'!B:B,SMALL(IF(INDEX(Material_Input,0,MATCH($C$17,Unit_codes,0))&gt;0,ROW(Material_Code)),ROW('2.1-Material input'!B1))))</f>
        <v>ma0002</v>
      </c>
      <c r="C20" s="71" t="str">
        <f t="shared" ref="C20:C31" si="0">IF($B20="N/A","N/A",INDEX(Material_Name,MATCH(B20,Material_Code,0)))</f>
        <v>Cocopeat</v>
      </c>
      <c r="D20" s="72">
        <f>IF($B20="N/A","N/A",INDEX(Material_Input,MATCH($B20,Material_Code,0),MATCH($C$17,Unit_codes,0)))</f>
        <v>3.15</v>
      </c>
      <c r="E20" s="87">
        <f>IF($B20="N/A","N/A",INDEX(Material_Unit_Price,MATCH($B20,Material_Code,0)))</f>
        <v>0.35405198332840021</v>
      </c>
      <c r="F20" s="288">
        <f>IFERROR(E20*D20,"")</f>
        <v>1.1152637474844607</v>
      </c>
      <c r="H20" s="258"/>
      <c r="I20" s="259"/>
      <c r="J20" s="90"/>
      <c r="K20" s="74"/>
      <c r="L20" s="22"/>
    </row>
    <row r="21" spans="2:12">
      <c r="B21" s="71" t="str">
        <f t="array" ref="B21">IF(COUNTIFS(INDEX(Material_Input,0,MATCH($C$17,Unit_codes,0)),"&gt;0")&lt;ROWS('2.1-Material input'!$J$4:J5),"N/A",INDEX('2.1-Material input'!B:B,SMALL(IF(INDEX(Material_Input,0,MATCH($C$17,Unit_codes,0))&gt;0,ROW(Material_Code)),ROW('2.1-Material input'!B2))))</f>
        <v>ma0003</v>
      </c>
      <c r="C21" s="71" t="str">
        <f t="shared" si="0"/>
        <v>Chicken feed</v>
      </c>
      <c r="D21" s="72">
        <f t="shared" ref="D21:D31" si="1">IF($B21="N/A","N/A",INDEX(Material_Input,MATCH($B21,Material_Code,0),MATCH($C$17,Unit_codes,0)))</f>
        <v>10.6</v>
      </c>
      <c r="E21" s="87">
        <f t="shared" ref="E21:E31" si="2">IF($B21="N/A","N/A",INDEX(Material_Unit_Price,MATCH($B21,Material_Code,0)))</f>
        <v>0.4885917369931923</v>
      </c>
      <c r="F21" s="288">
        <f t="shared" ref="F21:F31" si="3">IFERROR(E21*D21,"")</f>
        <v>5.1790724121278382</v>
      </c>
      <c r="H21" s="258"/>
      <c r="I21" s="73"/>
      <c r="J21" s="90"/>
      <c r="K21" s="74"/>
      <c r="L21" s="22"/>
    </row>
    <row r="22" spans="2:12">
      <c r="B22" s="71" t="str">
        <f t="array" ref="B22">IF(COUNTIFS(INDEX(Material_Input,0,MATCH($C$17,Unit_codes,0)),"&gt;0")&lt;ROWS('2.1-Material input'!$J$4:J6),"N/A",INDEX('2.1-Material input'!B:B,SMALL(IF(INDEX(Material_Input,0,MATCH($C$17,Unit_codes,0))&gt;0,ROW(Material_Code)),ROW('2.1-Material input'!B3))))</f>
        <v>ma0004</v>
      </c>
      <c r="C22" s="71" t="str">
        <f t="shared" si="0"/>
        <v>Fruit water</v>
      </c>
      <c r="D22" s="72">
        <f t="shared" si="1"/>
        <v>58.58</v>
      </c>
      <c r="E22" s="87">
        <f t="shared" si="2"/>
        <v>0</v>
      </c>
      <c r="F22" s="288">
        <f t="shared" si="3"/>
        <v>0</v>
      </c>
      <c r="H22" s="258"/>
      <c r="I22" s="73"/>
      <c r="J22" s="90"/>
      <c r="K22" s="74"/>
      <c r="L22" s="22"/>
    </row>
    <row r="23" spans="2:12">
      <c r="B23" s="71" t="str">
        <f t="array" ref="B23">IF(COUNTIFS(INDEX(Material_Input,0,MATCH($C$17,Unit_codes,0)),"&gt;0")&lt;ROWS('2.1-Material input'!$J$4:J7),"N/A",INDEX('2.1-Material input'!B:B,SMALL(IF(INDEX(Material_Input,0,MATCH($C$17,Unit_codes,0))&gt;0,ROW(Material_Code)),ROW('2.1-Material input'!B4))))</f>
        <v>ma0006</v>
      </c>
      <c r="C23" s="71" t="str">
        <f t="shared" si="0"/>
        <v>Compost</v>
      </c>
      <c r="D23" s="72">
        <f t="shared" si="1"/>
        <v>670.11898258121096</v>
      </c>
      <c r="E23" s="87">
        <f t="shared" si="2"/>
        <v>0</v>
      </c>
      <c r="F23" s="288">
        <f t="shared" si="3"/>
        <v>0</v>
      </c>
      <c r="H23" s="258"/>
      <c r="I23" s="73"/>
      <c r="J23" s="90"/>
      <c r="K23" s="74"/>
      <c r="L23" s="22"/>
    </row>
    <row r="24" spans="2:12">
      <c r="B24" s="71" t="str">
        <f t="array" ref="B24">IF(COUNTIFS(INDEX(Material_Input,0,MATCH($C$17,Unit_codes,0)),"&gt;0")&lt;ROWS('2.1-Material input'!$J$4:J8),"N/A",INDEX('2.1-Material input'!B:B,SMALL(IF(INDEX(Material_Input,0,MATCH($C$17,Unit_codes,0))&gt;0,ROW(Material_Code)),ROW('2.1-Material input'!B5))))</f>
        <v>N/A</v>
      </c>
      <c r="C24" s="71" t="str">
        <f t="shared" si="0"/>
        <v>N/A</v>
      </c>
      <c r="D24" s="72" t="str">
        <f t="shared" si="1"/>
        <v>N/A</v>
      </c>
      <c r="E24" s="87" t="str">
        <f t="shared" si="2"/>
        <v>N/A</v>
      </c>
      <c r="F24" s="288" t="str">
        <f t="shared" si="3"/>
        <v/>
      </c>
      <c r="H24" s="258"/>
      <c r="I24" s="73"/>
      <c r="J24" s="90"/>
      <c r="K24" s="74"/>
      <c r="L24" s="22"/>
    </row>
    <row r="25" spans="2:12">
      <c r="B25" s="71" t="str">
        <f t="array" ref="B25">IF(COUNTIFS(INDEX(Material_Input,0,MATCH($C$17,Unit_codes,0)),"&gt;0")&lt;ROWS('2.1-Material input'!$J$4:J9),"N/A",INDEX('2.1-Material input'!B:B,SMALL(IF(INDEX(Material_Input,0,MATCH($C$17,Unit_codes,0))&gt;0,ROW(Material_Code)),ROW('2.1-Material input'!B6))))</f>
        <v>N/A</v>
      </c>
      <c r="C25" s="71" t="str">
        <f t="shared" si="0"/>
        <v>N/A</v>
      </c>
      <c r="D25" s="72" t="str">
        <f t="shared" si="1"/>
        <v>N/A</v>
      </c>
      <c r="E25" s="87" t="str">
        <f t="shared" si="2"/>
        <v>N/A</v>
      </c>
      <c r="F25" s="288" t="str">
        <f t="shared" si="3"/>
        <v/>
      </c>
      <c r="H25" s="28"/>
      <c r="I25" s="73"/>
      <c r="J25" s="90"/>
      <c r="K25" s="74"/>
      <c r="L25" s="22"/>
    </row>
    <row r="26" spans="2:12">
      <c r="B26" s="71" t="str">
        <f t="array" ref="B26">IF(COUNTIFS(INDEX(Material_Input,0,MATCH($C$17,Unit_codes,0)),"&gt;0")&lt;ROWS('2.1-Material input'!$J$4:J10),"N/A",INDEX('2.1-Material input'!B:B,SMALL(IF(INDEX(Material_Input,0,MATCH($C$17,Unit_codes,0))&gt;0,ROW(Material_Code)),ROW('2.1-Material input'!B7))))</f>
        <v>N/A</v>
      </c>
      <c r="C26" s="71" t="str">
        <f t="shared" si="0"/>
        <v>N/A</v>
      </c>
      <c r="D26" s="72" t="str">
        <f t="shared" si="1"/>
        <v>N/A</v>
      </c>
      <c r="E26" s="87" t="str">
        <f t="shared" si="2"/>
        <v>N/A</v>
      </c>
      <c r="F26" s="288" t="str">
        <f t="shared" si="3"/>
        <v/>
      </c>
      <c r="H26" s="28"/>
      <c r="I26" s="73"/>
      <c r="J26" s="90"/>
      <c r="K26" s="74"/>
      <c r="L26" s="22"/>
    </row>
    <row r="27" spans="2:12">
      <c r="B27" s="71" t="str">
        <f t="array" ref="B27">IF(COUNTIFS(INDEX(Material_Input,0,MATCH($C$17,Unit_codes,0)),"&gt;0")&lt;ROWS('2.1-Material input'!$J$4:J11),"N/A",INDEX('2.1-Material input'!B:B,SMALL(IF(INDEX(Material_Input,0,MATCH($C$17,Unit_codes,0))&gt;0,ROW(Material_Code)),ROW('2.1-Material input'!B8))))</f>
        <v>N/A</v>
      </c>
      <c r="C27" s="71" t="str">
        <f t="shared" si="0"/>
        <v>N/A</v>
      </c>
      <c r="D27" s="72" t="str">
        <f t="shared" si="1"/>
        <v>N/A</v>
      </c>
      <c r="E27" s="87" t="str">
        <f t="shared" si="2"/>
        <v>N/A</v>
      </c>
      <c r="F27" s="288" t="str">
        <f t="shared" si="3"/>
        <v/>
      </c>
      <c r="H27" s="28"/>
      <c r="I27" s="73"/>
      <c r="J27" s="90"/>
      <c r="K27" s="74"/>
      <c r="L27" s="22"/>
    </row>
    <row r="28" spans="2:12">
      <c r="B28" s="71" t="str">
        <f t="array" ref="B28">IF(COUNTIFS(INDEX(Material_Input,0,MATCH($C$17,Unit_codes,0)),"&gt;0")&lt;ROWS('2.1-Material input'!$J$4:J12),"N/A",INDEX('2.1-Material input'!B:B,SMALL(IF(INDEX(Material_Input,0,MATCH($C$17,Unit_codes,0))&gt;0,ROW(Material_Code)),ROW('2.1-Material input'!B9))))</f>
        <v>N/A</v>
      </c>
      <c r="C28" s="71" t="str">
        <f t="shared" si="0"/>
        <v>N/A</v>
      </c>
      <c r="D28" s="72" t="str">
        <f t="shared" si="1"/>
        <v>N/A</v>
      </c>
      <c r="E28" s="87" t="str">
        <f t="shared" si="2"/>
        <v>N/A</v>
      </c>
      <c r="F28" s="288" t="str">
        <f t="shared" si="3"/>
        <v/>
      </c>
      <c r="H28" s="28"/>
      <c r="I28" s="73"/>
      <c r="J28" s="90"/>
      <c r="K28" s="74"/>
      <c r="L28" s="22"/>
    </row>
    <row r="29" spans="2:12">
      <c r="B29" s="71" t="str">
        <f t="array" ref="B29">IF(COUNTIFS(INDEX(Material_Input,0,MATCH($C$17,Unit_codes,0)),"&gt;0")&lt;ROWS('2.1-Material input'!$J$4:J13),"N/A",INDEX('2.1-Material input'!B:B,SMALL(IF(INDEX(Material_Input,0,MATCH($C$17,Unit_codes,0))&gt;0,ROW(Material_Code)),ROW('2.1-Material input'!B10))))</f>
        <v>N/A</v>
      </c>
      <c r="C29" s="71" t="str">
        <f t="shared" si="0"/>
        <v>N/A</v>
      </c>
      <c r="D29" s="72" t="str">
        <f t="shared" si="1"/>
        <v>N/A</v>
      </c>
      <c r="E29" s="87" t="str">
        <f t="shared" si="2"/>
        <v>N/A</v>
      </c>
      <c r="F29" s="288" t="str">
        <f t="shared" si="3"/>
        <v/>
      </c>
      <c r="H29" s="73"/>
      <c r="I29" s="90"/>
      <c r="J29" s="74"/>
      <c r="K29" s="22"/>
      <c r="L29" s="22"/>
    </row>
    <row r="30" spans="2:12">
      <c r="B30" s="71" t="str">
        <f t="array" ref="B30">IF(COUNTIFS(INDEX(Material_Input,0,MATCH($C$17,Unit_codes,0)),"&gt;0")&lt;ROWS('2.1-Material input'!$J$4:J14),"N/A",INDEX('2.1-Material input'!B:B,SMALL(IF(INDEX(Material_Input,0,MATCH($C$17,Unit_codes,0))&gt;0,ROW(Material_Code)),ROW('2.1-Material input'!B11))))</f>
        <v>N/A</v>
      </c>
      <c r="C30" s="71" t="str">
        <f t="shared" si="0"/>
        <v>N/A</v>
      </c>
      <c r="D30" s="72" t="str">
        <f t="shared" si="1"/>
        <v>N/A</v>
      </c>
      <c r="E30" s="87" t="str">
        <f t="shared" si="2"/>
        <v>N/A</v>
      </c>
      <c r="F30" s="288" t="str">
        <f t="shared" si="3"/>
        <v/>
      </c>
      <c r="H30" s="73"/>
      <c r="I30" s="90"/>
      <c r="J30" s="74"/>
      <c r="K30" s="114"/>
      <c r="L30" s="22"/>
    </row>
    <row r="31" spans="2:12">
      <c r="B31" s="71" t="str">
        <f t="array" ref="B31">IF(COUNTIFS(INDEX(Material_Input,0,MATCH($C$17,Unit_codes,0)),"&gt;0")&lt;ROWS('2.1-Material input'!$J$4:J15),"N/A",INDEX('2.1-Material input'!B:B,SMALL(IF(INDEX(Material_Input,0,MATCH($C$17,Unit_codes,0))&gt;0,ROW(Material_Code)),ROW('2.1-Material input'!B12))))</f>
        <v>N/A</v>
      </c>
      <c r="C31" s="71" t="str">
        <f t="shared" si="0"/>
        <v>N/A</v>
      </c>
      <c r="D31" s="72" t="str">
        <f t="shared" si="1"/>
        <v>N/A</v>
      </c>
      <c r="E31" s="87" t="str">
        <f t="shared" si="2"/>
        <v>N/A</v>
      </c>
      <c r="F31" s="288" t="str">
        <f t="shared" si="3"/>
        <v/>
      </c>
      <c r="H31" s="73"/>
      <c r="I31" s="90"/>
      <c r="J31" s="74"/>
      <c r="K31" s="114"/>
      <c r="L31" s="22"/>
    </row>
    <row r="32" spans="2:12">
      <c r="B32" s="75"/>
      <c r="C32" s="75"/>
      <c r="D32" s="75"/>
      <c r="E32" s="76"/>
      <c r="H32" s="22"/>
      <c r="I32" s="22"/>
      <c r="J32" s="22"/>
      <c r="K32" s="22"/>
      <c r="L32" s="22"/>
    </row>
    <row r="33" spans="2:16">
      <c r="B33" s="902" t="s">
        <v>189</v>
      </c>
      <c r="C33" s="902"/>
      <c r="D33" s="902"/>
      <c r="E33" s="307">
        <f>SUM(F20:F31)</f>
        <v>6.2943361596122989</v>
      </c>
      <c r="F33" s="77"/>
      <c r="I33" s="22"/>
    </row>
    <row r="34" spans="2:16" ht="15" thickBot="1">
      <c r="G34" s="54"/>
    </row>
    <row r="35" spans="2:16" ht="18.5">
      <c r="B35" s="2" t="s">
        <v>144</v>
      </c>
      <c r="C35" s="103"/>
      <c r="D35" s="51"/>
      <c r="E35" s="51"/>
      <c r="F35" s="101" t="s">
        <v>195</v>
      </c>
      <c r="G35" s="836">
        <f>F43</f>
        <v>187.70453698857128</v>
      </c>
      <c r="H35" s="51"/>
      <c r="I35" s="51"/>
      <c r="J35" s="51"/>
      <c r="K35" s="51"/>
      <c r="L35" s="51"/>
      <c r="M35" s="51"/>
      <c r="N35" s="51"/>
      <c r="O35" s="51"/>
      <c r="P35" s="51"/>
    </row>
    <row r="36" spans="2:16" ht="15.5">
      <c r="B36" s="61" t="s">
        <v>529</v>
      </c>
      <c r="C36" s="22"/>
      <c r="D36" s="22"/>
      <c r="E36" s="22"/>
    </row>
    <row r="37" spans="2:16">
      <c r="B37" s="29"/>
      <c r="C37" s="131"/>
      <c r="D37" s="22"/>
      <c r="E37" s="22"/>
      <c r="G37" s="15">
        <v>11892228.032</v>
      </c>
      <c r="H37" s="15" t="s">
        <v>519</v>
      </c>
    </row>
    <row r="38" spans="2:16" ht="15.5">
      <c r="C38" s="91" t="s">
        <v>515</v>
      </c>
      <c r="D38" s="91" t="s">
        <v>76</v>
      </c>
      <c r="E38" s="91" t="s">
        <v>620</v>
      </c>
      <c r="F38" s="91" t="s">
        <v>619</v>
      </c>
      <c r="G38" s="22"/>
      <c r="H38" s="22"/>
      <c r="I38" s="22"/>
    </row>
    <row r="39" spans="2:16">
      <c r="B39" s="98" t="str">
        <f>INDEX(Equipment_Utility_Spec_List,2)</f>
        <v>Water</v>
      </c>
      <c r="C39" s="134">
        <f>SUMPRODUCT($F$110:$F$147,$G$110:$G$147,$M$110:$M$147)</f>
        <v>2.6884330901238234E-3</v>
      </c>
      <c r="D39" s="133" t="s">
        <v>516</v>
      </c>
      <c r="E39" s="288">
        <f>SUMIF($B$110:$B$147,("&lt;&gt;N/A"),$H$110:$H$147)</f>
        <v>5.7110704056242371E-4</v>
      </c>
      <c r="F39" s="288">
        <f>E39*Staff_Days_Operation</f>
        <v>0.20845406980528466</v>
      </c>
      <c r="G39" s="114">
        <f>E43*'2.3-Staff input'!F39</f>
        <v>0</v>
      </c>
      <c r="H39" s="90"/>
      <c r="I39" s="22"/>
    </row>
    <row r="40" spans="2:16">
      <c r="B40" s="98" t="str">
        <f>INDEX(Equipment_Utility_Spec_List,3)</f>
        <v>Electricity</v>
      </c>
      <c r="C40" s="134">
        <f>SUMPRODUCT($F$110:$F$147,$I$110:$I$147,$M$110:$M$147)</f>
        <v>2.7782756750996449</v>
      </c>
      <c r="D40" s="133" t="s">
        <v>518</v>
      </c>
      <c r="E40" s="288">
        <f>SUMIF($B$110:$B$147,("&lt;&gt;N/A"),$J$110:$J$147)</f>
        <v>0.51368789840757811</v>
      </c>
      <c r="F40" s="288">
        <f>E40*Staff_Days_Operation</f>
        <v>187.49608291876601</v>
      </c>
      <c r="G40" s="135"/>
      <c r="H40" s="90"/>
      <c r="I40" s="22"/>
    </row>
    <row r="41" spans="2:16">
      <c r="B41" s="98" t="str">
        <f>INDEX(Equipment_Utility_Spec_List,4)</f>
        <v>Fuel</v>
      </c>
      <c r="C41" s="134">
        <f>SUMPRODUCT($F$110:$F$147,$K$110:$K$147,$M$110:$M$147)</f>
        <v>0</v>
      </c>
      <c r="D41" s="133" t="s">
        <v>517</v>
      </c>
      <c r="E41" s="288">
        <f>SUMIF($B$110:$B$147,("&lt;&gt;N/A"),$L$110:$L$147)</f>
        <v>0</v>
      </c>
      <c r="F41" s="288">
        <f>E41*Staff_Days_Operation</f>
        <v>0</v>
      </c>
      <c r="G41" s="22"/>
      <c r="H41" s="114"/>
      <c r="I41" s="22"/>
    </row>
    <row r="42" spans="2:16">
      <c r="B42" s="8"/>
      <c r="C42" s="115"/>
      <c r="D42" s="22"/>
      <c r="E42" s="132"/>
      <c r="G42" s="22"/>
      <c r="H42" s="114"/>
      <c r="I42" s="22"/>
    </row>
    <row r="43" spans="2:16">
      <c r="B43" s="901" t="s">
        <v>440</v>
      </c>
      <c r="C43" s="901"/>
      <c r="D43" s="901"/>
      <c r="E43" s="288">
        <f>SUM(E39:E41)</f>
        <v>0.51425900544814052</v>
      </c>
      <c r="F43" s="288">
        <f>SUM(F39:F41)</f>
        <v>187.70453698857128</v>
      </c>
    </row>
    <row r="44" spans="2:16" ht="15" thickBot="1">
      <c r="F44" s="54"/>
      <c r="G44" s="54"/>
    </row>
    <row r="45" spans="2:16" ht="28" customHeight="1">
      <c r="B45" s="104" t="s">
        <v>2</v>
      </c>
      <c r="C45" s="105"/>
      <c r="D45" s="79"/>
      <c r="E45" s="79"/>
      <c r="F45" s="141" t="s">
        <v>129</v>
      </c>
      <c r="G45" s="306">
        <f>SUM(G52:G74)</f>
        <v>1911.8807099733615</v>
      </c>
      <c r="H45" s="79"/>
      <c r="I45" s="79"/>
      <c r="J45" s="79"/>
      <c r="K45" s="79"/>
      <c r="L45" s="79"/>
      <c r="M45" s="79"/>
      <c r="N45" s="79"/>
      <c r="O45" s="79"/>
      <c r="P45" s="79"/>
    </row>
    <row r="46" spans="2:16" ht="15.5">
      <c r="B46" s="61" t="s">
        <v>78</v>
      </c>
    </row>
    <row r="47" spans="2:16" ht="15.5">
      <c r="B47" s="61" t="s">
        <v>79</v>
      </c>
    </row>
    <row r="48" spans="2:16">
      <c r="B48" s="98" t="s">
        <v>75</v>
      </c>
      <c r="C48" s="903" t="s">
        <v>66</v>
      </c>
      <c r="D48" s="903"/>
      <c r="J48" s="82"/>
    </row>
    <row r="49" spans="2:9">
      <c r="B49" s="98" t="s">
        <v>76</v>
      </c>
      <c r="C49" s="900" t="s">
        <v>520</v>
      </c>
      <c r="D49" s="900"/>
      <c r="I49" s="83"/>
    </row>
    <row r="51" spans="2:9" ht="15.5">
      <c r="B51" s="91" t="s">
        <v>220</v>
      </c>
      <c r="C51" s="91" t="s">
        <v>4</v>
      </c>
      <c r="D51" s="91" t="s">
        <v>77</v>
      </c>
      <c r="E51" s="92" t="s">
        <v>242</v>
      </c>
      <c r="F51" s="91" t="s">
        <v>119</v>
      </c>
      <c r="G51" s="91" t="s">
        <v>120</v>
      </c>
    </row>
    <row r="52" spans="2:9" ht="14.5" customHeight="1">
      <c r="B52" s="71" t="str">
        <f t="array" ref="B52">IF(COUNTIFS(Position_Category,$C$48,INDEX(Staff_Position_Allocation,0,MATCH($C$49,Unit_codes,0)),"&gt;0")&lt;ROWS('2.3-Staff input'!$I$5:$I5),"N/A",INDEX('2.3-Staff input'!B:B,SMALL(IF((Position_Category=$C$48)+(INDEX(Staff_Position_Allocation,0,MATCH($C$49,Unit_codes,0))&gt;0)=2,ROW(Staff_Position_ID)),ROW('2.3-Staff input'!M1))))</f>
        <v>pos002</v>
      </c>
      <c r="C52" s="71" t="str">
        <f>IF($B52="N/A","N/A",INDEX(Staff_position[],MATCH(B52,Staff_Position_ID,0)))</f>
        <v>Nursery staff</v>
      </c>
      <c r="D52" s="288">
        <f>IF($B52="N/A","N/A",INDEX(Staff_net_salary[],MATCH(B52,Staff_Position_ID,0)))</f>
        <v>2124.3118999704016</v>
      </c>
      <c r="E52" s="85">
        <f t="shared" ref="E52:E74" si="4">IF($B52="N/A","N/A",INDEX(Staff_number_of_employees,MATCH(B52,Staff_Position_ID,0)))</f>
        <v>1</v>
      </c>
      <c r="F52" s="86">
        <f t="shared" ref="F52:F74" si="5">IFERROR(INDEX(Staff_Position_Allocation,MATCH(B52,Staff_Position_ID),MATCH($C$49,Unit_codes,0)),"")</f>
        <v>0.9</v>
      </c>
      <c r="G52" s="288">
        <f>IFERROR(D52*E52*F52,"")</f>
        <v>1911.8807099733615</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input'!M2))))</f>
        <v>N/A</v>
      </c>
      <c r="C53" s="71" t="str">
        <f>IF($B53="N/A","N/A",INDEX(Staff_position[],MATCH(B53,Staff_Position_ID,0)))</f>
        <v>N/A</v>
      </c>
      <c r="D53" s="288" t="str">
        <f>IF($B53="N/A","N/A",INDEX(Staff_net_salary[],MATCH(B53,Staff_Position_ID,0)))</f>
        <v>N/A</v>
      </c>
      <c r="E53" s="85" t="str">
        <f t="shared" si="4"/>
        <v>N/A</v>
      </c>
      <c r="F53" s="86" t="str">
        <f t="shared" si="5"/>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input'!M3))))</f>
        <v>N/A</v>
      </c>
      <c r="C54" s="71" t="str">
        <f>IF($B54="N/A","N/A",INDEX(Staff_position[],MATCH(B54,Staff_Position_ID,0)))</f>
        <v>N/A</v>
      </c>
      <c r="D54" s="288" t="str">
        <f>IF($B54="N/A","N/A",INDEX(Staff_net_salary[],MATCH(B54,Staff_Position_ID,0)))</f>
        <v>N/A</v>
      </c>
      <c r="E54" s="85" t="str">
        <f t="shared" si="4"/>
        <v>N/A</v>
      </c>
      <c r="F54" s="86" t="str">
        <f t="shared" si="5"/>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input'!M4))))</f>
        <v>N/A</v>
      </c>
      <c r="C55" s="71" t="str">
        <f>IF($B55="N/A","N/A",INDEX(Staff_position[],MATCH(B55,Staff_Position_ID,0)))</f>
        <v>N/A</v>
      </c>
      <c r="D55" s="288" t="str">
        <f>IF($B55="N/A","N/A",INDEX(Staff_net_salary[],MATCH(B55,Staff_Position_ID,0)))</f>
        <v>N/A</v>
      </c>
      <c r="E55" s="85" t="str">
        <f t="shared" si="4"/>
        <v>N/A</v>
      </c>
      <c r="F55" s="86" t="str">
        <f t="shared" si="5"/>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input'!M5))))</f>
        <v>N/A</v>
      </c>
      <c r="C56" s="71" t="str">
        <f>IF($B56="N/A","N/A",INDEX(Staff_position[],MATCH(B56,Staff_Position_ID,0)))</f>
        <v>N/A</v>
      </c>
      <c r="D56" s="288" t="str">
        <f>IF($B56="N/A","N/A",INDEX(Staff_net_salary[],MATCH(B56,Staff_Position_ID,0)))</f>
        <v>N/A</v>
      </c>
      <c r="E56" s="85" t="str">
        <f t="shared" si="4"/>
        <v>N/A</v>
      </c>
      <c r="F56" s="86" t="str">
        <f t="shared" si="5"/>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input'!M6))))</f>
        <v>N/A</v>
      </c>
      <c r="C57" s="71" t="str">
        <f>IF($B57="N/A","N/A",INDEX(Staff_position[],MATCH(B57,Staff_Position_ID,0)))</f>
        <v>N/A</v>
      </c>
      <c r="D57" s="288" t="str">
        <f>IF($B57="N/A","N/A",INDEX(Staff_net_salary[],MATCH(B57,Staff_Position_ID,0)))</f>
        <v>N/A</v>
      </c>
      <c r="E57" s="85" t="str">
        <f t="shared" si="4"/>
        <v>N/A</v>
      </c>
      <c r="F57" s="86" t="str">
        <f t="shared" si="5"/>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input'!M7))))</f>
        <v>N/A</v>
      </c>
      <c r="C58" s="71" t="str">
        <f>IF($B58="N/A","N/A",INDEX(Staff_position[],MATCH(B58,Staff_Position_ID,0)))</f>
        <v>N/A</v>
      </c>
      <c r="D58" s="288" t="str">
        <f>IF($B58="N/A","N/A",INDEX(Staff_net_salary[],MATCH(B58,Staff_Position_ID,0)))</f>
        <v>N/A</v>
      </c>
      <c r="E58" s="85" t="str">
        <f t="shared" si="4"/>
        <v>N/A</v>
      </c>
      <c r="F58" s="86" t="str">
        <f t="shared" si="5"/>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input'!M8))))</f>
        <v>N/A</v>
      </c>
      <c r="C59" s="71" t="str">
        <f>IF($B59="N/A","N/A",INDEX(Staff_position[],MATCH(B59,Staff_Position_ID,0)))</f>
        <v>N/A</v>
      </c>
      <c r="D59" s="288" t="str">
        <f>IF($B59="N/A","N/A",INDEX(Staff_net_salary[],MATCH(B59,Staff_Position_ID,0)))</f>
        <v>N/A</v>
      </c>
      <c r="E59" s="85" t="str">
        <f t="shared" si="4"/>
        <v>N/A</v>
      </c>
      <c r="F59" s="86" t="str">
        <f t="shared" si="5"/>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input'!M9))))</f>
        <v>N/A</v>
      </c>
      <c r="C60" s="71" t="str">
        <f>IF($B60="N/A","N/A",INDEX(Staff_position[],MATCH(B60,Staff_Position_ID,0)))</f>
        <v>N/A</v>
      </c>
      <c r="D60" s="288" t="str">
        <f>IF($B60="N/A","N/A",INDEX(Staff_net_salary[],MATCH(B60,Staff_Position_ID,0)))</f>
        <v>N/A</v>
      </c>
      <c r="E60" s="85" t="str">
        <f t="shared" si="4"/>
        <v>N/A</v>
      </c>
      <c r="F60" s="86" t="str">
        <f t="shared" si="5"/>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input'!M10))))</f>
        <v>N/A</v>
      </c>
      <c r="C61" s="71" t="str">
        <f>IF($B61="N/A","N/A",INDEX(Staff_position[],MATCH(B61,Staff_Position_ID,0)))</f>
        <v>N/A</v>
      </c>
      <c r="D61" s="288" t="str">
        <f>IF($B61="N/A","N/A",INDEX(Staff_net_salary[],MATCH(B61,Staff_Position_ID,0)))</f>
        <v>N/A</v>
      </c>
      <c r="E61" s="85" t="str">
        <f t="shared" si="4"/>
        <v>N/A</v>
      </c>
      <c r="F61" s="86" t="str">
        <f t="shared" si="5"/>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input'!M11))))</f>
        <v>N/A</v>
      </c>
      <c r="C62" s="71" t="str">
        <f>IF($B62="N/A","N/A",INDEX(Staff_position[],MATCH(B62,Staff_Position_ID,0)))</f>
        <v>N/A</v>
      </c>
      <c r="D62" s="288" t="str">
        <f>IF($B62="N/A","N/A",INDEX(Staff_net_salary[],MATCH(B62,Staff_Position_ID,0)))</f>
        <v>N/A</v>
      </c>
      <c r="E62" s="85" t="str">
        <f t="shared" si="4"/>
        <v>N/A</v>
      </c>
      <c r="F62" s="86" t="str">
        <f t="shared" si="5"/>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input'!M12))))</f>
        <v>N/A</v>
      </c>
      <c r="C63" s="71" t="str">
        <f>IF($B63="N/A","N/A",INDEX(Staff_position[],MATCH(B63,Staff_Position_ID,0)))</f>
        <v>N/A</v>
      </c>
      <c r="D63" s="288" t="str">
        <f>IF($B63="N/A","N/A",INDEX(Staff_net_salary[],MATCH(B63,Staff_Position_ID,0)))</f>
        <v>N/A</v>
      </c>
      <c r="E63" s="85" t="str">
        <f t="shared" si="4"/>
        <v>N/A</v>
      </c>
      <c r="F63" s="86" t="str">
        <f t="shared" si="5"/>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input'!M13))))</f>
        <v>N/A</v>
      </c>
      <c r="C64" s="71" t="str">
        <f>IF($B64="N/A","N/A",INDEX(Staff_position[],MATCH(B64,Staff_Position_ID,0)))</f>
        <v>N/A</v>
      </c>
      <c r="D64" s="288" t="str">
        <f>IF($B64="N/A","N/A",INDEX(Staff_net_salary[],MATCH(B64,Staff_Position_ID,0)))</f>
        <v>N/A</v>
      </c>
      <c r="E64" s="85" t="str">
        <f t="shared" si="4"/>
        <v>N/A</v>
      </c>
      <c r="F64" s="86" t="str">
        <f t="shared" si="5"/>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input'!M14))))</f>
        <v>N/A</v>
      </c>
      <c r="C65" s="71" t="str">
        <f>IF($B65="N/A","N/A",INDEX(Staff_position[],MATCH(B65,Staff_Position_ID,0)))</f>
        <v>N/A</v>
      </c>
      <c r="D65" s="288" t="str">
        <f>IF($B65="N/A","N/A",INDEX(Staff_net_salary[],MATCH(B65,Staff_Position_ID,0)))</f>
        <v>N/A</v>
      </c>
      <c r="E65" s="85" t="str">
        <f t="shared" si="4"/>
        <v>N/A</v>
      </c>
      <c r="F65" s="86" t="str">
        <f t="shared" si="5"/>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input'!M15))))</f>
        <v>N/A</v>
      </c>
      <c r="C66" s="71" t="str">
        <f>IF($B66="N/A","N/A",INDEX(Staff_position[],MATCH(B66,Staff_Position_ID,0)))</f>
        <v>N/A</v>
      </c>
      <c r="D66" s="288" t="str">
        <f>IF($B66="N/A","N/A",INDEX(Staff_net_salary[],MATCH(B66,Staff_Position_ID,0)))</f>
        <v>N/A</v>
      </c>
      <c r="E66" s="85" t="str">
        <f t="shared" si="4"/>
        <v>N/A</v>
      </c>
      <c r="F66" s="86" t="str">
        <f t="shared" si="5"/>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input'!M16))))</f>
        <v>N/A</v>
      </c>
      <c r="C67" s="71" t="str">
        <f>IF($B67="N/A","N/A",INDEX(Staff_position[],MATCH(B67,Staff_Position_ID,0)))</f>
        <v>N/A</v>
      </c>
      <c r="D67" s="288" t="str">
        <f>IF($B67="N/A","N/A",INDEX(Staff_net_salary[],MATCH(B67,Staff_Position_ID,0)))</f>
        <v>N/A</v>
      </c>
      <c r="E67" s="85" t="str">
        <f t="shared" si="4"/>
        <v>N/A</v>
      </c>
      <c r="F67" s="86" t="str">
        <f t="shared" si="5"/>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input'!M17))))</f>
        <v>N/A</v>
      </c>
      <c r="C68" s="71" t="str">
        <f>IF($B68="N/A","N/A",INDEX(Staff_position[],MATCH(B68,Staff_Position_ID,0)))</f>
        <v>N/A</v>
      </c>
      <c r="D68" s="288" t="str">
        <f>IF($B68="N/A","N/A",INDEX(Staff_net_salary[],MATCH(B68,Staff_Position_ID,0)))</f>
        <v>N/A</v>
      </c>
      <c r="E68" s="85" t="str">
        <f t="shared" si="4"/>
        <v>N/A</v>
      </c>
      <c r="F68" s="86" t="str">
        <f t="shared" si="5"/>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input'!M18))))</f>
        <v>N/A</v>
      </c>
      <c r="C69" s="71" t="str">
        <f>IF($B69="N/A","N/A",INDEX(Staff_position[],MATCH(B69,Staff_Position_ID,0)))</f>
        <v>N/A</v>
      </c>
      <c r="D69" s="288" t="str">
        <f>IF($B69="N/A","N/A",INDEX(Staff_net_salary[],MATCH(B69,Staff_Position_ID,0)))</f>
        <v>N/A</v>
      </c>
      <c r="E69" s="85" t="str">
        <f t="shared" si="4"/>
        <v>N/A</v>
      </c>
      <c r="F69" s="86" t="str">
        <f t="shared" si="5"/>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input'!M19))))</f>
        <v>N/A</v>
      </c>
      <c r="C70" s="71" t="str">
        <f>IF($B70="N/A","N/A",INDEX(Staff_position[],MATCH(B70,Staff_Position_ID,0)))</f>
        <v>N/A</v>
      </c>
      <c r="D70" s="288" t="str">
        <f>IF($B70="N/A","N/A",INDEX(Staff_net_salary[],MATCH(B70,Staff_Position_ID,0)))</f>
        <v>N/A</v>
      </c>
      <c r="E70" s="85" t="str">
        <f t="shared" si="4"/>
        <v>N/A</v>
      </c>
      <c r="F70" s="86" t="str">
        <f t="shared" si="5"/>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input'!M20))))</f>
        <v>N/A</v>
      </c>
      <c r="C71" s="71" t="str">
        <f>IF($B71="N/A","N/A",INDEX(Staff_position[],MATCH(B71,Staff_Position_ID,0)))</f>
        <v>N/A</v>
      </c>
      <c r="D71" s="288" t="str">
        <f>IF($B71="N/A","N/A",INDEX(Staff_net_salary[],MATCH(B71,Staff_Position_ID,0)))</f>
        <v>N/A</v>
      </c>
      <c r="E71" s="85" t="str">
        <f t="shared" si="4"/>
        <v>N/A</v>
      </c>
      <c r="F71" s="86" t="str">
        <f t="shared" si="5"/>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input'!M21))))</f>
        <v>N/A</v>
      </c>
      <c r="C72" s="71" t="str">
        <f>IF($B72="N/A","N/A",INDEX(Staff_position[],MATCH(B72,Staff_Position_ID,0)))</f>
        <v>N/A</v>
      </c>
      <c r="D72" s="288" t="str">
        <f>IF($B72="N/A","N/A",INDEX(Staff_net_salary[],MATCH(B72,Staff_Position_ID,0)))</f>
        <v>N/A</v>
      </c>
      <c r="E72" s="85" t="str">
        <f t="shared" si="4"/>
        <v>N/A</v>
      </c>
      <c r="F72" s="86" t="str">
        <f t="shared" si="5"/>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input'!M22))))</f>
        <v>N/A</v>
      </c>
      <c r="C73" s="71" t="str">
        <f>IF($B73="N/A","N/A",INDEX(Staff_position[],MATCH(B73,Staff_Position_ID,0)))</f>
        <v>N/A</v>
      </c>
      <c r="D73" s="288" t="str">
        <f>IF($B73="N/A","N/A",INDEX(Staff_net_salary[],MATCH(B73,Staff_Position_ID,0)))</f>
        <v>N/A</v>
      </c>
      <c r="E73" s="85" t="str">
        <f t="shared" si="4"/>
        <v>N/A</v>
      </c>
      <c r="F73" s="86" t="str">
        <f t="shared" si="5"/>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input'!M23))))</f>
        <v>N/A</v>
      </c>
      <c r="C74" s="71" t="str">
        <f>IF($B74="N/A","N/A",INDEX(Staff_position[],MATCH(B74,Staff_Position_ID,0)))</f>
        <v>N/A</v>
      </c>
      <c r="D74" s="288" t="str">
        <f>IF($B74="N/A","N/A",INDEX(Staff_net_salary[],MATCH(B74,Staff_Position_ID,0)))</f>
        <v>N/A</v>
      </c>
      <c r="E74" s="85" t="str">
        <f t="shared" si="4"/>
        <v>N/A</v>
      </c>
      <c r="F74" s="86" t="str">
        <f t="shared" si="5"/>
        <v/>
      </c>
      <c r="G74" s="288" t="str">
        <f t="shared" si="6"/>
        <v/>
      </c>
    </row>
    <row r="75" spans="2:16" ht="15" thickBot="1">
      <c r="F75" s="143"/>
      <c r="G75" s="143"/>
    </row>
    <row r="76" spans="2:16" ht="30">
      <c r="B76" s="104" t="s">
        <v>81</v>
      </c>
      <c r="C76" s="105"/>
      <c r="D76" s="79"/>
      <c r="E76" s="79"/>
      <c r="F76" s="146" t="s">
        <v>121</v>
      </c>
      <c r="G76" s="306">
        <f>SUM(G83:G103)</f>
        <v>0</v>
      </c>
      <c r="H76" s="79"/>
      <c r="I76" s="79"/>
      <c r="J76" s="79"/>
      <c r="K76" s="79"/>
      <c r="L76" s="79"/>
      <c r="M76" s="79"/>
      <c r="N76" s="79"/>
      <c r="O76" s="79"/>
      <c r="P76" s="79"/>
    </row>
    <row r="77" spans="2:16" ht="15.5">
      <c r="B77" s="61" t="s">
        <v>78</v>
      </c>
    </row>
    <row r="78" spans="2:16" ht="15.5">
      <c r="B78" s="61" t="s">
        <v>79</v>
      </c>
    </row>
    <row r="79" spans="2:16">
      <c r="B79" s="98" t="s">
        <v>75</v>
      </c>
      <c r="C79" s="903" t="s">
        <v>67</v>
      </c>
      <c r="D79" s="903"/>
    </row>
    <row r="80" spans="2:16">
      <c r="B80" s="98" t="s">
        <v>76</v>
      </c>
      <c r="C80" s="903" t="s">
        <v>520</v>
      </c>
      <c r="D80" s="903"/>
    </row>
    <row r="82" spans="2:7" ht="15.5">
      <c r="B82" s="91" t="s">
        <v>220</v>
      </c>
      <c r="C82" s="91" t="s">
        <v>4</v>
      </c>
      <c r="D82" s="91" t="s">
        <v>77</v>
      </c>
      <c r="E82" s="92" t="s">
        <v>242</v>
      </c>
      <c r="F82" s="91" t="s">
        <v>119</v>
      </c>
      <c r="G82" s="91"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pos004</v>
      </c>
      <c r="C83" s="71" t="str">
        <f>IF($B83="N/A","N/A",INDEX(Staff_position[],MATCH(B83,Staff_Position_ID,0)))</f>
        <v>Nursery manager</v>
      </c>
      <c r="D83" s="288">
        <f>IF($B83="N/A","N/A",INDEX(Staff_net_salary[],MATCH(B83,Staff_Position_ID,0)))</f>
        <v>3398.8990399526419</v>
      </c>
      <c r="E83" s="85">
        <f t="shared" ref="E83:E103" si="7">IF($B83="N/A","N/A",INDEX(Staff_number_of_employees,MATCH(B83,Staff_Position_ID,0)))</f>
        <v>0</v>
      </c>
      <c r="F83" s="86">
        <f t="shared" ref="F83:F103" si="8">IFERROR(INDEX(Staff_Position_Allocation,MATCH(B83,Staff_Position_ID),MATCH($C$49,Unit_codes,0)),"")</f>
        <v>0.5</v>
      </c>
      <c r="G83" s="288">
        <f>IFERROR(D83*E83*F83,"")</f>
        <v>0</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1" t="str">
        <f>IF($B84="N/A","N/A",INDEX(Staff_position[],MATCH(B84,Staff_Position_ID,0)))</f>
        <v>Site manager</v>
      </c>
      <c r="D84" s="288">
        <f>IF($B84="N/A","N/A",INDEX(Staff_net_salary[],MATCH(B84,Staff_Position_ID,0)))</f>
        <v>5098.3485599289634</v>
      </c>
      <c r="E84" s="85">
        <f t="shared" si="7"/>
        <v>0</v>
      </c>
      <c r="F84" s="86">
        <f t="shared" si="8"/>
        <v>0.13</v>
      </c>
      <c r="G84" s="288">
        <f t="shared" ref="G84:G103" si="9">IFERROR(D84*E84*F84,"")</f>
        <v>0</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21">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21">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21">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21">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21">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21">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21">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21" ht="15" thickBot="1">
      <c r="E104" s="143"/>
      <c r="F104" s="143"/>
      <c r="G104" s="143"/>
    </row>
    <row r="105" spans="2:21" ht="29">
      <c r="B105" s="2" t="s">
        <v>1</v>
      </c>
      <c r="C105" s="103"/>
      <c r="D105" s="51"/>
      <c r="F105" s="142" t="s">
        <v>151</v>
      </c>
      <c r="G105" s="306">
        <f>SUMIF(B110:B147,("&lt;&gt;N/A"),N110:N147)</f>
        <v>543.94186372019885</v>
      </c>
      <c r="H105" s="51"/>
      <c r="I105" s="51"/>
      <c r="J105" s="51"/>
      <c r="K105" s="51"/>
      <c r="L105" s="51"/>
      <c r="M105" s="51"/>
      <c r="N105" s="51"/>
      <c r="O105" s="51"/>
      <c r="P105" s="51"/>
    </row>
    <row r="106" spans="2:21" ht="15.5">
      <c r="B106" s="61" t="s">
        <v>80</v>
      </c>
      <c r="I106" s="138"/>
      <c r="J106" s="139"/>
      <c r="N106" s="82"/>
    </row>
    <row r="107" spans="2:21">
      <c r="B107" s="98" t="s">
        <v>76</v>
      </c>
      <c r="C107" s="80" t="s">
        <v>520</v>
      </c>
    </row>
    <row r="109" spans="2:21" ht="46.5">
      <c r="B109" s="91" t="s">
        <v>82</v>
      </c>
      <c r="C109" s="91" t="s">
        <v>51</v>
      </c>
      <c r="D109" s="93" t="s">
        <v>150</v>
      </c>
      <c r="E109" s="91" t="s">
        <v>48</v>
      </c>
      <c r="F109" s="93" t="s">
        <v>502</v>
      </c>
      <c r="G109" s="93" t="s">
        <v>439</v>
      </c>
      <c r="H109" s="93" t="s">
        <v>503</v>
      </c>
      <c r="I109" s="93" t="s">
        <v>507</v>
      </c>
      <c r="J109" s="93" t="s">
        <v>504</v>
      </c>
      <c r="K109" s="93" t="s">
        <v>506</v>
      </c>
      <c r="L109" s="93" t="s">
        <v>505</v>
      </c>
      <c r="M109" s="93" t="s">
        <v>532</v>
      </c>
      <c r="N109" s="93" t="s">
        <v>152</v>
      </c>
      <c r="O109" s="93" t="s">
        <v>685</v>
      </c>
      <c r="S109" s="15" t="s">
        <v>428</v>
      </c>
    </row>
    <row r="110" spans="2:21">
      <c r="B110" s="70" t="str">
        <f t="array" ref="B110">IF(COUNTIFS(INDEX(Equipment_Allocation_New,0,MATCH($C$107,Unit_codes,0)),"&gt;0")&lt;ROWS('2.2-Equipment input'!$X$8:X8),"N/A",INDEX('2.2-Equipment input'!B:B,SMALL(IF(INDEX(Equipment_Allocation_New,0,MATCH($C$107,Unit_codes,0))&gt;0,ROW(equipment_ID)),ROW('2.2-Equipment input'!B1))))</f>
        <v>eq0008</v>
      </c>
      <c r="C110" s="70" t="str">
        <f>IF($B110="N/A","N/A",INDEX(Equipment_name[],MATCH(B110,equipment_ID,0)))</f>
        <v>High pressure cleaner</v>
      </c>
      <c r="D110" s="288">
        <f t="shared" ref="D110:D147" si="10">IF($B110="N/A","N/A",INDEX(Equipment_Depreciation,MATCH(B110,equipment_ID,0)))</f>
        <v>212.43118999704015</v>
      </c>
      <c r="E110" s="88">
        <f t="shared" ref="E110:E147" si="11">IF($B110="N/A","N/A",INDEX(Equipment_Quantity_New,MATCH(B110,equipment_ID,0)))</f>
        <v>1</v>
      </c>
      <c r="F110" s="130">
        <f>IF($B110="N/A","",IF(INDEX(Equipment_Utility_Decision,MATCH($B110,equipment_ID,0))='4.2-Settings Internal'!$B$30,INDEX(Equipment_Utility_Run,MATCH($B110,equipment_ID,0)),""))</f>
        <v>4.8205721537095632E-2</v>
      </c>
      <c r="G110" s="130">
        <f>IF($B110="N/A","",IF(INDEX(Equipment_Utility_Decision,MATCH($B110,equipment_ID,0))='4.2-Settings Internal'!$B$30,INDEX(Equipment_Utility_Water,MATCH($B110,equipment_ID,0)),""))</f>
        <v>0.42899999999999999</v>
      </c>
      <c r="H110" s="288">
        <f t="shared" ref="H110:H147" si="12">IFERROR($E110*$F110*G110*$M110*General_Water_Price,"")</f>
        <v>5.7110704056242371E-4</v>
      </c>
      <c r="I110" s="130">
        <f>IF($B110="N/A","",IF(INDEX(Equipment_Utility_Decision,MATCH($B110,equipment_ID,0))='4.2-Settings Internal'!$B$30,INDEX(Equipment_Utility_Electricity,MATCH($B110,equipment_ID,0)),""))</f>
        <v>2</v>
      </c>
      <c r="J110" s="288">
        <f t="shared" ref="J110:J147" si="13">IFERROR($E110*$F110*I110*$M110*General_Electricity_Price,"")</f>
        <v>1.3312518428028523E-3</v>
      </c>
      <c r="K110" s="130">
        <f>IF($B110="N/A","",IF(INDEX(Equipment_Utility_Decision,MATCH($B110,equipment_ID,0))=INDEX(Yes_No_Choice[],1),INDEX(Equipment_Utility_Fuel,MATCH($B110,equipment_ID,0)),""))</f>
        <v>0</v>
      </c>
      <c r="L110" s="288" t="str">
        <f t="shared" ref="L110:L147" si="14">IFERROR($E110*$F110*$K110*$M110*INDEX(General_Utilities,MATCH(INDEX(Equipment_Utility_Fuel_Selection,MATCH($B110,equipment_ID,0)),General_Utilities_Type,0),4),"")</f>
        <v/>
      </c>
      <c r="M110" s="89">
        <f t="shared" ref="M110:M147" si="15">IFERROR(INDEX(Equipment_Allocation_New,MATCH(B110,equipment_ID,0),MATCH($C$107,Unit_codes,0)),"")</f>
        <v>0.13</v>
      </c>
      <c r="N110" s="288">
        <f>IFERROR($D110*E110*M110,"")</f>
        <v>27.616054699615219</v>
      </c>
      <c r="O110" s="130">
        <f t="shared" ref="O110:O147" si="16">IF($B110="N/A","",IF(INDEX(Equipment_Space_Selection,MATCH(B110,equipment_ID,0))="Yes",INDEX(Equipment_Space_Footprint,MATCH(B110,equipment_ID,0))*INDEX(Equipment_Quantity_New,MATCH(B110,equipment_ID,0))*M110,""))</f>
        <v>3.2500000000000001E-2</v>
      </c>
      <c r="S110" s="15" t="s">
        <v>409</v>
      </c>
      <c r="T110" s="15" t="s">
        <v>427</v>
      </c>
      <c r="U110" s="15" t="s">
        <v>426</v>
      </c>
    </row>
    <row r="111" spans="2:21">
      <c r="B111" s="70" t="str">
        <f t="array" ref="B111">IF(COUNTIFS(INDEX(Equipment_Allocation_New,0,MATCH($C$107,Unit_codes,0)),"&gt;0")&lt;ROWS('2.2-Equipment input'!$X$8:X9),"N/A",INDEX('2.2-Equipment input'!B:B,SMALL(IF(INDEX(Equipment_Allocation_New,0,MATCH($C$107,Unit_codes,0))&gt;0,ROW(equipment_ID)),ROW('2.2-Equipment input'!B2))))</f>
        <v>eq0013</v>
      </c>
      <c r="C111" s="70" t="str">
        <f>IF($B111="N/A","N/A",INDEX(Equipment_name[],MATCH(B111,equipment_ID,0)))</f>
        <v xml:space="preserve">Pupation crates </v>
      </c>
      <c r="D111" s="288">
        <f t="shared" si="10"/>
        <v>0.99134555331952057</v>
      </c>
      <c r="E111" s="88">
        <f t="shared" si="11"/>
        <v>8</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89">
        <f t="shared" si="15"/>
        <v>1</v>
      </c>
      <c r="N111" s="288">
        <f t="shared" ref="N111:N147" si="17">IFERROR($D111*E111*M111,"")</f>
        <v>7.9307644265561645</v>
      </c>
      <c r="O111" s="130" t="str">
        <f t="shared" si="16"/>
        <v/>
      </c>
      <c r="U111" s="15" t="s">
        <v>425</v>
      </c>
    </row>
    <row r="112" spans="2:21">
      <c r="B112" s="70" t="str">
        <f t="array" ref="B112">IF(COUNTIFS(INDEX(Equipment_Allocation_New,0,MATCH($C$107,Unit_codes,0)),"&gt;0")&lt;ROWS('2.2-Equipment input'!$X$8:X10),"N/A",INDEX('2.2-Equipment input'!B:B,SMALL(IF(INDEX(Equipment_Allocation_New,0,MATCH($C$107,Unit_codes,0))&gt;0,ROW(equipment_ID)),ROW('2.2-Equipment input'!B3))))</f>
        <v>eq0014</v>
      </c>
      <c r="C112" s="70" t="str">
        <f>IF($B112="N/A","N/A",INDEX(Equipment_name[],MATCH(B112,equipment_ID,0)))</f>
        <v>Pupation cage (Dark cage)</v>
      </c>
      <c r="D112" s="288">
        <f t="shared" si="10"/>
        <v>70.810396665680045</v>
      </c>
      <c r="E112" s="88">
        <f t="shared" si="11"/>
        <v>2</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89">
        <f t="shared" si="15"/>
        <v>1</v>
      </c>
      <c r="N112" s="288">
        <f t="shared" si="17"/>
        <v>141.62079333136009</v>
      </c>
      <c r="O112" s="130" t="str">
        <f t="shared" si="16"/>
        <v/>
      </c>
      <c r="U112" s="15" t="s">
        <v>424</v>
      </c>
    </row>
    <row r="113" spans="2:30">
      <c r="B113" s="70" t="str">
        <f t="array" ref="B113">IF(COUNTIFS(INDEX(Equipment_Allocation_New,0,MATCH($C$107,Unit_codes,0)),"&gt;0")&lt;ROWS('2.2-Equipment input'!$X$8:X11),"N/A",INDEX('2.2-Equipment input'!B:B,SMALL(IF(INDEX(Equipment_Allocation_New,0,MATCH($C$107,Unit_codes,0))&gt;0,ROW(equipment_ID)),ROW('2.2-Equipment input'!B4))))</f>
        <v>eq0015</v>
      </c>
      <c r="C113" s="70" t="str">
        <f>IF($B113="N/A","N/A",INDEX(Equipment_name[],MATCH(B113,equipment_ID,0)))</f>
        <v>Pupation cage frame</v>
      </c>
      <c r="D113" s="288">
        <f t="shared" si="10"/>
        <v>28.32415866627202</v>
      </c>
      <c r="E113" s="88">
        <f t="shared" si="11"/>
        <v>2</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89">
        <f t="shared" si="15"/>
        <v>1</v>
      </c>
      <c r="N113" s="288">
        <f t="shared" si="17"/>
        <v>56.648317332544039</v>
      </c>
      <c r="O113" s="130">
        <f t="shared" si="16"/>
        <v>2.1749999999999998</v>
      </c>
      <c r="T113" s="15" t="s">
        <v>423</v>
      </c>
      <c r="U113" s="15" t="s">
        <v>422</v>
      </c>
      <c r="V113" s="15" t="s">
        <v>421</v>
      </c>
    </row>
    <row r="114" spans="2:30">
      <c r="B114" s="70" t="str">
        <f t="array" ref="B114">IF(COUNTIFS(INDEX(Equipment_Allocation_New,0,MATCH($C$107,Unit_codes,0)),"&gt;0")&lt;ROWS('2.2-Equipment input'!$X$8:X12),"N/A",INDEX('2.2-Equipment input'!B:B,SMALL(IF(INDEX(Equipment_Allocation_New,0,MATCH($C$107,Unit_codes,0))&gt;0,ROW(equipment_ID)),ROW('2.2-Equipment input'!B5))))</f>
        <v>eq0016</v>
      </c>
      <c r="C114" s="70" t="str">
        <f>IF($B114="N/A","N/A",INDEX(Equipment_name[],MATCH(B114,equipment_ID,0)))</f>
        <v>Oviposition cage (Love cage)</v>
      </c>
      <c r="D114" s="288">
        <f t="shared" si="10"/>
        <v>24.783638832988014</v>
      </c>
      <c r="E114" s="88">
        <f t="shared" si="11"/>
        <v>3</v>
      </c>
      <c r="F114" s="130" t="str">
        <f>IF($B114="N/A","",IF(INDEX(Equipment_Utility_Decision,MATCH($B114,equipment_ID,0))='4.2-Settings Internal'!$B$30,INDEX(Equipment_Utility_Run,MATCH($B114,equipment_ID,0)),""))</f>
        <v/>
      </c>
      <c r="G114" s="130" t="str">
        <f>IF($B114="N/A","",IF(INDEX(Equipment_Utility_Decision,MATCH($B114,equipment_ID,0))='4.2-Settings Internal'!$B$30,INDEX(Equipment_Utility_Water,MATCH($B114,equipment_ID,0)),""))</f>
        <v/>
      </c>
      <c r="H114" s="288" t="str">
        <f t="shared" si="12"/>
        <v/>
      </c>
      <c r="I114" s="130" t="str">
        <f>IF($B114="N/A","",IF(INDEX(Equipment_Utility_Decision,MATCH($B114,equipment_ID,0))='4.2-Settings Internal'!$B$30,INDEX(Equipment_Utility_Electricity,MATCH($B114,equipment_ID,0)),""))</f>
        <v/>
      </c>
      <c r="J114" s="288" t="str">
        <f t="shared" si="13"/>
        <v/>
      </c>
      <c r="K114" s="130" t="str">
        <f>IF($B114="N/A","",IF(INDEX(Equipment_Utility_Decision,MATCH($B114,equipment_ID,0))=INDEX(Yes_No_Choice[],1),INDEX(Equipment_Utility_Fuel,MATCH($B114,equipment_ID,0)),""))</f>
        <v/>
      </c>
      <c r="L114" s="288" t="str">
        <f t="shared" si="14"/>
        <v/>
      </c>
      <c r="M114" s="89">
        <f t="shared" si="15"/>
        <v>1</v>
      </c>
      <c r="N114" s="288">
        <f t="shared" si="17"/>
        <v>74.35091649896404</v>
      </c>
      <c r="O114" s="130">
        <f t="shared" si="16"/>
        <v>1.4699999999999998</v>
      </c>
      <c r="T114" s="15" t="s">
        <v>420</v>
      </c>
      <c r="U114" s="15" t="s">
        <v>419</v>
      </c>
    </row>
    <row r="115" spans="2:30">
      <c r="B115" s="70" t="str">
        <f t="array" ref="B115">IF(COUNTIFS(INDEX(Equipment_Allocation_New,0,MATCH($C$107,Unit_codes,0)),"&gt;0")&lt;ROWS('2.2-Equipment input'!$X$8:X13),"N/A",INDEX('2.2-Equipment input'!B:B,SMALL(IF(INDEX(Equipment_Allocation_New,0,MATCH($C$107,Unit_codes,0))&gt;0,ROW(equipment_ID)),ROW('2.2-Equipment input'!B6))))</f>
        <v>eq0017</v>
      </c>
      <c r="C115" s="70" t="str">
        <f>IF($B115="N/A","N/A",INDEX(Equipment_name[],MATCH(B115,equipment_ID,0)))</f>
        <v>Attractant container</v>
      </c>
      <c r="D115" s="288">
        <f t="shared" si="10"/>
        <v>4.7206931110453369E-2</v>
      </c>
      <c r="E115" s="88">
        <f t="shared" si="11"/>
        <v>3</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12"/>
        <v/>
      </c>
      <c r="I115" s="130" t="str">
        <f>IF($B115="N/A","",IF(INDEX(Equipment_Utility_Decision,MATCH($B115,equipment_ID,0))='4.2-Settings Internal'!$B$30,INDEX(Equipment_Utility_Electricity,MATCH($B115,equipment_ID,0)),""))</f>
        <v/>
      </c>
      <c r="J115" s="288" t="str">
        <f t="shared" si="13"/>
        <v/>
      </c>
      <c r="K115" s="130" t="str">
        <f>IF($B115="N/A","",IF(INDEX(Equipment_Utility_Decision,MATCH($B115,equipment_ID,0))=INDEX(Yes_No_Choice[],1),INDEX(Equipment_Utility_Fuel,MATCH($B115,equipment_ID,0)),""))</f>
        <v/>
      </c>
      <c r="L115" s="288" t="str">
        <f t="shared" si="14"/>
        <v/>
      </c>
      <c r="M115" s="89">
        <f t="shared" si="15"/>
        <v>1</v>
      </c>
      <c r="N115" s="288">
        <f t="shared" si="17"/>
        <v>0.1416207933313601</v>
      </c>
      <c r="O115" s="130" t="str">
        <f t="shared" si="16"/>
        <v/>
      </c>
      <c r="U115" s="15" t="s">
        <v>418</v>
      </c>
    </row>
    <row r="116" spans="2:30">
      <c r="B116" s="70" t="str">
        <f t="array" ref="B116">IF(COUNTIFS(INDEX(Equipment_Allocation_New,0,MATCH($C$107,Unit_codes,0)),"&gt;0")&lt;ROWS('2.2-Equipment input'!$X$8:X14),"N/A",INDEX('2.2-Equipment input'!B:B,SMALL(IF(INDEX(Equipment_Allocation_New,0,MATCH($C$107,Unit_codes,0))&gt;0,ROW(equipment_ID)),ROW('2.2-Equipment input'!B7))))</f>
        <v>eq0018</v>
      </c>
      <c r="C116" s="70" t="str">
        <f>IF($B116="N/A","N/A",INDEX(Equipment_name[],MATCH(B116,equipment_ID,0)))</f>
        <v>Shade box</v>
      </c>
      <c r="D116" s="288">
        <f t="shared" si="10"/>
        <v>0.59008663888066704</v>
      </c>
      <c r="E116" s="88">
        <f t="shared" si="11"/>
        <v>3</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12"/>
        <v/>
      </c>
      <c r="I116" s="130" t="str">
        <f>IF($B116="N/A","",IF(INDEX(Equipment_Utility_Decision,MATCH($B116,equipment_ID,0))='4.2-Settings Internal'!$B$30,INDEX(Equipment_Utility_Electricity,MATCH($B116,equipment_ID,0)),""))</f>
        <v/>
      </c>
      <c r="J116" s="288" t="str">
        <f t="shared" si="13"/>
        <v/>
      </c>
      <c r="K116" s="130" t="str">
        <f>IF($B116="N/A","",IF(INDEX(Equipment_Utility_Decision,MATCH($B116,equipment_ID,0))=INDEX(Yes_No_Choice[],1),INDEX(Equipment_Utility_Fuel,MATCH($B116,equipment_ID,0)),""))</f>
        <v/>
      </c>
      <c r="L116" s="288" t="str">
        <f t="shared" si="14"/>
        <v/>
      </c>
      <c r="M116" s="89">
        <f t="shared" si="15"/>
        <v>1</v>
      </c>
      <c r="N116" s="288">
        <f t="shared" si="17"/>
        <v>1.7702599166420012</v>
      </c>
      <c r="O116" s="130" t="str">
        <f t="shared" si="16"/>
        <v/>
      </c>
      <c r="U116" s="15" t="s">
        <v>417</v>
      </c>
      <c r="V116" s="15" t="s">
        <v>416</v>
      </c>
    </row>
    <row r="117" spans="2:30">
      <c r="B117" s="70" t="str">
        <f t="array" ref="B117">IF(COUNTIFS(INDEX(Equipment_Allocation_New,0,MATCH($C$107,Unit_codes,0)),"&gt;0")&lt;ROWS('2.2-Equipment input'!$X$8:X15),"N/A",INDEX('2.2-Equipment input'!B:B,SMALL(IF(INDEX(Equipment_Allocation_New,0,MATCH($C$107,Unit_codes,0))&gt;0,ROW(equipment_ID)),ROW('2.2-Equipment input'!B8))))</f>
        <v>eq0019</v>
      </c>
      <c r="C117" s="70" t="str">
        <f>IF($B117="N/A","N/A",INDEX(Equipment_name[],MATCH(B117,equipment_ID,0)))</f>
        <v>Mobile fly harvester with attracting light</v>
      </c>
      <c r="D117" s="288">
        <f t="shared" si="10"/>
        <v>12.745871399822409</v>
      </c>
      <c r="E117" s="88">
        <f t="shared" si="11"/>
        <v>1</v>
      </c>
      <c r="F117" s="130">
        <f>IF($B117="N/A","",IF(INDEX(Equipment_Utility_Decision,MATCH($B117,equipment_ID,0))='4.2-Settings Internal'!$B$30,INDEX(Equipment_Utility_Run,MATCH($B117,equipment_ID,0)),""))</f>
        <v>2</v>
      </c>
      <c r="G117" s="130">
        <f>IF($B117="N/A","",IF(INDEX(Equipment_Utility_Decision,MATCH($B117,equipment_ID,0))='4.2-Settings Internal'!$B$30,INDEX(Equipment_Utility_Water,MATCH($B117,equipment_ID,0)),""))</f>
        <v>0</v>
      </c>
      <c r="H117" s="288">
        <f t="shared" si="12"/>
        <v>0</v>
      </c>
      <c r="I117" s="130">
        <f>IF($B117="N/A","",IF(INDEX(Equipment_Utility_Decision,MATCH($B117,equipment_ID,0))='4.2-Settings Internal'!$B$30,INDEX(Equipment_Utility_Electricity,MATCH($B117,equipment_ID,0)),""))</f>
        <v>0.5</v>
      </c>
      <c r="J117" s="288">
        <f t="shared" si="13"/>
        <v>0.10621559499852007</v>
      </c>
      <c r="K117" s="130">
        <f>IF($B117="N/A","",IF(INDEX(Equipment_Utility_Decision,MATCH($B117,equipment_ID,0))=INDEX(Yes_No_Choice[],1),INDEX(Equipment_Utility_Fuel,MATCH($B117,equipment_ID,0)),""))</f>
        <v>0</v>
      </c>
      <c r="L117" s="288" t="str">
        <f t="shared" si="14"/>
        <v/>
      </c>
      <c r="M117" s="89">
        <f t="shared" si="15"/>
        <v>1</v>
      </c>
      <c r="N117" s="288">
        <f t="shared" si="17"/>
        <v>12.745871399822409</v>
      </c>
      <c r="O117" s="130">
        <f t="shared" si="16"/>
        <v>0.5625</v>
      </c>
      <c r="V117" s="15" t="s">
        <v>410</v>
      </c>
      <c r="W117" s="15" t="s">
        <v>415</v>
      </c>
    </row>
    <row r="118" spans="2:30">
      <c r="B118" s="70" t="str">
        <f t="array" ref="B118">IF(COUNTIFS(INDEX(Equipment_Allocation_New,0,MATCH($C$107,Unit_codes,0)),"&gt;0")&lt;ROWS('2.2-Equipment input'!$X$8:X16),"N/A",INDEX('2.2-Equipment input'!B:B,SMALL(IF(INDEX(Equipment_Allocation_New,0,MATCH($C$107,Unit_codes,0))&gt;0,ROW(equipment_ID)),ROW('2.2-Equipment input'!B9))))</f>
        <v>eq0020</v>
      </c>
      <c r="C118" s="70" t="str">
        <f>IF($B118="N/A","N/A",INDEX(Equipment_name[],MATCH(B118,equipment_ID,0)))</f>
        <v>Oviposition cage frame</v>
      </c>
      <c r="D118" s="288">
        <f t="shared" si="10"/>
        <v>28.32415866627202</v>
      </c>
      <c r="E118" s="88">
        <f t="shared" si="11"/>
        <v>1</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2"/>
        <v/>
      </c>
      <c r="I118" s="130" t="str">
        <f>IF($B118="N/A","",IF(INDEX(Equipment_Utility_Decision,MATCH($B118,equipment_ID,0))='4.2-Settings Internal'!$B$30,INDEX(Equipment_Utility_Electricity,MATCH($B118,equipment_ID,0)),""))</f>
        <v/>
      </c>
      <c r="J118" s="288" t="str">
        <f t="shared" si="13"/>
        <v/>
      </c>
      <c r="K118" s="130" t="str">
        <f>IF($B118="N/A","",IF(INDEX(Equipment_Utility_Decision,MATCH($B118,equipment_ID,0))=INDEX(Yes_No_Choice[],1),INDEX(Equipment_Utility_Fuel,MATCH($B118,equipment_ID,0)),""))</f>
        <v/>
      </c>
      <c r="L118" s="288" t="str">
        <f t="shared" si="14"/>
        <v/>
      </c>
      <c r="M118" s="89">
        <f t="shared" si="15"/>
        <v>1</v>
      </c>
      <c r="N118" s="288">
        <f t="shared" si="17"/>
        <v>28.32415866627202</v>
      </c>
      <c r="O118" s="130" t="str">
        <f t="shared" si="16"/>
        <v/>
      </c>
      <c r="V118" s="15" t="s">
        <v>414</v>
      </c>
      <c r="W118" s="15" t="s">
        <v>413</v>
      </c>
    </row>
    <row r="119" spans="2:30">
      <c r="B119" s="70" t="str">
        <f t="array" ref="B119">IF(COUNTIFS(INDEX(Equipment_Allocation_New,0,MATCH($C$107,Unit_codes,0)),"&gt;0")&lt;ROWS('2.2-Equipment input'!$X$8:X17),"N/A",INDEX('2.2-Equipment input'!B:B,SMALL(IF(INDEX(Equipment_Allocation_New,0,MATCH($C$107,Unit_codes,0))&gt;0,ROW(equipment_ID)),ROW('2.2-Equipment input'!B10))))</f>
        <v>eq0023</v>
      </c>
      <c r="C119" s="70" t="str">
        <f>IF($B119="N/A","N/A",INDEX(Equipment_name[],MATCH(B119,equipment_ID,0)))</f>
        <v>Oviball holder</v>
      </c>
      <c r="D119" s="288">
        <f t="shared" si="10"/>
        <v>0.14162079333136007</v>
      </c>
      <c r="E119" s="88">
        <f t="shared" si="11"/>
        <v>1</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12"/>
        <v/>
      </c>
      <c r="I119" s="130" t="str">
        <f>IF($B119="N/A","",IF(INDEX(Equipment_Utility_Decision,MATCH($B119,equipment_ID,0))='4.2-Settings Internal'!$B$30,INDEX(Equipment_Utility_Electricity,MATCH($B119,equipment_ID,0)),""))</f>
        <v/>
      </c>
      <c r="J119" s="288" t="str">
        <f t="shared" si="13"/>
        <v/>
      </c>
      <c r="K119" s="130" t="str">
        <f>IF($B119="N/A","",IF(INDEX(Equipment_Utility_Decision,MATCH($B119,equipment_ID,0))=INDEX(Yes_No_Choice[],1),INDEX(Equipment_Utility_Fuel,MATCH($B119,equipment_ID,0)),""))</f>
        <v/>
      </c>
      <c r="L119" s="288" t="str">
        <f t="shared" si="14"/>
        <v/>
      </c>
      <c r="M119" s="89">
        <f t="shared" si="15"/>
        <v>0.5</v>
      </c>
      <c r="N119" s="288">
        <f t="shared" si="17"/>
        <v>7.0810396665680037E-2</v>
      </c>
      <c r="O119" s="130" t="str">
        <f t="shared" si="16"/>
        <v/>
      </c>
      <c r="W119" s="15" t="s">
        <v>412</v>
      </c>
      <c r="X119" s="15" t="s">
        <v>411</v>
      </c>
    </row>
    <row r="120" spans="2:30">
      <c r="B120" s="70" t="str">
        <f t="array" ref="B120">IF(COUNTIFS(INDEX(Equipment_Allocation_New,0,MATCH($C$107,Unit_codes,0)),"&gt;0")&lt;ROWS('2.2-Equipment input'!$X$8:X18),"N/A",INDEX('2.2-Equipment input'!B:B,SMALL(IF(INDEX(Equipment_Allocation_New,0,MATCH($C$107,Unit_codes,0))&gt;0,ROW(equipment_ID)),ROW('2.2-Equipment input'!B11))))</f>
        <v>eq0024</v>
      </c>
      <c r="C120" s="70" t="str">
        <f>IF($B120="N/A","N/A",INDEX(Equipment_name[],MATCH(B120,equipment_ID,0)))</f>
        <v>Egg media</v>
      </c>
      <c r="D120" s="288">
        <f t="shared" si="10"/>
        <v>0.14162079333136007</v>
      </c>
      <c r="E120" s="88">
        <f t="shared" si="11"/>
        <v>30</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2"/>
        <v/>
      </c>
      <c r="I120" s="130" t="str">
        <f>IF($B120="N/A","",IF(INDEX(Equipment_Utility_Decision,MATCH($B120,equipment_ID,0))='4.2-Settings Internal'!$B$30,INDEX(Equipment_Utility_Electricity,MATCH($B120,equipment_ID,0)),""))</f>
        <v/>
      </c>
      <c r="J120" s="288" t="str">
        <f t="shared" si="13"/>
        <v/>
      </c>
      <c r="K120" s="130" t="str">
        <f>IF($B120="N/A","",IF(INDEX(Equipment_Utility_Decision,MATCH($B120,equipment_ID,0))=INDEX(Yes_No_Choice[],1),INDEX(Equipment_Utility_Fuel,MATCH($B120,equipment_ID,0)),""))</f>
        <v/>
      </c>
      <c r="L120" s="288" t="str">
        <f t="shared" si="14"/>
        <v/>
      </c>
      <c r="M120" s="89">
        <f t="shared" si="15"/>
        <v>0.5</v>
      </c>
      <c r="N120" s="288">
        <f t="shared" si="17"/>
        <v>2.1243118999704009</v>
      </c>
      <c r="O120" s="130" t="str">
        <f t="shared" si="16"/>
        <v/>
      </c>
      <c r="X120" s="15" t="s">
        <v>410</v>
      </c>
      <c r="Y120" s="15" t="s">
        <v>409</v>
      </c>
      <c r="Z120" s="15" t="s">
        <v>408</v>
      </c>
    </row>
    <row r="121" spans="2:30">
      <c r="B121" s="70" t="str">
        <f t="array" ref="B121">IF(COUNTIFS(INDEX(Equipment_Allocation_New,0,MATCH($C$107,Unit_codes,0)),"&gt;0")&lt;ROWS('2.2-Equipment input'!$X$8:X19),"N/A",INDEX('2.2-Equipment input'!B:B,SMALL(IF(INDEX(Equipment_Allocation_New,0,MATCH($C$107,Unit_codes,0))&gt;0,ROW(equipment_ID)),ROW('2.2-Equipment input'!B12))))</f>
        <v>eq0025</v>
      </c>
      <c r="C121" s="70" t="str">
        <f>IF($B121="N/A","N/A",INDEX(Equipment_name[],MATCH(B121,equipment_ID,0)))</f>
        <v>Working table</v>
      </c>
      <c r="D121" s="288">
        <f t="shared" si="10"/>
        <v>35.405198332840023</v>
      </c>
      <c r="E121" s="88">
        <f t="shared" si="11"/>
        <v>1</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89">
        <f t="shared" si="15"/>
        <v>0.5</v>
      </c>
      <c r="N121" s="288">
        <f t="shared" si="17"/>
        <v>17.702599166420011</v>
      </c>
      <c r="O121" s="130">
        <f t="shared" si="16"/>
        <v>0.48</v>
      </c>
      <c r="Y121" s="15" t="s">
        <v>407</v>
      </c>
      <c r="Z121" s="15" t="s">
        <v>406</v>
      </c>
      <c r="AD121" s="15">
        <f t="array" ref="AD121">ROW(equipment_ID)</f>
        <v>7</v>
      </c>
    </row>
    <row r="122" spans="2:30">
      <c r="B122" s="70" t="str">
        <f t="array" ref="B122">IF(COUNTIFS(INDEX(Equipment_Allocation_New,0,MATCH($C$107,Unit_codes,0)),"&gt;0")&lt;ROWS('2.2-Equipment input'!$X$8:X20),"N/A",INDEX('2.2-Equipment input'!B:B,SMALL(IF(INDEX(Equipment_Allocation_New,0,MATCH($C$107,Unit_codes,0))&gt;0,ROW(equipment_ID)),ROW('2.2-Equipment input'!B13))))</f>
        <v>eq0026</v>
      </c>
      <c r="C122" s="70" t="str">
        <f>IF($B122="N/A","N/A",INDEX(Equipment_name[],MATCH(B122,equipment_ID,0)))</f>
        <v>Nursery Larvero</v>
      </c>
      <c r="D122" s="288">
        <f t="shared" si="10"/>
        <v>0.70810396665680053</v>
      </c>
      <c r="E122" s="88">
        <f t="shared" si="11"/>
        <v>1</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89">
        <f t="shared" si="15"/>
        <v>1</v>
      </c>
      <c r="N122" s="288">
        <f t="shared" si="17"/>
        <v>0.70810396665680053</v>
      </c>
      <c r="O122" s="130" t="str">
        <f t="shared" si="16"/>
        <v/>
      </c>
      <c r="AD122" s="15">
        <v>2</v>
      </c>
    </row>
    <row r="123" spans="2:30">
      <c r="B123" s="70" t="str">
        <f t="array" ref="B123">IF(COUNTIFS(INDEX(Equipment_Allocation_New,0,MATCH($C$107,Unit_codes,0)),"&gt;0")&lt;ROWS('2.2-Equipment input'!$X$8:X21),"N/A",INDEX('2.2-Equipment input'!B:B,SMALL(IF(INDEX(Equipment_Allocation_New,0,MATCH($C$107,Unit_codes,0))&gt;0,ROW(equipment_ID)),ROW('2.2-Equipment input'!B14))))</f>
        <v>eq0028</v>
      </c>
      <c r="C123" s="70" t="str">
        <f>IF($B123="N/A","N/A",INDEX(Equipment_name[],MATCH(B123,equipment_ID,0)))</f>
        <v>Outer box</v>
      </c>
      <c r="D123" s="288">
        <f t="shared" si="10"/>
        <v>1.0621559499852007</v>
      </c>
      <c r="E123" s="88">
        <f t="shared" si="11"/>
        <v>1</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89">
        <f t="shared" si="15"/>
        <v>1</v>
      </c>
      <c r="N123" s="288">
        <f t="shared" si="17"/>
        <v>1.0621559499852007</v>
      </c>
      <c r="O123" s="130" t="str">
        <f t="shared" si="16"/>
        <v/>
      </c>
      <c r="W123" s="15" t="e">
        <v>#NAME?</v>
      </c>
    </row>
    <row r="124" spans="2:30">
      <c r="B124" s="70" t="str">
        <f t="array" ref="B124">IF(COUNTIFS(INDEX(Equipment_Allocation_New,0,MATCH($C$107,Unit_codes,0)),"&gt;0")&lt;ROWS('2.2-Equipment input'!$X$8:X22),"N/A",INDEX('2.2-Equipment input'!B:B,SMALL(IF(INDEX(Equipment_Allocation_New,0,MATCH($C$107,Unit_codes,0))&gt;0,ROW(equipment_ID)),ROW('2.2-Equipment input'!B15))))</f>
        <v>eq0029</v>
      </c>
      <c r="C124" s="70" t="str">
        <f>IF($B124="N/A","N/A",INDEX(Equipment_name[],MATCH(B124,equipment_ID,0)))</f>
        <v>Mobile Larvero frame</v>
      </c>
      <c r="D124" s="288">
        <f t="shared" si="10"/>
        <v>21.243118999704013</v>
      </c>
      <c r="E124" s="88">
        <f t="shared" si="11"/>
        <v>1</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89">
        <f t="shared" si="15"/>
        <v>1</v>
      </c>
      <c r="N124" s="288">
        <f t="shared" si="17"/>
        <v>21.243118999704013</v>
      </c>
      <c r="O124" s="130" t="str">
        <f t="shared" si="16"/>
        <v/>
      </c>
      <c r="U124" s="15" t="e">
        <v>#NAME?</v>
      </c>
    </row>
    <row r="125" spans="2:30">
      <c r="B125" s="70" t="str">
        <f t="array" ref="B125">IF(COUNTIFS(INDEX(Equipment_Allocation_New,0,MATCH($C$107,Unit_codes,0)),"&gt;0")&lt;ROWS('2.2-Equipment input'!$X$8:X23),"N/A",INDEX('2.2-Equipment input'!B:B,SMALL(IF(INDEX(Equipment_Allocation_New,0,MATCH($C$107,Unit_codes,0))&gt;0,ROW(equipment_ID)),ROW('2.2-Equipment input'!B16))))</f>
        <v>eq0032</v>
      </c>
      <c r="C125" s="70" t="str">
        <f>IF($B125="N/A","N/A",INDEX(Equipment_name[],MATCH(B125,equipment_ID,0)))</f>
        <v>Measuring balance (nursery)</v>
      </c>
      <c r="D125" s="288">
        <f t="shared" si="10"/>
        <v>70.810396665680045</v>
      </c>
      <c r="E125" s="88">
        <f t="shared" si="11"/>
        <v>1</v>
      </c>
      <c r="F125" s="130">
        <f>IF($B125="N/A","",IF(INDEX(Equipment_Utility_Decision,MATCH($B125,equipment_ID,0))='4.2-Settings Internal'!$B$30,INDEX(Equipment_Utility_Run,MATCH($B125,equipment_ID,0)),""))</f>
        <v>0</v>
      </c>
      <c r="G125" s="130">
        <f>IF($B125="N/A","",IF(INDEX(Equipment_Utility_Decision,MATCH($B125,equipment_ID,0))='4.2-Settings Internal'!$B$30,INDEX(Equipment_Utility_Water,MATCH($B125,equipment_ID,0)),""))</f>
        <v>0</v>
      </c>
      <c r="H125" s="288">
        <f t="shared" si="12"/>
        <v>0</v>
      </c>
      <c r="I125" s="130">
        <f>IF($B125="N/A","",IF(INDEX(Equipment_Utility_Decision,MATCH($B125,equipment_ID,0))='4.2-Settings Internal'!$B$30,INDEX(Equipment_Utility_Electricity,MATCH($B125,equipment_ID,0)),""))</f>
        <v>0</v>
      </c>
      <c r="J125" s="288">
        <f t="shared" si="13"/>
        <v>0</v>
      </c>
      <c r="K125" s="130">
        <f>IF($B125="N/A","",IF(INDEX(Equipment_Utility_Decision,MATCH($B125,equipment_ID,0))=INDEX(Yes_No_Choice[],1),INDEX(Equipment_Utility_Fuel,MATCH($B125,equipment_ID,0)),""))</f>
        <v>0</v>
      </c>
      <c r="L125" s="288" t="str">
        <f t="shared" si="14"/>
        <v/>
      </c>
      <c r="M125" s="89">
        <f t="shared" si="15"/>
        <v>0.15</v>
      </c>
      <c r="N125" s="288">
        <f t="shared" si="17"/>
        <v>10.621559499852006</v>
      </c>
      <c r="O125" s="130" t="str">
        <f t="shared" si="16"/>
        <v/>
      </c>
    </row>
    <row r="126" spans="2:30">
      <c r="B126" s="70" t="str">
        <f t="array" ref="B126">IF(COUNTIFS(INDEX(Equipment_Allocation_New,0,MATCH($C$107,Unit_codes,0)),"&gt;0")&lt;ROWS('2.2-Equipment input'!$X$8:X24),"N/A",INDEX('2.2-Equipment input'!B:B,SMALL(IF(INDEX(Equipment_Allocation_New,0,MATCH($C$107,Unit_codes,0))&gt;0,ROW(equipment_ID)),ROW('2.2-Equipment input'!B17))))</f>
        <v>eq0033</v>
      </c>
      <c r="C126" s="70" t="str">
        <f>IF($B126="N/A","N/A",INDEX(Equipment_name[],MATCH(B126,equipment_ID,0)))</f>
        <v>Precision balance (lab)</v>
      </c>
      <c r="D126" s="288">
        <f t="shared" si="10"/>
        <v>42.486237999408026</v>
      </c>
      <c r="E126" s="88">
        <f t="shared" si="11"/>
        <v>1</v>
      </c>
      <c r="F126" s="130">
        <f>IF($B126="N/A","",IF(INDEX(Equipment_Utility_Decision,MATCH($B126,equipment_ID,0))='4.2-Settings Internal'!$B$30,INDEX(Equipment_Utility_Run,MATCH($B126,equipment_ID,0)),""))</f>
        <v>0</v>
      </c>
      <c r="G126" s="130">
        <f>IF($B126="N/A","",IF(INDEX(Equipment_Utility_Decision,MATCH($B126,equipment_ID,0))='4.2-Settings Internal'!$B$30,INDEX(Equipment_Utility_Water,MATCH($B126,equipment_ID,0)),""))</f>
        <v>0</v>
      </c>
      <c r="H126" s="288">
        <f t="shared" si="12"/>
        <v>0</v>
      </c>
      <c r="I126" s="130">
        <f>IF($B126="N/A","",IF(INDEX(Equipment_Utility_Decision,MATCH($B126,equipment_ID,0))='4.2-Settings Internal'!$B$30,INDEX(Equipment_Utility_Electricity,MATCH($B126,equipment_ID,0)),""))</f>
        <v>0</v>
      </c>
      <c r="J126" s="288">
        <f t="shared" si="13"/>
        <v>0</v>
      </c>
      <c r="K126" s="130">
        <f>IF($B126="N/A","",IF(INDEX(Equipment_Utility_Decision,MATCH($B126,equipment_ID,0))=INDEX(Yes_No_Choice[],1),INDEX(Equipment_Utility_Fuel,MATCH($B126,equipment_ID,0)),""))</f>
        <v>0</v>
      </c>
      <c r="L126" s="288" t="str">
        <f t="shared" si="14"/>
        <v/>
      </c>
      <c r="M126" s="89">
        <f t="shared" si="15"/>
        <v>0.5</v>
      </c>
      <c r="N126" s="288">
        <f t="shared" si="17"/>
        <v>21.243118999704013</v>
      </c>
      <c r="O126" s="130" t="str">
        <f t="shared" si="16"/>
        <v/>
      </c>
    </row>
    <row r="127" spans="2:30">
      <c r="B127" s="70" t="str">
        <f t="array" ref="B127">IF(COUNTIFS(INDEX(Equipment_Allocation_New,0,MATCH($C$107,Unit_codes,0)),"&gt;0")&lt;ROWS('2.2-Equipment input'!$X$8:X25),"N/A",INDEX('2.2-Equipment input'!B:B,SMALL(IF(INDEX(Equipment_Allocation_New,0,MATCH($C$107,Unit_codes,0))&gt;0,ROW(equipment_ID)),ROW('2.2-Equipment input'!B18))))</f>
        <v>eq0034</v>
      </c>
      <c r="C127" s="70" t="str">
        <f>IF($B127="N/A","N/A",INDEX(Equipment_name[],MATCH(B127,equipment_ID,0)))</f>
        <v>Washing machine</v>
      </c>
      <c r="D127" s="288">
        <f t="shared" si="10"/>
        <v>61.369010443589367</v>
      </c>
      <c r="E127" s="88">
        <f t="shared" si="11"/>
        <v>1</v>
      </c>
      <c r="F127" s="130">
        <f>IF($B127="N/A","",IF(INDEX(Equipment_Utility_Decision,MATCH($B127,equipment_ID,0))='4.2-Settings Internal'!$B$30,INDEX(Equipment_Utility_Run,MATCH($B127,equipment_ID,0)),""))</f>
        <v>0.75</v>
      </c>
      <c r="G127" s="130">
        <f>IF($B127="N/A","",IF(INDEX(Equipment_Utility_Decision,MATCH($B127,equipment_ID,0))='4.2-Settings Internal'!$B$30,INDEX(Equipment_Utility_Water,MATCH($B127,equipment_ID,0)),""))</f>
        <v>0</v>
      </c>
      <c r="H127" s="288">
        <f t="shared" si="12"/>
        <v>0</v>
      </c>
      <c r="I127" s="130">
        <f>IF($B127="N/A","",IF(INDEX(Equipment_Utility_Decision,MATCH($B127,equipment_ID,0))='4.2-Settings Internal'!$B$30,INDEX(Equipment_Utility_Electricity,MATCH($B127,equipment_ID,0)),""))</f>
        <v>1.7</v>
      </c>
      <c r="J127" s="288">
        <f t="shared" si="13"/>
        <v>0.13542488362311308</v>
      </c>
      <c r="K127" s="130">
        <f>IF($B127="N/A","",IF(INDEX(Equipment_Utility_Decision,MATCH($B127,equipment_ID,0))=INDEX(Yes_No_Choice[],1),INDEX(Equipment_Utility_Fuel,MATCH($B127,equipment_ID,0)),""))</f>
        <v>0</v>
      </c>
      <c r="L127" s="288" t="str">
        <f t="shared" si="14"/>
        <v/>
      </c>
      <c r="M127" s="89">
        <f t="shared" si="15"/>
        <v>1</v>
      </c>
      <c r="N127" s="288">
        <f t="shared" si="17"/>
        <v>61.369010443589367</v>
      </c>
      <c r="O127" s="130" t="str">
        <f t="shared" si="16"/>
        <v/>
      </c>
    </row>
    <row r="128" spans="2:30">
      <c r="B128" s="70" t="str">
        <f t="array" ref="B128">IF(COUNTIFS(INDEX(Equipment_Allocation_New,0,MATCH($C$107,Unit_codes,0)),"&gt;0")&lt;ROWS('2.2-Equipment input'!$X$8:X26),"N/A",INDEX('2.2-Equipment input'!B:B,SMALL(IF(INDEX(Equipment_Allocation_New,0,MATCH($C$107,Unit_codes,0))&gt;0,ROW(equipment_ID)),ROW('2.2-Equipment input'!B19))))</f>
        <v>eq0035</v>
      </c>
      <c r="C128" s="70" t="str">
        <f>IF($B128="N/A","N/A",INDEX(Equipment_name[],MATCH(B128,equipment_ID,0)))</f>
        <v>Mixer (compost)</v>
      </c>
      <c r="D128" s="288">
        <f t="shared" si="10"/>
        <v>113.29663466508808</v>
      </c>
      <c r="E128" s="88">
        <f t="shared" si="11"/>
        <v>1</v>
      </c>
      <c r="F128" s="130">
        <f>IF($B128="N/A","",IF(INDEX(Equipment_Utility_Decision,MATCH($B128,equipment_ID,0))='4.2-Settings Internal'!$B$30,INDEX(Equipment_Utility_Run,MATCH($B128,equipment_ID,0)),""))</f>
        <v>3.90625E-3</v>
      </c>
      <c r="G128" s="130">
        <f>IF($B128="N/A","",IF(INDEX(Equipment_Utility_Decision,MATCH($B128,equipment_ID,0))='4.2-Settings Internal'!$B$30,INDEX(Equipment_Utility_Water,MATCH($B128,equipment_ID,0)),""))</f>
        <v>0</v>
      </c>
      <c r="H128" s="288">
        <f t="shared" si="12"/>
        <v>0</v>
      </c>
      <c r="I128" s="130">
        <f>IF($B128="N/A","",IF(INDEX(Equipment_Utility_Decision,MATCH($B128,equipment_ID,0))='4.2-Settings Internal'!$B$30,INDEX(Equipment_Utility_Electricity,MATCH($B128,equipment_ID,0)),""))</f>
        <v>5.5</v>
      </c>
      <c r="J128" s="288">
        <f t="shared" si="13"/>
        <v>1.1409878368981649E-3</v>
      </c>
      <c r="K128" s="130">
        <f>IF($B128="N/A","",IF(INDEX(Equipment_Utility_Decision,MATCH($B128,equipment_ID,0))=INDEX(Yes_No_Choice[],1),INDEX(Equipment_Utility_Fuel,MATCH($B128,equipment_ID,0)),""))</f>
        <v>0</v>
      </c>
      <c r="L128" s="288" t="str">
        <f t="shared" si="14"/>
        <v/>
      </c>
      <c r="M128" s="89">
        <f t="shared" si="15"/>
        <v>0.5</v>
      </c>
      <c r="N128" s="288">
        <f t="shared" si="17"/>
        <v>56.648317332544039</v>
      </c>
      <c r="O128" s="130">
        <f t="shared" si="16"/>
        <v>2</v>
      </c>
    </row>
    <row r="129" spans="2:15">
      <c r="B129" s="70" t="str">
        <f t="array" ref="B129">IF(COUNTIFS(INDEX(Equipment_Allocation_New,0,MATCH($C$107,Unit_codes,0)),"&gt;0")&lt;ROWS('2.2-Equipment input'!$X$8:X27),"N/A",INDEX('2.2-Equipment input'!B:B,SMALL(IF(INDEX(Equipment_Allocation_New,0,MATCH($C$107,Unit_codes,0))&gt;0,ROW(equipment_ID)),ROW('2.2-Equipment input'!B20))))</f>
        <v>eq0036</v>
      </c>
      <c r="C129" s="70" t="str">
        <f>IF($B129="N/A","N/A",INDEX(Equipment_name[],MATCH(B129,equipment_ID,0)))</f>
        <v>Blower</v>
      </c>
      <c r="D129" s="288">
        <f t="shared" si="10"/>
        <v>0</v>
      </c>
      <c r="E129" s="88">
        <f t="shared" si="11"/>
        <v>5.2875000000000014</v>
      </c>
      <c r="F129" s="130">
        <f>IF($B129="N/A","",IF(INDEX(Equipment_Utility_Decision,MATCH($B129,equipment_ID,0))='4.2-Settings Internal'!$B$30,INDEX(Equipment_Utility_Run,MATCH($B129,equipment_ID,0)),""))</f>
        <v>4</v>
      </c>
      <c r="G129" s="130">
        <f>IF($B129="N/A","",IF(INDEX(Equipment_Utility_Decision,MATCH($B129,equipment_ID,0))='4.2-Settings Internal'!$B$30,INDEX(Equipment_Utility_Water,MATCH($B129,equipment_ID,0)),""))</f>
        <v>0</v>
      </c>
      <c r="H129" s="288">
        <f t="shared" si="12"/>
        <v>0</v>
      </c>
      <c r="I129" s="130">
        <f>IF($B129="N/A","",IF(INDEX(Equipment_Utility_Decision,MATCH($B129,equipment_ID,0))='4.2-Settings Internal'!$B$30,INDEX(Equipment_Utility_Electricity,MATCH($B129,equipment_ID,0)),""))</f>
        <v>0.24</v>
      </c>
      <c r="J129" s="288">
        <f t="shared" si="13"/>
        <v>0.26957518010624398</v>
      </c>
      <c r="K129" s="130">
        <f>IF($B129="N/A","",IF(INDEX(Equipment_Utility_Decision,MATCH($B129,equipment_ID,0))=INDEX(Yes_No_Choice[],1),INDEX(Equipment_Utility_Fuel,MATCH($B129,equipment_ID,0)),""))</f>
        <v>0</v>
      </c>
      <c r="L129" s="288" t="str">
        <f t="shared" si="14"/>
        <v/>
      </c>
      <c r="M129" s="89">
        <f t="shared" si="15"/>
        <v>0.5</v>
      </c>
      <c r="N129" s="288">
        <f t="shared" si="17"/>
        <v>0</v>
      </c>
      <c r="O129" s="130" t="str">
        <f t="shared" si="16"/>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89" t="str">
        <f t="shared" si="15"/>
        <v/>
      </c>
      <c r="N130" s="288" t="str">
        <f t="shared" si="17"/>
        <v/>
      </c>
      <c r="O130" s="130" t="str">
        <f t="shared" si="16"/>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89" t="str">
        <f t="shared" si="15"/>
        <v/>
      </c>
      <c r="N131" s="288" t="str">
        <f t="shared" si="17"/>
        <v/>
      </c>
      <c r="O131" s="130" t="str">
        <f t="shared" si="16"/>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89" t="str">
        <f t="shared" si="15"/>
        <v/>
      </c>
      <c r="N132" s="288" t="str">
        <f t="shared" si="17"/>
        <v/>
      </c>
      <c r="O132" s="130" t="str">
        <f t="shared" si="16"/>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89" t="str">
        <f t="shared" si="15"/>
        <v/>
      </c>
      <c r="N133" s="288" t="str">
        <f t="shared" si="17"/>
        <v/>
      </c>
      <c r="O133" s="130" t="str">
        <f t="shared" si="16"/>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89" t="str">
        <f t="shared" si="15"/>
        <v/>
      </c>
      <c r="N134" s="288" t="str">
        <f t="shared" si="17"/>
        <v/>
      </c>
      <c r="O134" s="130" t="str">
        <f t="shared" si="16"/>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89" t="str">
        <f t="shared" si="15"/>
        <v/>
      </c>
      <c r="N135" s="288" t="str">
        <f t="shared" si="17"/>
        <v/>
      </c>
      <c r="O135" s="130" t="str">
        <f t="shared" si="16"/>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89" t="str">
        <f t="shared" si="15"/>
        <v/>
      </c>
      <c r="N136" s="288" t="str">
        <f t="shared" si="17"/>
        <v/>
      </c>
      <c r="O136" s="130" t="str">
        <f t="shared" si="16"/>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89" t="str">
        <f t="shared" si="15"/>
        <v/>
      </c>
      <c r="N137" s="288" t="str">
        <f t="shared" si="17"/>
        <v/>
      </c>
      <c r="O137" s="130" t="str">
        <f t="shared" si="16"/>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89" t="str">
        <f t="shared" si="15"/>
        <v/>
      </c>
      <c r="N138" s="288" t="str">
        <f t="shared" si="17"/>
        <v/>
      </c>
      <c r="O138" s="130" t="str">
        <f t="shared" si="16"/>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89" t="str">
        <f t="shared" si="15"/>
        <v/>
      </c>
      <c r="N139" s="288" t="str">
        <f t="shared" si="17"/>
        <v/>
      </c>
      <c r="O139" s="130" t="str">
        <f t="shared" si="16"/>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89" t="str">
        <f t="shared" si="15"/>
        <v/>
      </c>
      <c r="N140" s="288" t="str">
        <f t="shared" si="17"/>
        <v/>
      </c>
      <c r="O140" s="130" t="str">
        <f t="shared" si="16"/>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89" t="str">
        <f t="shared" si="15"/>
        <v/>
      </c>
      <c r="N141" s="288" t="str">
        <f t="shared" si="17"/>
        <v/>
      </c>
      <c r="O141" s="130" t="str">
        <f t="shared" si="16"/>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89" t="str">
        <f t="shared" si="15"/>
        <v/>
      </c>
      <c r="N142" s="288" t="str">
        <f t="shared" si="17"/>
        <v/>
      </c>
      <c r="O142" s="130" t="str">
        <f t="shared" si="16"/>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89" t="str">
        <f t="shared" si="15"/>
        <v/>
      </c>
      <c r="N143" s="288" t="str">
        <f t="shared" si="17"/>
        <v/>
      </c>
      <c r="O143" s="130" t="str">
        <f t="shared" si="16"/>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89" t="str">
        <f t="shared" si="15"/>
        <v/>
      </c>
      <c r="N144" s="288" t="str">
        <f t="shared" si="17"/>
        <v/>
      </c>
      <c r="O144" s="130" t="str">
        <f t="shared" si="16"/>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89" t="str">
        <f t="shared" si="15"/>
        <v/>
      </c>
      <c r="N145" s="288" t="str">
        <f t="shared" si="17"/>
        <v/>
      </c>
      <c r="O145" s="130" t="str">
        <f t="shared" si="16"/>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89" t="str">
        <f t="shared" si="15"/>
        <v/>
      </c>
      <c r="N146" s="288" t="str">
        <f t="shared" si="17"/>
        <v/>
      </c>
      <c r="O146" s="130" t="str">
        <f t="shared" si="16"/>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89" t="str">
        <f t="shared" si="15"/>
        <v/>
      </c>
      <c r="N147" s="288" t="str">
        <f t="shared" si="17"/>
        <v/>
      </c>
      <c r="O147" s="130" t="str">
        <f t="shared" si="16"/>
        <v/>
      </c>
    </row>
    <row r="148" spans="2:23" ht="33" customHeight="1">
      <c r="H148" s="33"/>
      <c r="K148" s="33"/>
      <c r="L148" s="33"/>
    </row>
    <row r="149" spans="2:23" ht="33" customHeight="1">
      <c r="G149" s="201" t="s">
        <v>594</v>
      </c>
      <c r="H149" s="306">
        <f>SUM(H152:H189)</f>
        <v>1674.0285875733421</v>
      </c>
      <c r="I149" s="306">
        <f t="shared" ref="I149:W149" si="18">SUM(I152:I189)</f>
        <v>215.97170983032413</v>
      </c>
      <c r="J149" s="306">
        <f t="shared" si="18"/>
        <v>215.97170983032413</v>
      </c>
      <c r="K149" s="306">
        <f t="shared" si="18"/>
        <v>488.66254738985799</v>
      </c>
      <c r="L149" s="306">
        <f t="shared" si="18"/>
        <v>215.97170983032413</v>
      </c>
      <c r="M149" s="306">
        <f t="shared" si="18"/>
        <v>1401.3377500138081</v>
      </c>
      <c r="N149" s="306">
        <f t="shared" si="18"/>
        <v>488.66254738985799</v>
      </c>
      <c r="O149" s="306">
        <f t="shared" si="18"/>
        <v>215.97170983032413</v>
      </c>
      <c r="P149" s="306">
        <f t="shared" si="18"/>
        <v>215.97170983032413</v>
      </c>
      <c r="Q149" s="306">
        <f t="shared" si="18"/>
        <v>488.66254738985799</v>
      </c>
      <c r="R149" s="306">
        <f t="shared" si="18"/>
        <v>1401.3377500138081</v>
      </c>
      <c r="S149" s="306">
        <f t="shared" si="18"/>
        <v>215.97170983032413</v>
      </c>
      <c r="T149" s="306">
        <f t="shared" si="18"/>
        <v>488.66254738985799</v>
      </c>
      <c r="U149" s="306">
        <f t="shared" si="18"/>
        <v>215.97170983032413</v>
      </c>
      <c r="V149" s="306">
        <f t="shared" si="18"/>
        <v>215.97170983032413</v>
      </c>
      <c r="W149" s="306">
        <f t="shared" si="18"/>
        <v>1674.0285875733421</v>
      </c>
    </row>
    <row r="150" spans="2:23">
      <c r="G150" s="82"/>
      <c r="H150" s="33"/>
      <c r="J150" s="82"/>
      <c r="L150" s="82"/>
      <c r="M150" s="82"/>
      <c r="N150" s="82"/>
    </row>
    <row r="151" spans="2:23" ht="31">
      <c r="B151" s="91" t="s">
        <v>82</v>
      </c>
      <c r="C151" s="91" t="s">
        <v>51</v>
      </c>
      <c r="D151" s="91" t="s">
        <v>50</v>
      </c>
      <c r="E151" s="197" t="s">
        <v>147</v>
      </c>
      <c r="F151" s="91" t="s">
        <v>48</v>
      </c>
      <c r="G151" s="91" t="s">
        <v>119</v>
      </c>
      <c r="H151" s="91" t="s">
        <v>591</v>
      </c>
      <c r="I151" s="91" t="s">
        <v>568</v>
      </c>
      <c r="J151" s="91" t="s">
        <v>569</v>
      </c>
      <c r="K151" s="91" t="s">
        <v>570</v>
      </c>
      <c r="L151" s="91" t="s">
        <v>571</v>
      </c>
      <c r="M151" s="91" t="s">
        <v>572</v>
      </c>
      <c r="N151" s="91" t="s">
        <v>573</v>
      </c>
      <c r="O151" s="91" t="s">
        <v>574</v>
      </c>
      <c r="P151" s="91" t="s">
        <v>575</v>
      </c>
      <c r="Q151" s="91" t="s">
        <v>576</v>
      </c>
      <c r="R151" s="91" t="s">
        <v>577</v>
      </c>
      <c r="S151" s="91" t="s">
        <v>578</v>
      </c>
      <c r="T151" s="91" t="s">
        <v>579</v>
      </c>
      <c r="U151" s="91" t="s">
        <v>580</v>
      </c>
      <c r="V151" s="91" t="s">
        <v>581</v>
      </c>
      <c r="W151" s="91"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eq0008</v>
      </c>
      <c r="C152" s="70" t="str">
        <f>IF($B152="N/A","N/A",INDEX(Equipment_name[],MATCH(B152,equipment_ID,0)))</f>
        <v>High pressure cleaner</v>
      </c>
      <c r="D152" s="288">
        <f t="shared" ref="D152:D189" si="19">IF($B152="N/A","N/A",INDEX(Equipment_Capital_Cost,MATCH($B152,equipment_ID,0)))</f>
        <v>637.29356999112042</v>
      </c>
      <c r="E152" s="88">
        <f t="shared" ref="E152:E189" si="20">IF($B152="N/A","N/A",INDEX(Equipment_Lifetime,MATCH($B152,equipment_ID,0)))</f>
        <v>3</v>
      </c>
      <c r="F152" s="88">
        <f t="shared" ref="F152:F189" si="21">IF($B152="N/A","N/A",INDEX(Equipment_Quantity_New,MATCH($B152,equipment_ID,0)))</f>
        <v>1</v>
      </c>
      <c r="G152" s="86">
        <f t="shared" ref="G152:G189" si="22">IF($B152="N/A","N/A",INDEX(Equipment_Allocation_New,MATCH($B152,equipment_ID,0),MATCH($C$107,Unit_codes,0)))</f>
        <v>0.13</v>
      </c>
      <c r="H152" s="288">
        <f>IFERROR(IF($B152="N/A","N/A",IF(MOD(COLUMNS(H$151:$H$151)-1,$E152)=0,$F152*$D152*$G152,)),)</f>
        <v>82.848164098845658</v>
      </c>
      <c r="I152" s="288">
        <f>IFERROR(IF($B152="N/A","N/A",IF(MOD(COLUMNS($H$151:I$151)-1,$E152)=0,$F152*$D152*$G152,)),)</f>
        <v>0</v>
      </c>
      <c r="J152" s="288">
        <f>IFERROR(IF($B152="N/A","N/A",IF(MOD(COLUMNS($H$151:J$151)-1,$E152)=0,$F152*$D152*$G152,)),)</f>
        <v>0</v>
      </c>
      <c r="K152" s="288">
        <f>IFERROR(IF($B152="N/A","N/A",IF(MOD(COLUMNS($H$151:K$151)-1,$E152)=0,$F152*$D152*$G152,)),)</f>
        <v>82.848164098845658</v>
      </c>
      <c r="L152" s="288">
        <f>IFERROR(IF($B152="N/A","N/A",IF(MOD(COLUMNS($H$151:L$151)-1,$E152)=0,$F152*$D152*$G152,)),)</f>
        <v>0</v>
      </c>
      <c r="M152" s="288">
        <f>IFERROR(IF($B152="N/A","N/A",IF(MOD(COLUMNS($H$151:M$151)-1,$E152)=0,$F152*$D152*$G152,)),)</f>
        <v>0</v>
      </c>
      <c r="N152" s="288">
        <f>IFERROR(IF($B152="N/A","N/A",IF(MOD(COLUMNS($H$151:N$151)-1,$E152)=0,$F152*$D152*$G152,)),)</f>
        <v>82.848164098845658</v>
      </c>
      <c r="O152" s="288">
        <f>IFERROR(IF($B152="N/A","N/A",IF(MOD(COLUMNS($H$151:O$151)-1,$E152)=0,$F152*$D152*$G152,)),)</f>
        <v>0</v>
      </c>
      <c r="P152" s="288">
        <f>IFERROR(IF($B152="N/A","N/A",IF(MOD(COLUMNS($H$151:P$151)-1,$E152)=0,$F152*$D152*$G152,)),)</f>
        <v>0</v>
      </c>
      <c r="Q152" s="288">
        <f>IFERROR(IF($B152="N/A","N/A",IF(MOD(COLUMNS($H$151:Q$151)-1,$E152)=0,$F152*$D152*$G152,)),)</f>
        <v>82.848164098845658</v>
      </c>
      <c r="R152" s="288">
        <f>IFERROR(IF($B152="N/A","N/A",IF(MOD(COLUMNS($H$151:R$151)-1,$E152)=0,$F152*$D152*$G152,)),)</f>
        <v>0</v>
      </c>
      <c r="S152" s="288">
        <f>IFERROR(IF($B152="N/A","N/A",IF(MOD(COLUMNS($H$151:S$151)-1,$E152)=0,$F152*$D152*$G152,)),)</f>
        <v>0</v>
      </c>
      <c r="T152" s="288">
        <f>IFERROR(IF($B152="N/A","N/A",IF(MOD(COLUMNS($H$151:T$151)-1,$E152)=0,$F152*$D152*$G152,)),)</f>
        <v>82.848164098845658</v>
      </c>
      <c r="U152" s="288">
        <f>IFERROR(IF($B152="N/A","N/A",IF(MOD(COLUMNS($H$151:U$151)-1,$E152)=0,$F152*$D152*$G152,)),)</f>
        <v>0</v>
      </c>
      <c r="V152" s="288">
        <f>IFERROR(IF($B152="N/A","N/A",IF(MOD(COLUMNS($H$151:V$151)-1,$E152)=0,$F152*$D152*$G152,)),)</f>
        <v>0</v>
      </c>
      <c r="W152" s="288">
        <f>IFERROR(IF($B152="N/A","N/A",IF(MOD(COLUMNS($H$151:W$151)-1,$E152)=0,$F152*$D152*$G152,)),)</f>
        <v>82.848164098845658</v>
      </c>
    </row>
    <row r="153" spans="2:23">
      <c r="B153" s="70" t="str">
        <f t="array" ref="B153">IF(COUNTIFS(INDEX(Equipment_Allocation_New,0,MATCH($C$107,Unit_codes,0)),"&gt;0")&lt;ROWS('2.2-Equipment input'!$X$8:$X9),"N/A",INDEX('2.2-Equipment input'!B:B,SMALL(IF(INDEX(Equipment_Allocation_New,0,MATCH($C$107,Unit_codes,0))&gt;0,ROW(equipment_ID)),ROW('2.2-Equipment input'!B2))))</f>
        <v>eq0013</v>
      </c>
      <c r="C153" s="70" t="str">
        <f>IF($B153="N/A","N/A",INDEX(Equipment_name[],MATCH(B153,equipment_ID,0)))</f>
        <v xml:space="preserve">Pupation crates </v>
      </c>
      <c r="D153" s="288">
        <f t="shared" si="19"/>
        <v>4.9567277665976031</v>
      </c>
      <c r="E153" s="88">
        <f t="shared" si="20"/>
        <v>5</v>
      </c>
      <c r="F153" s="88">
        <f t="shared" si="21"/>
        <v>8</v>
      </c>
      <c r="G153" s="86">
        <f t="shared" si="22"/>
        <v>1</v>
      </c>
      <c r="H153" s="288">
        <f>IFERROR(IF($B153="N/A","N/A",IF(MOD(COLUMNS(H$151:$H$151)-1,$E153)=0,$F153*$D153*$G153,)),)</f>
        <v>39.653822132780824</v>
      </c>
      <c r="I153" s="288">
        <f>IFERROR(IF($B153="N/A","N/A",IF(MOD(COLUMNS($H$151:I$151)-1,$E153)=0,$F153*$D153*$G153,)),)</f>
        <v>0</v>
      </c>
      <c r="J153" s="288">
        <f>IFERROR(IF($B153="N/A","N/A",IF(MOD(COLUMNS($H$151:J$151)-1,$E153)=0,$F153*$D153*$G153,)),)</f>
        <v>0</v>
      </c>
      <c r="K153" s="288">
        <f>IFERROR(IF($B153="N/A","N/A",IF(MOD(COLUMNS($H$151:K$151)-1,$E153)=0,$F153*$D153*$G153,)),)</f>
        <v>0</v>
      </c>
      <c r="L153" s="288">
        <f>IFERROR(IF($B153="N/A","N/A",IF(MOD(COLUMNS($H$151:L$151)-1,$E153)=0,$F153*$D153*$G153,)),)</f>
        <v>0</v>
      </c>
      <c r="M153" s="288">
        <f>IFERROR(IF($B153="N/A","N/A",IF(MOD(COLUMNS($H$151:M$151)-1,$E153)=0,$F153*$D153*$G153,)),)</f>
        <v>39.653822132780824</v>
      </c>
      <c r="N153" s="288">
        <f>IFERROR(IF($B153="N/A","N/A",IF(MOD(COLUMNS($H$151:N$151)-1,$E153)=0,$F153*$D153*$G153,)),)</f>
        <v>0</v>
      </c>
      <c r="O153" s="288">
        <f>IFERROR(IF($B153="N/A","N/A",IF(MOD(COLUMNS($H$151:O$151)-1,$E153)=0,$F153*$D153*$G153,)),)</f>
        <v>0</v>
      </c>
      <c r="P153" s="288">
        <f>IFERROR(IF($B153="N/A","N/A",IF(MOD(COLUMNS($H$151:P$151)-1,$E153)=0,$F153*$D153*$G153,)),)</f>
        <v>0</v>
      </c>
      <c r="Q153" s="288">
        <f>IFERROR(IF($B153="N/A","N/A",IF(MOD(COLUMNS($H$151:Q$151)-1,$E153)=0,$F153*$D153*$G153,)),)</f>
        <v>0</v>
      </c>
      <c r="R153" s="288">
        <f>IFERROR(IF($B153="N/A","N/A",IF(MOD(COLUMNS($H$151:R$151)-1,$E153)=0,$F153*$D153*$G153,)),)</f>
        <v>39.653822132780824</v>
      </c>
      <c r="S153" s="288">
        <f>IFERROR(IF($B153="N/A","N/A",IF(MOD(COLUMNS($H$151:S$151)-1,$E153)=0,$F153*$D153*$G153,)),)</f>
        <v>0</v>
      </c>
      <c r="T153" s="288">
        <f>IFERROR(IF($B153="N/A","N/A",IF(MOD(COLUMNS($H$151:T$151)-1,$E153)=0,$F153*$D153*$G153,)),)</f>
        <v>0</v>
      </c>
      <c r="U153" s="288">
        <f>IFERROR(IF($B153="N/A","N/A",IF(MOD(COLUMNS($H$151:U$151)-1,$E153)=0,$F153*$D153*$G153,)),)</f>
        <v>0</v>
      </c>
      <c r="V153" s="288">
        <f>IFERROR(IF($B153="N/A","N/A",IF(MOD(COLUMNS($H$151:V$151)-1,$E153)=0,$F153*$D153*$G153,)),)</f>
        <v>0</v>
      </c>
      <c r="W153" s="288">
        <f>IFERROR(IF($B153="N/A","N/A",IF(MOD(COLUMNS($H$151:W$151)-1,$E153)=0,$F153*$D153*$G153,)),)</f>
        <v>39.653822132780824</v>
      </c>
    </row>
    <row r="154" spans="2:23">
      <c r="B154" s="70" t="str">
        <f t="array" ref="B154">IF(COUNTIFS(INDEX(Equipment_Allocation_New,0,MATCH($C$107,Unit_codes,0)),"&gt;0")&lt;ROWS('2.2-Equipment input'!$X$8:$X10),"N/A",INDEX('2.2-Equipment input'!B:B,SMALL(IF(INDEX(Equipment_Allocation_New,0,MATCH($C$107,Unit_codes,0))&gt;0,ROW(equipment_ID)),ROW('2.2-Equipment input'!B3))))</f>
        <v>eq0014</v>
      </c>
      <c r="C154" s="70" t="str">
        <f>IF($B154="N/A","N/A",INDEX(Equipment_name[],MATCH(B154,equipment_ID,0)))</f>
        <v>Pupation cage (Dark cage)</v>
      </c>
      <c r="D154" s="288">
        <f t="shared" si="19"/>
        <v>70.810396665680045</v>
      </c>
      <c r="E154" s="88">
        <f t="shared" si="20"/>
        <v>1</v>
      </c>
      <c r="F154" s="88">
        <f t="shared" si="21"/>
        <v>2</v>
      </c>
      <c r="G154" s="86">
        <f t="shared" si="22"/>
        <v>1</v>
      </c>
      <c r="H154" s="288">
        <f>IFERROR(IF($B154="N/A","N/A",IF(MOD(COLUMNS(H$151:$H$151)-1,$E154)=0,$F154*$D154*$G154,)),)</f>
        <v>141.62079333136009</v>
      </c>
      <c r="I154" s="288">
        <f>IFERROR(IF($B154="N/A","N/A",IF(MOD(COLUMNS($H$151:I$151)-1,$E154)=0,$F154*$D154*$G154,)),)</f>
        <v>141.62079333136009</v>
      </c>
      <c r="J154" s="288">
        <f>IFERROR(IF($B154="N/A","N/A",IF(MOD(COLUMNS($H$151:J$151)-1,$E154)=0,$F154*$D154*$G154,)),)</f>
        <v>141.62079333136009</v>
      </c>
      <c r="K154" s="288">
        <f>IFERROR(IF($B154="N/A","N/A",IF(MOD(COLUMNS($H$151:K$151)-1,$E154)=0,$F154*$D154*$G154,)),)</f>
        <v>141.62079333136009</v>
      </c>
      <c r="L154" s="288">
        <f>IFERROR(IF($B154="N/A","N/A",IF(MOD(COLUMNS($H$151:L$151)-1,$E154)=0,$F154*$D154*$G154,)),)</f>
        <v>141.62079333136009</v>
      </c>
      <c r="M154" s="288">
        <f>IFERROR(IF($B154="N/A","N/A",IF(MOD(COLUMNS($H$151:M$151)-1,$E154)=0,$F154*$D154*$G154,)),)</f>
        <v>141.62079333136009</v>
      </c>
      <c r="N154" s="288">
        <f>IFERROR(IF($B154="N/A","N/A",IF(MOD(COLUMNS($H$151:N$151)-1,$E154)=0,$F154*$D154*$G154,)),)</f>
        <v>141.62079333136009</v>
      </c>
      <c r="O154" s="288">
        <f>IFERROR(IF($B154="N/A","N/A",IF(MOD(COLUMNS($H$151:O$151)-1,$E154)=0,$F154*$D154*$G154,)),)</f>
        <v>141.62079333136009</v>
      </c>
      <c r="P154" s="288">
        <f>IFERROR(IF($B154="N/A","N/A",IF(MOD(COLUMNS($H$151:P$151)-1,$E154)=0,$F154*$D154*$G154,)),)</f>
        <v>141.62079333136009</v>
      </c>
      <c r="Q154" s="288">
        <f>IFERROR(IF($B154="N/A","N/A",IF(MOD(COLUMNS($H$151:Q$151)-1,$E154)=0,$F154*$D154*$G154,)),)</f>
        <v>141.62079333136009</v>
      </c>
      <c r="R154" s="288">
        <f>IFERROR(IF($B154="N/A","N/A",IF(MOD(COLUMNS($H$151:R$151)-1,$E154)=0,$F154*$D154*$G154,)),)</f>
        <v>141.62079333136009</v>
      </c>
      <c r="S154" s="288">
        <f>IFERROR(IF($B154="N/A","N/A",IF(MOD(COLUMNS($H$151:S$151)-1,$E154)=0,$F154*$D154*$G154,)),)</f>
        <v>141.62079333136009</v>
      </c>
      <c r="T154" s="288">
        <f>IFERROR(IF($B154="N/A","N/A",IF(MOD(COLUMNS($H$151:T$151)-1,$E154)=0,$F154*$D154*$G154,)),)</f>
        <v>141.62079333136009</v>
      </c>
      <c r="U154" s="288">
        <f>IFERROR(IF($B154="N/A","N/A",IF(MOD(COLUMNS($H$151:U$151)-1,$E154)=0,$F154*$D154*$G154,)),)</f>
        <v>141.62079333136009</v>
      </c>
      <c r="V154" s="288">
        <f>IFERROR(IF($B154="N/A","N/A",IF(MOD(COLUMNS($H$151:V$151)-1,$E154)=0,$F154*$D154*$G154,)),)</f>
        <v>141.62079333136009</v>
      </c>
      <c r="W154" s="288">
        <f>IFERROR(IF($B154="N/A","N/A",IF(MOD(COLUMNS($H$151:W$151)-1,$E154)=0,$F154*$D154*$G154,)),)</f>
        <v>141.62079333136009</v>
      </c>
    </row>
    <row r="155" spans="2:23">
      <c r="B155" s="70" t="str">
        <f t="array" ref="B155">IF(COUNTIFS(INDEX(Equipment_Allocation_New,0,MATCH($C$107,Unit_codes,0)),"&gt;0")&lt;ROWS('2.2-Equipment input'!$X$8:$X11),"N/A",INDEX('2.2-Equipment input'!B:B,SMALL(IF(INDEX(Equipment_Allocation_New,0,MATCH($C$107,Unit_codes,0))&gt;0,ROW(equipment_ID)),ROW('2.2-Equipment input'!B4))))</f>
        <v>eq0015</v>
      </c>
      <c r="C155" s="70" t="str">
        <f>IF($B155="N/A","N/A",INDEX(Equipment_name[],MATCH(B155,equipment_ID,0)))</f>
        <v>Pupation cage frame</v>
      </c>
      <c r="D155" s="288">
        <f t="shared" si="19"/>
        <v>141.62079333136009</v>
      </c>
      <c r="E155" s="88">
        <f t="shared" si="20"/>
        <v>5</v>
      </c>
      <c r="F155" s="88">
        <f t="shared" si="21"/>
        <v>2</v>
      </c>
      <c r="G155" s="86">
        <f t="shared" si="22"/>
        <v>1</v>
      </c>
      <c r="H155" s="288">
        <f>IFERROR(IF($B155="N/A","N/A",IF(MOD(COLUMNS(H$151:$H$151)-1,$E155)=0,$F155*$D155*$G155,)),)</f>
        <v>283.24158666272018</v>
      </c>
      <c r="I155" s="288">
        <f>IFERROR(IF($B155="N/A","N/A",IF(MOD(COLUMNS($H$151:I$151)-1,$E155)=0,$F155*$D155*$G155,)),)</f>
        <v>0</v>
      </c>
      <c r="J155" s="288">
        <f>IFERROR(IF($B155="N/A","N/A",IF(MOD(COLUMNS($H$151:J$151)-1,$E155)=0,$F155*$D155*$G155,)),)</f>
        <v>0</v>
      </c>
      <c r="K155" s="288">
        <f>IFERROR(IF($B155="N/A","N/A",IF(MOD(COLUMNS($H$151:K$151)-1,$E155)=0,$F155*$D155*$G155,)),)</f>
        <v>0</v>
      </c>
      <c r="L155" s="288">
        <f>IFERROR(IF($B155="N/A","N/A",IF(MOD(COLUMNS($H$151:L$151)-1,$E155)=0,$F155*$D155*$G155,)),)</f>
        <v>0</v>
      </c>
      <c r="M155" s="288">
        <f>IFERROR(IF($B155="N/A","N/A",IF(MOD(COLUMNS($H$151:M$151)-1,$E155)=0,$F155*$D155*$G155,)),)</f>
        <v>283.24158666272018</v>
      </c>
      <c r="N155" s="288">
        <f>IFERROR(IF($B155="N/A","N/A",IF(MOD(COLUMNS($H$151:N$151)-1,$E155)=0,$F155*$D155*$G155,)),)</f>
        <v>0</v>
      </c>
      <c r="O155" s="288">
        <f>IFERROR(IF($B155="N/A","N/A",IF(MOD(COLUMNS($H$151:O$151)-1,$E155)=0,$F155*$D155*$G155,)),)</f>
        <v>0</v>
      </c>
      <c r="P155" s="288">
        <f>IFERROR(IF($B155="N/A","N/A",IF(MOD(COLUMNS($H$151:P$151)-1,$E155)=0,$F155*$D155*$G155,)),)</f>
        <v>0</v>
      </c>
      <c r="Q155" s="288">
        <f>IFERROR(IF($B155="N/A","N/A",IF(MOD(COLUMNS($H$151:Q$151)-1,$E155)=0,$F155*$D155*$G155,)),)</f>
        <v>0</v>
      </c>
      <c r="R155" s="288">
        <f>IFERROR(IF($B155="N/A","N/A",IF(MOD(COLUMNS($H$151:R$151)-1,$E155)=0,$F155*$D155*$G155,)),)</f>
        <v>283.24158666272018</v>
      </c>
      <c r="S155" s="288">
        <f>IFERROR(IF($B155="N/A","N/A",IF(MOD(COLUMNS($H$151:S$151)-1,$E155)=0,$F155*$D155*$G155,)),)</f>
        <v>0</v>
      </c>
      <c r="T155" s="288">
        <f>IFERROR(IF($B155="N/A","N/A",IF(MOD(COLUMNS($H$151:T$151)-1,$E155)=0,$F155*$D155*$G155,)),)</f>
        <v>0</v>
      </c>
      <c r="U155" s="288">
        <f>IFERROR(IF($B155="N/A","N/A",IF(MOD(COLUMNS($H$151:U$151)-1,$E155)=0,$F155*$D155*$G155,)),)</f>
        <v>0</v>
      </c>
      <c r="V155" s="288">
        <f>IFERROR(IF($B155="N/A","N/A",IF(MOD(COLUMNS($H$151:V$151)-1,$E155)=0,$F155*$D155*$G155,)),)</f>
        <v>0</v>
      </c>
      <c r="W155" s="288">
        <f>IFERROR(IF($B155="N/A","N/A",IF(MOD(COLUMNS($H$151:W$151)-1,$E155)=0,$F155*$D155*$G155,)),)</f>
        <v>283.24158666272018</v>
      </c>
    </row>
    <row r="156" spans="2:23">
      <c r="B156" s="70" t="str">
        <f t="array" ref="B156">IF(COUNTIFS(INDEX(Equipment_Allocation_New,0,MATCH($C$107,Unit_codes,0)),"&gt;0")&lt;ROWS('2.2-Equipment input'!$X$8:$X12),"N/A",INDEX('2.2-Equipment input'!B:B,SMALL(IF(INDEX(Equipment_Allocation_New,0,MATCH($C$107,Unit_codes,0))&gt;0,ROW(equipment_ID)),ROW('2.2-Equipment input'!B5))))</f>
        <v>eq0016</v>
      </c>
      <c r="C156" s="70" t="str">
        <f>IF($B156="N/A","N/A",INDEX(Equipment_name[],MATCH(B156,equipment_ID,0)))</f>
        <v>Oviposition cage (Love cage)</v>
      </c>
      <c r="D156" s="288">
        <f t="shared" si="19"/>
        <v>24.783638832988014</v>
      </c>
      <c r="E156" s="88">
        <f t="shared" si="20"/>
        <v>1</v>
      </c>
      <c r="F156" s="88">
        <f t="shared" si="21"/>
        <v>3</v>
      </c>
      <c r="G156" s="86">
        <f t="shared" si="22"/>
        <v>1</v>
      </c>
      <c r="H156" s="288">
        <f>IFERROR(IF($B156="N/A","N/A",IF(MOD(COLUMNS(H$151:$H$151)-1,$E156)=0,$F156*$D156*$G156,)),)</f>
        <v>74.35091649896404</v>
      </c>
      <c r="I156" s="288">
        <f>IFERROR(IF($B156="N/A","N/A",IF(MOD(COLUMNS($H$151:I$151)-1,$E156)=0,$F156*$D156*$G156,)),)</f>
        <v>74.35091649896404</v>
      </c>
      <c r="J156" s="288">
        <f>IFERROR(IF($B156="N/A","N/A",IF(MOD(COLUMNS($H$151:J$151)-1,$E156)=0,$F156*$D156*$G156,)),)</f>
        <v>74.35091649896404</v>
      </c>
      <c r="K156" s="288">
        <f>IFERROR(IF($B156="N/A","N/A",IF(MOD(COLUMNS($H$151:K$151)-1,$E156)=0,$F156*$D156*$G156,)),)</f>
        <v>74.35091649896404</v>
      </c>
      <c r="L156" s="288">
        <f>IFERROR(IF($B156="N/A","N/A",IF(MOD(COLUMNS($H$151:L$151)-1,$E156)=0,$F156*$D156*$G156,)),)</f>
        <v>74.35091649896404</v>
      </c>
      <c r="M156" s="288">
        <f>IFERROR(IF($B156="N/A","N/A",IF(MOD(COLUMNS($H$151:M$151)-1,$E156)=0,$F156*$D156*$G156,)),)</f>
        <v>74.35091649896404</v>
      </c>
      <c r="N156" s="288">
        <f>IFERROR(IF($B156="N/A","N/A",IF(MOD(COLUMNS($H$151:N$151)-1,$E156)=0,$F156*$D156*$G156,)),)</f>
        <v>74.35091649896404</v>
      </c>
      <c r="O156" s="288">
        <f>IFERROR(IF($B156="N/A","N/A",IF(MOD(COLUMNS($H$151:O$151)-1,$E156)=0,$F156*$D156*$G156,)),)</f>
        <v>74.35091649896404</v>
      </c>
      <c r="P156" s="288">
        <f>IFERROR(IF($B156="N/A","N/A",IF(MOD(COLUMNS($H$151:P$151)-1,$E156)=0,$F156*$D156*$G156,)),)</f>
        <v>74.35091649896404</v>
      </c>
      <c r="Q156" s="288">
        <f>IFERROR(IF($B156="N/A","N/A",IF(MOD(COLUMNS($H$151:Q$151)-1,$E156)=0,$F156*$D156*$G156,)),)</f>
        <v>74.35091649896404</v>
      </c>
      <c r="R156" s="288">
        <f>IFERROR(IF($B156="N/A","N/A",IF(MOD(COLUMNS($H$151:R$151)-1,$E156)=0,$F156*$D156*$G156,)),)</f>
        <v>74.35091649896404</v>
      </c>
      <c r="S156" s="288">
        <f>IFERROR(IF($B156="N/A","N/A",IF(MOD(COLUMNS($H$151:S$151)-1,$E156)=0,$F156*$D156*$G156,)),)</f>
        <v>74.35091649896404</v>
      </c>
      <c r="T156" s="288">
        <f>IFERROR(IF($B156="N/A","N/A",IF(MOD(COLUMNS($H$151:T$151)-1,$E156)=0,$F156*$D156*$G156,)),)</f>
        <v>74.35091649896404</v>
      </c>
      <c r="U156" s="288">
        <f>IFERROR(IF($B156="N/A","N/A",IF(MOD(COLUMNS($H$151:U$151)-1,$E156)=0,$F156*$D156*$G156,)),)</f>
        <v>74.35091649896404</v>
      </c>
      <c r="V156" s="288">
        <f>IFERROR(IF($B156="N/A","N/A",IF(MOD(COLUMNS($H$151:V$151)-1,$E156)=0,$F156*$D156*$G156,)),)</f>
        <v>74.35091649896404</v>
      </c>
      <c r="W156" s="288">
        <f>IFERROR(IF($B156="N/A","N/A",IF(MOD(COLUMNS($H$151:W$151)-1,$E156)=0,$F156*$D156*$G156,)),)</f>
        <v>74.35091649896404</v>
      </c>
    </row>
    <row r="157" spans="2:23">
      <c r="B157" s="70" t="str">
        <f t="array" ref="B157">IF(COUNTIFS(INDEX(Equipment_Allocation_New,0,MATCH($C$107,Unit_codes,0)),"&gt;0")&lt;ROWS('2.2-Equipment input'!$X$8:$X13),"N/A",INDEX('2.2-Equipment input'!B:B,SMALL(IF(INDEX(Equipment_Allocation_New,0,MATCH($C$107,Unit_codes,0))&gt;0,ROW(equipment_ID)),ROW('2.2-Equipment input'!B6))))</f>
        <v>eq0017</v>
      </c>
      <c r="C157" s="70" t="str">
        <f>IF($B157="N/A","N/A",INDEX(Equipment_name[],MATCH(B157,equipment_ID,0)))</f>
        <v>Attractant container</v>
      </c>
      <c r="D157" s="288">
        <f t="shared" si="19"/>
        <v>0.1416207933313601</v>
      </c>
      <c r="E157" s="88">
        <f t="shared" si="20"/>
        <v>3</v>
      </c>
      <c r="F157" s="88">
        <f t="shared" si="21"/>
        <v>3</v>
      </c>
      <c r="G157" s="86">
        <f t="shared" si="22"/>
        <v>1</v>
      </c>
      <c r="H157" s="288">
        <f>IFERROR(IF($B157="N/A","N/A",IF(MOD(COLUMNS(H$151:$H$151)-1,$E157)=0,$F157*$D157*$G157,)),)</f>
        <v>0.42486237999408027</v>
      </c>
      <c r="I157" s="288">
        <f>IFERROR(IF($B157="N/A","N/A",IF(MOD(COLUMNS($H$151:I$151)-1,$E157)=0,$F157*$D157*$G157,)),)</f>
        <v>0</v>
      </c>
      <c r="J157" s="288">
        <f>IFERROR(IF($B157="N/A","N/A",IF(MOD(COLUMNS($H$151:J$151)-1,$E157)=0,$F157*$D157*$G157,)),)</f>
        <v>0</v>
      </c>
      <c r="K157" s="288">
        <f>IFERROR(IF($B157="N/A","N/A",IF(MOD(COLUMNS($H$151:K$151)-1,$E157)=0,$F157*$D157*$G157,)),)</f>
        <v>0.42486237999408027</v>
      </c>
      <c r="L157" s="288">
        <f>IFERROR(IF($B157="N/A","N/A",IF(MOD(COLUMNS($H$151:L$151)-1,$E157)=0,$F157*$D157*$G157,)),)</f>
        <v>0</v>
      </c>
      <c r="M157" s="288">
        <f>IFERROR(IF($B157="N/A","N/A",IF(MOD(COLUMNS($H$151:M$151)-1,$E157)=0,$F157*$D157*$G157,)),)</f>
        <v>0</v>
      </c>
      <c r="N157" s="288">
        <f>IFERROR(IF($B157="N/A","N/A",IF(MOD(COLUMNS($H$151:N$151)-1,$E157)=0,$F157*$D157*$G157,)),)</f>
        <v>0.42486237999408027</v>
      </c>
      <c r="O157" s="288">
        <f>IFERROR(IF($B157="N/A","N/A",IF(MOD(COLUMNS($H$151:O$151)-1,$E157)=0,$F157*$D157*$G157,)),)</f>
        <v>0</v>
      </c>
      <c r="P157" s="288">
        <f>IFERROR(IF($B157="N/A","N/A",IF(MOD(COLUMNS($H$151:P$151)-1,$E157)=0,$F157*$D157*$G157,)),)</f>
        <v>0</v>
      </c>
      <c r="Q157" s="288">
        <f>IFERROR(IF($B157="N/A","N/A",IF(MOD(COLUMNS($H$151:Q$151)-1,$E157)=0,$F157*$D157*$G157,)),)</f>
        <v>0.42486237999408027</v>
      </c>
      <c r="R157" s="288">
        <f>IFERROR(IF($B157="N/A","N/A",IF(MOD(COLUMNS($H$151:R$151)-1,$E157)=0,$F157*$D157*$G157,)),)</f>
        <v>0</v>
      </c>
      <c r="S157" s="288">
        <f>IFERROR(IF($B157="N/A","N/A",IF(MOD(COLUMNS($H$151:S$151)-1,$E157)=0,$F157*$D157*$G157,)),)</f>
        <v>0</v>
      </c>
      <c r="T157" s="288">
        <f>IFERROR(IF($B157="N/A","N/A",IF(MOD(COLUMNS($H$151:T$151)-1,$E157)=0,$F157*$D157*$G157,)),)</f>
        <v>0.42486237999408027</v>
      </c>
      <c r="U157" s="288">
        <f>IFERROR(IF($B157="N/A","N/A",IF(MOD(COLUMNS($H$151:U$151)-1,$E157)=0,$F157*$D157*$G157,)),)</f>
        <v>0</v>
      </c>
      <c r="V157" s="288">
        <f>IFERROR(IF($B157="N/A","N/A",IF(MOD(COLUMNS($H$151:V$151)-1,$E157)=0,$F157*$D157*$G157,)),)</f>
        <v>0</v>
      </c>
      <c r="W157" s="288">
        <f>IFERROR(IF($B157="N/A","N/A",IF(MOD(COLUMNS($H$151:W$151)-1,$E157)=0,$F157*$D157*$G157,)),)</f>
        <v>0.42486237999408027</v>
      </c>
    </row>
    <row r="158" spans="2:23">
      <c r="B158" s="70" t="str">
        <f t="array" ref="B158">IF(COUNTIFS(INDEX(Equipment_Allocation_New,0,MATCH($C$107,Unit_codes,0)),"&gt;0")&lt;ROWS('2.2-Equipment input'!$X$8:$X14),"N/A",INDEX('2.2-Equipment input'!B:B,SMALL(IF(INDEX(Equipment_Allocation_New,0,MATCH($C$107,Unit_codes,0))&gt;0,ROW(equipment_ID)),ROW('2.2-Equipment input'!B7))))</f>
        <v>eq0018</v>
      </c>
      <c r="C158" s="70" t="str">
        <f>IF($B158="N/A","N/A",INDEX(Equipment_name[],MATCH(B158,equipment_ID,0)))</f>
        <v>Shade box</v>
      </c>
      <c r="D158" s="288">
        <f t="shared" si="19"/>
        <v>1.7702599166420012</v>
      </c>
      <c r="E158" s="88">
        <f t="shared" si="20"/>
        <v>3</v>
      </c>
      <c r="F158" s="88">
        <f t="shared" si="21"/>
        <v>3</v>
      </c>
      <c r="G158" s="86">
        <f t="shared" si="22"/>
        <v>1</v>
      </c>
      <c r="H158" s="288">
        <f>IFERROR(IF($B158="N/A","N/A",IF(MOD(COLUMNS(H$151:$H$151)-1,$E158)=0,$F158*$D158*$G158,)),)</f>
        <v>5.3107797499260041</v>
      </c>
      <c r="I158" s="288">
        <f>IFERROR(IF($B158="N/A","N/A",IF(MOD(COLUMNS($H$151:I$151)-1,$E158)=0,$F158*$D158*$G158,)),)</f>
        <v>0</v>
      </c>
      <c r="J158" s="288">
        <f>IFERROR(IF($B158="N/A","N/A",IF(MOD(COLUMNS($H$151:J$151)-1,$E158)=0,$F158*$D158*$G158,)),)</f>
        <v>0</v>
      </c>
      <c r="K158" s="288">
        <f>IFERROR(IF($B158="N/A","N/A",IF(MOD(COLUMNS($H$151:K$151)-1,$E158)=0,$F158*$D158*$G158,)),)</f>
        <v>5.3107797499260041</v>
      </c>
      <c r="L158" s="288">
        <f>IFERROR(IF($B158="N/A","N/A",IF(MOD(COLUMNS($H$151:L$151)-1,$E158)=0,$F158*$D158*$G158,)),)</f>
        <v>0</v>
      </c>
      <c r="M158" s="288">
        <f>IFERROR(IF($B158="N/A","N/A",IF(MOD(COLUMNS($H$151:M$151)-1,$E158)=0,$F158*$D158*$G158,)),)</f>
        <v>0</v>
      </c>
      <c r="N158" s="288">
        <f>IFERROR(IF($B158="N/A","N/A",IF(MOD(COLUMNS($H$151:N$151)-1,$E158)=0,$F158*$D158*$G158,)),)</f>
        <v>5.3107797499260041</v>
      </c>
      <c r="O158" s="288">
        <f>IFERROR(IF($B158="N/A","N/A",IF(MOD(COLUMNS($H$151:O$151)-1,$E158)=0,$F158*$D158*$G158,)),)</f>
        <v>0</v>
      </c>
      <c r="P158" s="288">
        <f>IFERROR(IF($B158="N/A","N/A",IF(MOD(COLUMNS($H$151:P$151)-1,$E158)=0,$F158*$D158*$G158,)),)</f>
        <v>0</v>
      </c>
      <c r="Q158" s="288">
        <f>IFERROR(IF($B158="N/A","N/A",IF(MOD(COLUMNS($H$151:Q$151)-1,$E158)=0,$F158*$D158*$G158,)),)</f>
        <v>5.3107797499260041</v>
      </c>
      <c r="R158" s="288">
        <f>IFERROR(IF($B158="N/A","N/A",IF(MOD(COLUMNS($H$151:R$151)-1,$E158)=0,$F158*$D158*$G158,)),)</f>
        <v>0</v>
      </c>
      <c r="S158" s="288">
        <f>IFERROR(IF($B158="N/A","N/A",IF(MOD(COLUMNS($H$151:S$151)-1,$E158)=0,$F158*$D158*$G158,)),)</f>
        <v>0</v>
      </c>
      <c r="T158" s="288">
        <f>IFERROR(IF($B158="N/A","N/A",IF(MOD(COLUMNS($H$151:T$151)-1,$E158)=0,$F158*$D158*$G158,)),)</f>
        <v>5.3107797499260041</v>
      </c>
      <c r="U158" s="288">
        <f>IFERROR(IF($B158="N/A","N/A",IF(MOD(COLUMNS($H$151:U$151)-1,$E158)=0,$F158*$D158*$G158,)),)</f>
        <v>0</v>
      </c>
      <c r="V158" s="288">
        <f>IFERROR(IF($B158="N/A","N/A",IF(MOD(COLUMNS($H$151:V$151)-1,$E158)=0,$F158*$D158*$G158,)),)</f>
        <v>0</v>
      </c>
      <c r="W158" s="288">
        <f>IFERROR(IF($B158="N/A","N/A",IF(MOD(COLUMNS($H$151:W$151)-1,$E158)=0,$F158*$D158*$G158,)),)</f>
        <v>5.3107797499260041</v>
      </c>
    </row>
    <row r="159" spans="2:23">
      <c r="B159" s="70" t="str">
        <f t="array" ref="B159">IF(COUNTIFS(INDEX(Equipment_Allocation_New,0,MATCH($C$107,Unit_codes,0)),"&gt;0")&lt;ROWS('2.2-Equipment input'!$X$8:$X15),"N/A",INDEX('2.2-Equipment input'!B:B,SMALL(IF(INDEX(Equipment_Allocation_New,0,MATCH($C$107,Unit_codes,0))&gt;0,ROW(equipment_ID)),ROW('2.2-Equipment input'!B8))))</f>
        <v>eq0019</v>
      </c>
      <c r="C159" s="70" t="str">
        <f>IF($B159="N/A","N/A",INDEX(Equipment_name[],MATCH(B159,equipment_ID,0)))</f>
        <v>Mobile fly harvester with attracting light</v>
      </c>
      <c r="D159" s="288">
        <f t="shared" si="19"/>
        <v>63.729356999112042</v>
      </c>
      <c r="E159" s="88">
        <f t="shared" si="20"/>
        <v>5</v>
      </c>
      <c r="F159" s="88">
        <f t="shared" si="21"/>
        <v>1</v>
      </c>
      <c r="G159" s="86">
        <f t="shared" si="22"/>
        <v>1</v>
      </c>
      <c r="H159" s="288">
        <f>IFERROR(IF($B159="N/A","N/A",IF(MOD(COLUMNS(H$151:$H$151)-1,$E159)=0,$F159*$D159*$G159,)),)</f>
        <v>63.729356999112042</v>
      </c>
      <c r="I159" s="288">
        <f>IFERROR(IF($B159="N/A","N/A",IF(MOD(COLUMNS($H$151:I$151)-1,$E159)=0,$F159*$D159*$G159,)),)</f>
        <v>0</v>
      </c>
      <c r="J159" s="288">
        <f>IFERROR(IF($B159="N/A","N/A",IF(MOD(COLUMNS($H$151:J$151)-1,$E159)=0,$F159*$D159*$G159,)),)</f>
        <v>0</v>
      </c>
      <c r="K159" s="288">
        <f>IFERROR(IF($B159="N/A","N/A",IF(MOD(COLUMNS($H$151:K$151)-1,$E159)=0,$F159*$D159*$G159,)),)</f>
        <v>0</v>
      </c>
      <c r="L159" s="288">
        <f>IFERROR(IF($B159="N/A","N/A",IF(MOD(COLUMNS($H$151:L$151)-1,$E159)=0,$F159*$D159*$G159,)),)</f>
        <v>0</v>
      </c>
      <c r="M159" s="288">
        <f>IFERROR(IF($B159="N/A","N/A",IF(MOD(COLUMNS($H$151:M$151)-1,$E159)=0,$F159*$D159*$G159,)),)</f>
        <v>63.729356999112042</v>
      </c>
      <c r="N159" s="288">
        <f>IFERROR(IF($B159="N/A","N/A",IF(MOD(COLUMNS($H$151:N$151)-1,$E159)=0,$F159*$D159*$G159,)),)</f>
        <v>0</v>
      </c>
      <c r="O159" s="288">
        <f>IFERROR(IF($B159="N/A","N/A",IF(MOD(COLUMNS($H$151:O$151)-1,$E159)=0,$F159*$D159*$G159,)),)</f>
        <v>0</v>
      </c>
      <c r="P159" s="288">
        <f>IFERROR(IF($B159="N/A","N/A",IF(MOD(COLUMNS($H$151:P$151)-1,$E159)=0,$F159*$D159*$G159,)),)</f>
        <v>0</v>
      </c>
      <c r="Q159" s="288">
        <f>IFERROR(IF($B159="N/A","N/A",IF(MOD(COLUMNS($H$151:Q$151)-1,$E159)=0,$F159*$D159*$G159,)),)</f>
        <v>0</v>
      </c>
      <c r="R159" s="288">
        <f>IFERROR(IF($B159="N/A","N/A",IF(MOD(COLUMNS($H$151:R$151)-1,$E159)=0,$F159*$D159*$G159,)),)</f>
        <v>63.729356999112042</v>
      </c>
      <c r="S159" s="288">
        <f>IFERROR(IF($B159="N/A","N/A",IF(MOD(COLUMNS($H$151:S$151)-1,$E159)=0,$F159*$D159*$G159,)),)</f>
        <v>0</v>
      </c>
      <c r="T159" s="288">
        <f>IFERROR(IF($B159="N/A","N/A",IF(MOD(COLUMNS($H$151:T$151)-1,$E159)=0,$F159*$D159*$G159,)),)</f>
        <v>0</v>
      </c>
      <c r="U159" s="288">
        <f>IFERROR(IF($B159="N/A","N/A",IF(MOD(COLUMNS($H$151:U$151)-1,$E159)=0,$F159*$D159*$G159,)),)</f>
        <v>0</v>
      </c>
      <c r="V159" s="288">
        <f>IFERROR(IF($B159="N/A","N/A",IF(MOD(COLUMNS($H$151:V$151)-1,$E159)=0,$F159*$D159*$G159,)),)</f>
        <v>0</v>
      </c>
      <c r="W159" s="288">
        <f>IFERROR(IF($B159="N/A","N/A",IF(MOD(COLUMNS($H$151:W$151)-1,$E159)=0,$F159*$D159*$G159,)),)</f>
        <v>63.729356999112042</v>
      </c>
    </row>
    <row r="160" spans="2:23">
      <c r="B160" s="70" t="str">
        <f t="array" ref="B160">IF(COUNTIFS(INDEX(Equipment_Allocation_New,0,MATCH($C$107,Unit_codes,0)),"&gt;0")&lt;ROWS('2.2-Equipment input'!$X$8:$X16),"N/A",INDEX('2.2-Equipment input'!B:B,SMALL(IF(INDEX(Equipment_Allocation_New,0,MATCH($C$107,Unit_codes,0))&gt;0,ROW(equipment_ID)),ROW('2.2-Equipment input'!B9))))</f>
        <v>eq0020</v>
      </c>
      <c r="C160" s="70" t="str">
        <f>IF($B160="N/A","N/A",INDEX(Equipment_name[],MATCH(B160,equipment_ID,0)))</f>
        <v>Oviposition cage frame</v>
      </c>
      <c r="D160" s="288">
        <f t="shared" si="19"/>
        <v>141.62079333136009</v>
      </c>
      <c r="E160" s="88">
        <f t="shared" si="20"/>
        <v>5</v>
      </c>
      <c r="F160" s="88">
        <f t="shared" si="21"/>
        <v>1</v>
      </c>
      <c r="G160" s="86">
        <f t="shared" si="22"/>
        <v>1</v>
      </c>
      <c r="H160" s="288">
        <f>IFERROR(IF($B160="N/A","N/A",IF(MOD(COLUMNS(H$151:$H$151)-1,$E160)=0,$F160*$D160*$G160,)),)</f>
        <v>141.62079333136009</v>
      </c>
      <c r="I160" s="288">
        <f>IFERROR(IF($B160="N/A","N/A",IF(MOD(COLUMNS($H$151:I$151)-1,$E160)=0,$F160*$D160*$G160,)),)</f>
        <v>0</v>
      </c>
      <c r="J160" s="288">
        <f>IFERROR(IF($B160="N/A","N/A",IF(MOD(COLUMNS($H$151:J$151)-1,$E160)=0,$F160*$D160*$G160,)),)</f>
        <v>0</v>
      </c>
      <c r="K160" s="288">
        <f>IFERROR(IF($B160="N/A","N/A",IF(MOD(COLUMNS($H$151:K$151)-1,$E160)=0,$F160*$D160*$G160,)),)</f>
        <v>0</v>
      </c>
      <c r="L160" s="288">
        <f>IFERROR(IF($B160="N/A","N/A",IF(MOD(COLUMNS($H$151:L$151)-1,$E160)=0,$F160*$D160*$G160,)),)</f>
        <v>0</v>
      </c>
      <c r="M160" s="288">
        <f>IFERROR(IF($B160="N/A","N/A",IF(MOD(COLUMNS($H$151:M$151)-1,$E160)=0,$F160*$D160*$G160,)),)</f>
        <v>141.62079333136009</v>
      </c>
      <c r="N160" s="288">
        <f>IFERROR(IF($B160="N/A","N/A",IF(MOD(COLUMNS($H$151:N$151)-1,$E160)=0,$F160*$D160*$G160,)),)</f>
        <v>0</v>
      </c>
      <c r="O160" s="288">
        <f>IFERROR(IF($B160="N/A","N/A",IF(MOD(COLUMNS($H$151:O$151)-1,$E160)=0,$F160*$D160*$G160,)),)</f>
        <v>0</v>
      </c>
      <c r="P160" s="288">
        <f>IFERROR(IF($B160="N/A","N/A",IF(MOD(COLUMNS($H$151:P$151)-1,$E160)=0,$F160*$D160*$G160,)),)</f>
        <v>0</v>
      </c>
      <c r="Q160" s="288">
        <f>IFERROR(IF($B160="N/A","N/A",IF(MOD(COLUMNS($H$151:Q$151)-1,$E160)=0,$F160*$D160*$G160,)),)</f>
        <v>0</v>
      </c>
      <c r="R160" s="288">
        <f>IFERROR(IF($B160="N/A","N/A",IF(MOD(COLUMNS($H$151:R$151)-1,$E160)=0,$F160*$D160*$G160,)),)</f>
        <v>141.62079333136009</v>
      </c>
      <c r="S160" s="288">
        <f>IFERROR(IF($B160="N/A","N/A",IF(MOD(COLUMNS($H$151:S$151)-1,$E160)=0,$F160*$D160*$G160,)),)</f>
        <v>0</v>
      </c>
      <c r="T160" s="288">
        <f>IFERROR(IF($B160="N/A","N/A",IF(MOD(COLUMNS($H$151:T$151)-1,$E160)=0,$F160*$D160*$G160,)),)</f>
        <v>0</v>
      </c>
      <c r="U160" s="288">
        <f>IFERROR(IF($B160="N/A","N/A",IF(MOD(COLUMNS($H$151:U$151)-1,$E160)=0,$F160*$D160*$G160,)),)</f>
        <v>0</v>
      </c>
      <c r="V160" s="288">
        <f>IFERROR(IF($B160="N/A","N/A",IF(MOD(COLUMNS($H$151:V$151)-1,$E160)=0,$F160*$D160*$G160,)),)</f>
        <v>0</v>
      </c>
      <c r="W160" s="288">
        <f>IFERROR(IF($B160="N/A","N/A",IF(MOD(COLUMNS($H$151:W$151)-1,$E160)=0,$F160*$D160*$G160,)),)</f>
        <v>141.62079333136009</v>
      </c>
    </row>
    <row r="161" spans="2:23">
      <c r="B161" s="70" t="str">
        <f t="array" ref="B161">IF(COUNTIFS(INDEX(Equipment_Allocation_New,0,MATCH($C$107,Unit_codes,0)),"&gt;0")&lt;ROWS('2.2-Equipment input'!$X$8:$X17),"N/A",INDEX('2.2-Equipment input'!B:B,SMALL(IF(INDEX(Equipment_Allocation_New,0,MATCH($C$107,Unit_codes,0))&gt;0,ROW(equipment_ID)),ROW('2.2-Equipment input'!B10))))</f>
        <v>eq0023</v>
      </c>
      <c r="C161" s="70" t="str">
        <f>IF($B161="N/A","N/A",INDEX(Equipment_name[],MATCH(B161,equipment_ID,0)))</f>
        <v>Oviball holder</v>
      </c>
      <c r="D161" s="288">
        <f t="shared" si="19"/>
        <v>0.70810396665680042</v>
      </c>
      <c r="E161" s="88">
        <f t="shared" si="20"/>
        <v>5</v>
      </c>
      <c r="F161" s="88">
        <f t="shared" si="21"/>
        <v>1</v>
      </c>
      <c r="G161" s="88">
        <f t="shared" si="22"/>
        <v>0.5</v>
      </c>
      <c r="H161" s="288">
        <f>IFERROR(IF($B161="N/A","N/A",IF(MOD(COLUMNS(H$151:$H$151)-1,$E161)=0,$F161*$D161*$G161,)),)</f>
        <v>0.35405198332840021</v>
      </c>
      <c r="I161" s="288">
        <f>IFERROR(IF($B161="N/A","N/A",IF(MOD(COLUMNS($H$151:I$151)-1,$E161)=0,$F161*$D161*$G161,)),)</f>
        <v>0</v>
      </c>
      <c r="J161" s="288">
        <f>IFERROR(IF($B161="N/A","N/A",IF(MOD(COLUMNS($H$151:J$151)-1,$E161)=0,$F161*$D161*$G161,)),)</f>
        <v>0</v>
      </c>
      <c r="K161" s="288">
        <f>IFERROR(IF($B161="N/A","N/A",IF(MOD(COLUMNS($H$151:K$151)-1,$E161)=0,$F161*$D161*$G161,)),)</f>
        <v>0</v>
      </c>
      <c r="L161" s="288">
        <f>IFERROR(IF($B161="N/A","N/A",IF(MOD(COLUMNS($H$151:L$151)-1,$E161)=0,$F161*$D161*$G161,)),)</f>
        <v>0</v>
      </c>
      <c r="M161" s="288">
        <f>IFERROR(IF($B161="N/A","N/A",IF(MOD(COLUMNS($H$151:M$151)-1,$E161)=0,$F161*$D161*$G161,)),)</f>
        <v>0.35405198332840021</v>
      </c>
      <c r="N161" s="288">
        <f>IFERROR(IF($B161="N/A","N/A",IF(MOD(COLUMNS($H$151:N$151)-1,$E161)=0,$F161*$D161*$G161,)),)</f>
        <v>0</v>
      </c>
      <c r="O161" s="288">
        <f>IFERROR(IF($B161="N/A","N/A",IF(MOD(COLUMNS($H$151:O$151)-1,$E161)=0,$F161*$D161*$G161,)),)</f>
        <v>0</v>
      </c>
      <c r="P161" s="288">
        <f>IFERROR(IF($B161="N/A","N/A",IF(MOD(COLUMNS($H$151:P$151)-1,$E161)=0,$F161*$D161*$G161,)),)</f>
        <v>0</v>
      </c>
      <c r="Q161" s="288">
        <f>IFERROR(IF($B161="N/A","N/A",IF(MOD(COLUMNS($H$151:Q$151)-1,$E161)=0,$F161*$D161*$G161,)),)</f>
        <v>0</v>
      </c>
      <c r="R161" s="288">
        <f>IFERROR(IF($B161="N/A","N/A",IF(MOD(COLUMNS($H$151:R$151)-1,$E161)=0,$F161*$D161*$G161,)),)</f>
        <v>0.35405198332840021</v>
      </c>
      <c r="S161" s="288">
        <f>IFERROR(IF($B161="N/A","N/A",IF(MOD(COLUMNS($H$151:S$151)-1,$E161)=0,$F161*$D161*$G161,)),)</f>
        <v>0</v>
      </c>
      <c r="T161" s="288">
        <f>IFERROR(IF($B161="N/A","N/A",IF(MOD(COLUMNS($H$151:T$151)-1,$E161)=0,$F161*$D161*$G161,)),)</f>
        <v>0</v>
      </c>
      <c r="U161" s="288">
        <f>IFERROR(IF($B161="N/A","N/A",IF(MOD(COLUMNS($H$151:U$151)-1,$E161)=0,$F161*$D161*$G161,)),)</f>
        <v>0</v>
      </c>
      <c r="V161" s="288">
        <f>IFERROR(IF($B161="N/A","N/A",IF(MOD(COLUMNS($H$151:V$151)-1,$E161)=0,$F161*$D161*$G161,)),)</f>
        <v>0</v>
      </c>
      <c r="W161" s="288">
        <f>IFERROR(IF($B161="N/A","N/A",IF(MOD(COLUMNS($H$151:W$151)-1,$E161)=0,$F161*$D161*$G161,)),)</f>
        <v>0.35405198332840021</v>
      </c>
    </row>
    <row r="162" spans="2:23">
      <c r="B162" s="70" t="str">
        <f t="array" ref="B162">IF(COUNTIFS(INDEX(Equipment_Allocation_New,0,MATCH($C$107,Unit_codes,0)),"&gt;0")&lt;ROWS('2.2-Equipment input'!$X$8:$X18),"N/A",INDEX('2.2-Equipment input'!B:B,SMALL(IF(INDEX(Equipment_Allocation_New,0,MATCH($C$107,Unit_codes,0))&gt;0,ROW(equipment_ID)),ROW('2.2-Equipment input'!B11))))</f>
        <v>eq0024</v>
      </c>
      <c r="C162" s="70" t="str">
        <f>IF($B162="N/A","N/A",INDEX(Equipment_name[],MATCH(B162,equipment_ID,0)))</f>
        <v>Egg media</v>
      </c>
      <c r="D162" s="288">
        <f t="shared" si="19"/>
        <v>0.70810396665680042</v>
      </c>
      <c r="E162" s="88">
        <f t="shared" si="20"/>
        <v>5</v>
      </c>
      <c r="F162" s="88">
        <f t="shared" si="21"/>
        <v>30</v>
      </c>
      <c r="G162" s="88">
        <f t="shared" si="22"/>
        <v>0.5</v>
      </c>
      <c r="H162" s="288">
        <f>IFERROR(IF($B162="N/A","N/A",IF(MOD(COLUMNS(H$151:$H$151)-1,$E162)=0,$F162*$D162*$G162,)),)</f>
        <v>10.621559499852006</v>
      </c>
      <c r="I162" s="288">
        <f>IFERROR(IF($B162="N/A","N/A",IF(MOD(COLUMNS($H$151:I$151)-1,$E162)=0,$F162*$D162*$G162,)),)</f>
        <v>0</v>
      </c>
      <c r="J162" s="288">
        <f>IFERROR(IF($B162="N/A","N/A",IF(MOD(COLUMNS($H$151:J$151)-1,$E162)=0,$F162*$D162*$G162,)),)</f>
        <v>0</v>
      </c>
      <c r="K162" s="288">
        <f>IFERROR(IF($B162="N/A","N/A",IF(MOD(COLUMNS($H$151:K$151)-1,$E162)=0,$F162*$D162*$G162,)),)</f>
        <v>0</v>
      </c>
      <c r="L162" s="288">
        <f>IFERROR(IF($B162="N/A","N/A",IF(MOD(COLUMNS($H$151:L$151)-1,$E162)=0,$F162*$D162*$G162,)),)</f>
        <v>0</v>
      </c>
      <c r="M162" s="288">
        <f>IFERROR(IF($B162="N/A","N/A",IF(MOD(COLUMNS($H$151:M$151)-1,$E162)=0,$F162*$D162*$G162,)),)</f>
        <v>10.621559499852006</v>
      </c>
      <c r="N162" s="288">
        <f>IFERROR(IF($B162="N/A","N/A",IF(MOD(COLUMNS($H$151:N$151)-1,$E162)=0,$F162*$D162*$G162,)),)</f>
        <v>0</v>
      </c>
      <c r="O162" s="288">
        <f>IFERROR(IF($B162="N/A","N/A",IF(MOD(COLUMNS($H$151:O$151)-1,$E162)=0,$F162*$D162*$G162,)),)</f>
        <v>0</v>
      </c>
      <c r="P162" s="288">
        <f>IFERROR(IF($B162="N/A","N/A",IF(MOD(COLUMNS($H$151:P$151)-1,$E162)=0,$F162*$D162*$G162,)),)</f>
        <v>0</v>
      </c>
      <c r="Q162" s="288">
        <f>IFERROR(IF($B162="N/A","N/A",IF(MOD(COLUMNS($H$151:Q$151)-1,$E162)=0,$F162*$D162*$G162,)),)</f>
        <v>0</v>
      </c>
      <c r="R162" s="288">
        <f>IFERROR(IF($B162="N/A","N/A",IF(MOD(COLUMNS($H$151:R$151)-1,$E162)=0,$F162*$D162*$G162,)),)</f>
        <v>10.621559499852006</v>
      </c>
      <c r="S162" s="288">
        <f>IFERROR(IF($B162="N/A","N/A",IF(MOD(COLUMNS($H$151:S$151)-1,$E162)=0,$F162*$D162*$G162,)),)</f>
        <v>0</v>
      </c>
      <c r="T162" s="288">
        <f>IFERROR(IF($B162="N/A","N/A",IF(MOD(COLUMNS($H$151:T$151)-1,$E162)=0,$F162*$D162*$G162,)),)</f>
        <v>0</v>
      </c>
      <c r="U162" s="288">
        <f>IFERROR(IF($B162="N/A","N/A",IF(MOD(COLUMNS($H$151:U$151)-1,$E162)=0,$F162*$D162*$G162,)),)</f>
        <v>0</v>
      </c>
      <c r="V162" s="288">
        <f>IFERROR(IF($B162="N/A","N/A",IF(MOD(COLUMNS($H$151:V$151)-1,$E162)=0,$F162*$D162*$G162,)),)</f>
        <v>0</v>
      </c>
      <c r="W162" s="288">
        <f>IFERROR(IF($B162="N/A","N/A",IF(MOD(COLUMNS($H$151:W$151)-1,$E162)=0,$F162*$D162*$G162,)),)</f>
        <v>10.621559499852006</v>
      </c>
    </row>
    <row r="163" spans="2:23">
      <c r="B163" s="70" t="str">
        <f t="array" ref="B163">IF(COUNTIFS(INDEX(Equipment_Allocation_New,0,MATCH($C$107,Unit_codes,0)),"&gt;0")&lt;ROWS('2.2-Equipment input'!$X$8:$X19),"N/A",INDEX('2.2-Equipment input'!B:B,SMALL(IF(INDEX(Equipment_Allocation_New,0,MATCH($C$107,Unit_codes,0))&gt;0,ROW(equipment_ID)),ROW('2.2-Equipment input'!B12))))</f>
        <v>eq0025</v>
      </c>
      <c r="C163" s="70" t="str">
        <f>IF($B163="N/A","N/A",INDEX(Equipment_name[],MATCH(B163,equipment_ID,0)))</f>
        <v>Working table</v>
      </c>
      <c r="D163" s="288">
        <f t="shared" si="19"/>
        <v>177.02599166420012</v>
      </c>
      <c r="E163" s="88">
        <f t="shared" si="20"/>
        <v>5</v>
      </c>
      <c r="F163" s="88">
        <f t="shared" si="21"/>
        <v>1</v>
      </c>
      <c r="G163" s="88">
        <f t="shared" si="22"/>
        <v>0.5</v>
      </c>
      <c r="H163" s="288">
        <f>IFERROR(IF($B163="N/A","N/A",IF(MOD(COLUMNS(H$151:$H$151)-1,$E163)=0,$F163*$D163*$G163,)),)</f>
        <v>88.51299583210006</v>
      </c>
      <c r="I163" s="288">
        <f>IFERROR(IF($B163="N/A","N/A",IF(MOD(COLUMNS($H$151:I$151)-1,$E163)=0,$F163*$D163*$G163,)),)</f>
        <v>0</v>
      </c>
      <c r="J163" s="288">
        <f>IFERROR(IF($B163="N/A","N/A",IF(MOD(COLUMNS($H$151:J$151)-1,$E163)=0,$F163*$D163*$G163,)),)</f>
        <v>0</v>
      </c>
      <c r="K163" s="288">
        <f>IFERROR(IF($B163="N/A","N/A",IF(MOD(COLUMNS($H$151:K$151)-1,$E163)=0,$F163*$D163*$G163,)),)</f>
        <v>0</v>
      </c>
      <c r="L163" s="288">
        <f>IFERROR(IF($B163="N/A","N/A",IF(MOD(COLUMNS($H$151:L$151)-1,$E163)=0,$F163*$D163*$G163,)),)</f>
        <v>0</v>
      </c>
      <c r="M163" s="288">
        <f>IFERROR(IF($B163="N/A","N/A",IF(MOD(COLUMNS($H$151:M$151)-1,$E163)=0,$F163*$D163*$G163,)),)</f>
        <v>88.51299583210006</v>
      </c>
      <c r="N163" s="288">
        <f>IFERROR(IF($B163="N/A","N/A",IF(MOD(COLUMNS($H$151:N$151)-1,$E163)=0,$F163*$D163*$G163,)),)</f>
        <v>0</v>
      </c>
      <c r="O163" s="288">
        <f>IFERROR(IF($B163="N/A","N/A",IF(MOD(COLUMNS($H$151:O$151)-1,$E163)=0,$F163*$D163*$G163,)),)</f>
        <v>0</v>
      </c>
      <c r="P163" s="288">
        <f>IFERROR(IF($B163="N/A","N/A",IF(MOD(COLUMNS($H$151:P$151)-1,$E163)=0,$F163*$D163*$G163,)),)</f>
        <v>0</v>
      </c>
      <c r="Q163" s="288">
        <f>IFERROR(IF($B163="N/A","N/A",IF(MOD(COLUMNS($H$151:Q$151)-1,$E163)=0,$F163*$D163*$G163,)),)</f>
        <v>0</v>
      </c>
      <c r="R163" s="288">
        <f>IFERROR(IF($B163="N/A","N/A",IF(MOD(COLUMNS($H$151:R$151)-1,$E163)=0,$F163*$D163*$G163,)),)</f>
        <v>88.51299583210006</v>
      </c>
      <c r="S163" s="288">
        <f>IFERROR(IF($B163="N/A","N/A",IF(MOD(COLUMNS($H$151:S$151)-1,$E163)=0,$F163*$D163*$G163,)),)</f>
        <v>0</v>
      </c>
      <c r="T163" s="288">
        <f>IFERROR(IF($B163="N/A","N/A",IF(MOD(COLUMNS($H$151:T$151)-1,$E163)=0,$F163*$D163*$G163,)),)</f>
        <v>0</v>
      </c>
      <c r="U163" s="288">
        <f>IFERROR(IF($B163="N/A","N/A",IF(MOD(COLUMNS($H$151:U$151)-1,$E163)=0,$F163*$D163*$G163,)),)</f>
        <v>0</v>
      </c>
      <c r="V163" s="288">
        <f>IFERROR(IF($B163="N/A","N/A",IF(MOD(COLUMNS($H$151:V$151)-1,$E163)=0,$F163*$D163*$G163,)),)</f>
        <v>0</v>
      </c>
      <c r="W163" s="288">
        <f>IFERROR(IF($B163="N/A","N/A",IF(MOD(COLUMNS($H$151:W$151)-1,$E163)=0,$F163*$D163*$G163,)),)</f>
        <v>88.51299583210006</v>
      </c>
    </row>
    <row r="164" spans="2:23">
      <c r="B164" s="70" t="str">
        <f t="array" ref="B164">IF(COUNTIFS(INDEX(Equipment_Allocation_New,0,MATCH($C$107,Unit_codes,0)),"&gt;0")&lt;ROWS('2.2-Equipment input'!$X$8:$X20),"N/A",INDEX('2.2-Equipment input'!B:B,SMALL(IF(INDEX(Equipment_Allocation_New,0,MATCH($C$107,Unit_codes,0))&gt;0,ROW(equipment_ID)),ROW('2.2-Equipment input'!B13))))</f>
        <v>eq0026</v>
      </c>
      <c r="C164" s="70" t="str">
        <f>IF($B164="N/A","N/A",INDEX(Equipment_name[],MATCH(B164,equipment_ID,0)))</f>
        <v>Nursery Larvero</v>
      </c>
      <c r="D164" s="288">
        <f t="shared" si="19"/>
        <v>3.5405198332840024</v>
      </c>
      <c r="E164" s="88">
        <f t="shared" si="20"/>
        <v>5</v>
      </c>
      <c r="F164" s="88">
        <f t="shared" si="21"/>
        <v>1</v>
      </c>
      <c r="G164" s="88">
        <f t="shared" si="22"/>
        <v>1</v>
      </c>
      <c r="H164" s="288">
        <f>IFERROR(IF($B164="N/A","N/A",IF(MOD(COLUMNS(H$151:$H$151)-1,$E164)=0,$F164*$D164*$G164,)),)</f>
        <v>3.5405198332840024</v>
      </c>
      <c r="I164" s="288">
        <f>IFERROR(IF($B164="N/A","N/A",IF(MOD(COLUMNS($H$151:I$151)-1,$E164)=0,$F164*$D164*$G164,)),)</f>
        <v>0</v>
      </c>
      <c r="J164" s="288">
        <f>IFERROR(IF($B164="N/A","N/A",IF(MOD(COLUMNS($H$151:J$151)-1,$E164)=0,$F164*$D164*$G164,)),)</f>
        <v>0</v>
      </c>
      <c r="K164" s="288">
        <f>IFERROR(IF($B164="N/A","N/A",IF(MOD(COLUMNS($H$151:K$151)-1,$E164)=0,$F164*$D164*$G164,)),)</f>
        <v>0</v>
      </c>
      <c r="L164" s="288">
        <f>IFERROR(IF($B164="N/A","N/A",IF(MOD(COLUMNS($H$151:L$151)-1,$E164)=0,$F164*$D164*$G164,)),)</f>
        <v>0</v>
      </c>
      <c r="M164" s="288">
        <f>IFERROR(IF($B164="N/A","N/A",IF(MOD(COLUMNS($H$151:M$151)-1,$E164)=0,$F164*$D164*$G164,)),)</f>
        <v>3.5405198332840024</v>
      </c>
      <c r="N164" s="288">
        <f>IFERROR(IF($B164="N/A","N/A",IF(MOD(COLUMNS($H$151:N$151)-1,$E164)=0,$F164*$D164*$G164,)),)</f>
        <v>0</v>
      </c>
      <c r="O164" s="288">
        <f>IFERROR(IF($B164="N/A","N/A",IF(MOD(COLUMNS($H$151:O$151)-1,$E164)=0,$F164*$D164*$G164,)),)</f>
        <v>0</v>
      </c>
      <c r="P164" s="288">
        <f>IFERROR(IF($B164="N/A","N/A",IF(MOD(COLUMNS($H$151:P$151)-1,$E164)=0,$F164*$D164*$G164,)),)</f>
        <v>0</v>
      </c>
      <c r="Q164" s="288">
        <f>IFERROR(IF($B164="N/A","N/A",IF(MOD(COLUMNS($H$151:Q$151)-1,$E164)=0,$F164*$D164*$G164,)),)</f>
        <v>0</v>
      </c>
      <c r="R164" s="288">
        <f>IFERROR(IF($B164="N/A","N/A",IF(MOD(COLUMNS($H$151:R$151)-1,$E164)=0,$F164*$D164*$G164,)),)</f>
        <v>3.5405198332840024</v>
      </c>
      <c r="S164" s="288">
        <f>IFERROR(IF($B164="N/A","N/A",IF(MOD(COLUMNS($H$151:S$151)-1,$E164)=0,$F164*$D164*$G164,)),)</f>
        <v>0</v>
      </c>
      <c r="T164" s="288">
        <f>IFERROR(IF($B164="N/A","N/A",IF(MOD(COLUMNS($H$151:T$151)-1,$E164)=0,$F164*$D164*$G164,)),)</f>
        <v>0</v>
      </c>
      <c r="U164" s="288">
        <f>IFERROR(IF($B164="N/A","N/A",IF(MOD(COLUMNS($H$151:U$151)-1,$E164)=0,$F164*$D164*$G164,)),)</f>
        <v>0</v>
      </c>
      <c r="V164" s="288">
        <f>IFERROR(IF($B164="N/A","N/A",IF(MOD(COLUMNS($H$151:V$151)-1,$E164)=0,$F164*$D164*$G164,)),)</f>
        <v>0</v>
      </c>
      <c r="W164" s="288">
        <f>IFERROR(IF($B164="N/A","N/A",IF(MOD(COLUMNS($H$151:W$151)-1,$E164)=0,$F164*$D164*$G164,)),)</f>
        <v>3.5405198332840024</v>
      </c>
    </row>
    <row r="165" spans="2:23">
      <c r="B165" s="70" t="str">
        <f t="array" ref="B165">IF(COUNTIFS(INDEX(Equipment_Allocation_New,0,MATCH($C$107,Unit_codes,0)),"&gt;0")&lt;ROWS('2.2-Equipment input'!$X$8:$X21),"N/A",INDEX('2.2-Equipment input'!B:B,SMALL(IF(INDEX(Equipment_Allocation_New,0,MATCH($C$107,Unit_codes,0))&gt;0,ROW(equipment_ID)),ROW('2.2-Equipment input'!B14))))</f>
        <v>eq0028</v>
      </c>
      <c r="C165" s="70" t="str">
        <f>IF($B165="N/A","N/A",INDEX(Equipment_name[],MATCH(B165,equipment_ID,0)))</f>
        <v>Outer box</v>
      </c>
      <c r="D165" s="288">
        <f t="shared" si="19"/>
        <v>5.3107797499260032</v>
      </c>
      <c r="E165" s="88">
        <f t="shared" si="20"/>
        <v>5</v>
      </c>
      <c r="F165" s="88">
        <f t="shared" si="21"/>
        <v>1</v>
      </c>
      <c r="G165" s="88">
        <f t="shared" si="22"/>
        <v>1</v>
      </c>
      <c r="H165" s="288">
        <f>IFERROR(IF($B165="N/A","N/A",IF(MOD(COLUMNS(H$151:$H$151)-1,$E165)=0,$F165*$D165*$G165,)),)</f>
        <v>5.3107797499260032</v>
      </c>
      <c r="I165" s="288">
        <f>IFERROR(IF($B165="N/A","N/A",IF(MOD(COLUMNS($H$151:I$151)-1,$E165)=0,$F165*$D165*$G165,)),)</f>
        <v>0</v>
      </c>
      <c r="J165" s="288">
        <f>IFERROR(IF($B165="N/A","N/A",IF(MOD(COLUMNS($H$151:J$151)-1,$E165)=0,$F165*$D165*$G165,)),)</f>
        <v>0</v>
      </c>
      <c r="K165" s="288">
        <f>IFERROR(IF($B165="N/A","N/A",IF(MOD(COLUMNS($H$151:K$151)-1,$E165)=0,$F165*$D165*$G165,)),)</f>
        <v>0</v>
      </c>
      <c r="L165" s="288">
        <f>IFERROR(IF($B165="N/A","N/A",IF(MOD(COLUMNS($H$151:L$151)-1,$E165)=0,$F165*$D165*$G165,)),)</f>
        <v>0</v>
      </c>
      <c r="M165" s="288">
        <f>IFERROR(IF($B165="N/A","N/A",IF(MOD(COLUMNS($H$151:M$151)-1,$E165)=0,$F165*$D165*$G165,)),)</f>
        <v>5.3107797499260032</v>
      </c>
      <c r="N165" s="288">
        <f>IFERROR(IF($B165="N/A","N/A",IF(MOD(COLUMNS($H$151:N$151)-1,$E165)=0,$F165*$D165*$G165,)),)</f>
        <v>0</v>
      </c>
      <c r="O165" s="288">
        <f>IFERROR(IF($B165="N/A","N/A",IF(MOD(COLUMNS($H$151:O$151)-1,$E165)=0,$F165*$D165*$G165,)),)</f>
        <v>0</v>
      </c>
      <c r="P165" s="288">
        <f>IFERROR(IF($B165="N/A","N/A",IF(MOD(COLUMNS($H$151:P$151)-1,$E165)=0,$F165*$D165*$G165,)),)</f>
        <v>0</v>
      </c>
      <c r="Q165" s="288">
        <f>IFERROR(IF($B165="N/A","N/A",IF(MOD(COLUMNS($H$151:Q$151)-1,$E165)=0,$F165*$D165*$G165,)),)</f>
        <v>0</v>
      </c>
      <c r="R165" s="288">
        <f>IFERROR(IF($B165="N/A","N/A",IF(MOD(COLUMNS($H$151:R$151)-1,$E165)=0,$F165*$D165*$G165,)),)</f>
        <v>5.3107797499260032</v>
      </c>
      <c r="S165" s="288">
        <f>IFERROR(IF($B165="N/A","N/A",IF(MOD(COLUMNS($H$151:S$151)-1,$E165)=0,$F165*$D165*$G165,)),)</f>
        <v>0</v>
      </c>
      <c r="T165" s="288">
        <f>IFERROR(IF($B165="N/A","N/A",IF(MOD(COLUMNS($H$151:T$151)-1,$E165)=0,$F165*$D165*$G165,)),)</f>
        <v>0</v>
      </c>
      <c r="U165" s="288">
        <f>IFERROR(IF($B165="N/A","N/A",IF(MOD(COLUMNS($H$151:U$151)-1,$E165)=0,$F165*$D165*$G165,)),)</f>
        <v>0</v>
      </c>
      <c r="V165" s="288">
        <f>IFERROR(IF($B165="N/A","N/A",IF(MOD(COLUMNS($H$151:V$151)-1,$E165)=0,$F165*$D165*$G165,)),)</f>
        <v>0</v>
      </c>
      <c r="W165" s="288">
        <f>IFERROR(IF($B165="N/A","N/A",IF(MOD(COLUMNS($H$151:W$151)-1,$E165)=0,$F165*$D165*$G165,)),)</f>
        <v>5.3107797499260032</v>
      </c>
    </row>
    <row r="166" spans="2:23">
      <c r="B166" s="70" t="str">
        <f t="array" ref="B166">IF(COUNTIFS(INDEX(Equipment_Allocation_New,0,MATCH($C$107,Unit_codes,0)),"&gt;0")&lt;ROWS('2.2-Equipment input'!$X$8:$X22),"N/A",INDEX('2.2-Equipment input'!B:B,SMALL(IF(INDEX(Equipment_Allocation_New,0,MATCH($C$107,Unit_codes,0))&gt;0,ROW(equipment_ID)),ROW('2.2-Equipment input'!B15))))</f>
        <v>eq0029</v>
      </c>
      <c r="C166" s="70" t="str">
        <f>IF($B166="N/A","N/A",INDEX(Equipment_name[],MATCH(B166,equipment_ID,0)))</f>
        <v>Mobile Larvero frame</v>
      </c>
      <c r="D166" s="288">
        <f t="shared" si="19"/>
        <v>106.21559499852006</v>
      </c>
      <c r="E166" s="88">
        <f t="shared" si="20"/>
        <v>5</v>
      </c>
      <c r="F166" s="88">
        <f t="shared" si="21"/>
        <v>1</v>
      </c>
      <c r="G166" s="88">
        <f t="shared" si="22"/>
        <v>1</v>
      </c>
      <c r="H166" s="288">
        <f>IFERROR(IF($B166="N/A","N/A",IF(MOD(COLUMNS(H$151:$H$151)-1,$E166)=0,$F166*$D166*$G166,)),)</f>
        <v>106.21559499852006</v>
      </c>
      <c r="I166" s="288">
        <f>IFERROR(IF($B166="N/A","N/A",IF(MOD(COLUMNS($H$151:I$151)-1,$E166)=0,$F166*$D166*$G166,)),)</f>
        <v>0</v>
      </c>
      <c r="J166" s="288">
        <f>IFERROR(IF($B166="N/A","N/A",IF(MOD(COLUMNS($H$151:J$151)-1,$E166)=0,$F166*$D166*$G166,)),)</f>
        <v>0</v>
      </c>
      <c r="K166" s="288">
        <f>IFERROR(IF($B166="N/A","N/A",IF(MOD(COLUMNS($H$151:K$151)-1,$E166)=0,$F166*$D166*$G166,)),)</f>
        <v>0</v>
      </c>
      <c r="L166" s="288">
        <f>IFERROR(IF($B166="N/A","N/A",IF(MOD(COLUMNS($H$151:L$151)-1,$E166)=0,$F166*$D166*$G166,)),)</f>
        <v>0</v>
      </c>
      <c r="M166" s="288">
        <f>IFERROR(IF($B166="N/A","N/A",IF(MOD(COLUMNS($H$151:M$151)-1,$E166)=0,$F166*$D166*$G166,)),)</f>
        <v>106.21559499852006</v>
      </c>
      <c r="N166" s="288">
        <f>IFERROR(IF($B166="N/A","N/A",IF(MOD(COLUMNS($H$151:N$151)-1,$E166)=0,$F166*$D166*$G166,)),)</f>
        <v>0</v>
      </c>
      <c r="O166" s="288">
        <f>IFERROR(IF($B166="N/A","N/A",IF(MOD(COLUMNS($H$151:O$151)-1,$E166)=0,$F166*$D166*$G166,)),)</f>
        <v>0</v>
      </c>
      <c r="P166" s="288">
        <f>IFERROR(IF($B166="N/A","N/A",IF(MOD(COLUMNS($H$151:P$151)-1,$E166)=0,$F166*$D166*$G166,)),)</f>
        <v>0</v>
      </c>
      <c r="Q166" s="288">
        <f>IFERROR(IF($B166="N/A","N/A",IF(MOD(COLUMNS($H$151:Q$151)-1,$E166)=0,$F166*$D166*$G166,)),)</f>
        <v>0</v>
      </c>
      <c r="R166" s="288">
        <f>IFERROR(IF($B166="N/A","N/A",IF(MOD(COLUMNS($H$151:R$151)-1,$E166)=0,$F166*$D166*$G166,)),)</f>
        <v>106.21559499852006</v>
      </c>
      <c r="S166" s="288">
        <f>IFERROR(IF($B166="N/A","N/A",IF(MOD(COLUMNS($H$151:S$151)-1,$E166)=0,$F166*$D166*$G166,)),)</f>
        <v>0</v>
      </c>
      <c r="T166" s="288">
        <f>IFERROR(IF($B166="N/A","N/A",IF(MOD(COLUMNS($H$151:T$151)-1,$E166)=0,$F166*$D166*$G166,)),)</f>
        <v>0</v>
      </c>
      <c r="U166" s="288">
        <f>IFERROR(IF($B166="N/A","N/A",IF(MOD(COLUMNS($H$151:U$151)-1,$E166)=0,$F166*$D166*$G166,)),)</f>
        <v>0</v>
      </c>
      <c r="V166" s="288">
        <f>IFERROR(IF($B166="N/A","N/A",IF(MOD(COLUMNS($H$151:V$151)-1,$E166)=0,$F166*$D166*$G166,)),)</f>
        <v>0</v>
      </c>
      <c r="W166" s="288">
        <f>IFERROR(IF($B166="N/A","N/A",IF(MOD(COLUMNS($H$151:W$151)-1,$E166)=0,$F166*$D166*$G166,)),)</f>
        <v>106.21559499852006</v>
      </c>
    </row>
    <row r="167" spans="2:23">
      <c r="B167" s="70" t="str">
        <f t="array" ref="B167">IF(COUNTIFS(INDEX(Equipment_Allocation_New,0,MATCH($C$107,Unit_codes,0)),"&gt;0")&lt;ROWS('2.2-Equipment input'!$X$8:$X23),"N/A",INDEX('2.2-Equipment input'!B:B,SMALL(IF(INDEX(Equipment_Allocation_New,0,MATCH($C$107,Unit_codes,0))&gt;0,ROW(equipment_ID)),ROW('2.2-Equipment input'!B16))))</f>
        <v>eq0032</v>
      </c>
      <c r="C167" s="70" t="str">
        <f>IF($B167="N/A","N/A",INDEX(Equipment_name[],MATCH(B167,equipment_ID,0)))</f>
        <v>Measuring balance (nursery)</v>
      </c>
      <c r="D167" s="288">
        <f t="shared" si="19"/>
        <v>354.05198332840024</v>
      </c>
      <c r="E167" s="88">
        <f t="shared" si="20"/>
        <v>5</v>
      </c>
      <c r="F167" s="88">
        <f t="shared" si="21"/>
        <v>1</v>
      </c>
      <c r="G167" s="88">
        <f t="shared" si="22"/>
        <v>0.15</v>
      </c>
      <c r="H167" s="288">
        <f>IFERROR(IF($B167="N/A","N/A",IF(MOD(COLUMNS(H$151:$H$151)-1,$E167)=0,$F167*$D167*$G167,)),)</f>
        <v>53.107797499260037</v>
      </c>
      <c r="I167" s="288">
        <f>IFERROR(IF($B167="N/A","N/A",IF(MOD(COLUMNS($H$151:I$151)-1,$E167)=0,$F167*$D167*$G167,)),)</f>
        <v>0</v>
      </c>
      <c r="J167" s="288">
        <f>IFERROR(IF($B167="N/A","N/A",IF(MOD(COLUMNS($H$151:J$151)-1,$E167)=0,$F167*$D167*$G167,)),)</f>
        <v>0</v>
      </c>
      <c r="K167" s="288">
        <f>IFERROR(IF($B167="N/A","N/A",IF(MOD(COLUMNS($H$151:K$151)-1,$E167)=0,$F167*$D167*$G167,)),)</f>
        <v>0</v>
      </c>
      <c r="L167" s="288">
        <f>IFERROR(IF($B167="N/A","N/A",IF(MOD(COLUMNS($H$151:L$151)-1,$E167)=0,$F167*$D167*$G167,)),)</f>
        <v>0</v>
      </c>
      <c r="M167" s="288">
        <f>IFERROR(IF($B167="N/A","N/A",IF(MOD(COLUMNS($H$151:M$151)-1,$E167)=0,$F167*$D167*$G167,)),)</f>
        <v>53.107797499260037</v>
      </c>
      <c r="N167" s="288">
        <f>IFERROR(IF($B167="N/A","N/A",IF(MOD(COLUMNS($H$151:N$151)-1,$E167)=0,$F167*$D167*$G167,)),)</f>
        <v>0</v>
      </c>
      <c r="O167" s="288">
        <f>IFERROR(IF($B167="N/A","N/A",IF(MOD(COLUMNS($H$151:O$151)-1,$E167)=0,$F167*$D167*$G167,)),)</f>
        <v>0</v>
      </c>
      <c r="P167" s="288">
        <f>IFERROR(IF($B167="N/A","N/A",IF(MOD(COLUMNS($H$151:P$151)-1,$E167)=0,$F167*$D167*$G167,)),)</f>
        <v>0</v>
      </c>
      <c r="Q167" s="288">
        <f>IFERROR(IF($B167="N/A","N/A",IF(MOD(COLUMNS($H$151:Q$151)-1,$E167)=0,$F167*$D167*$G167,)),)</f>
        <v>0</v>
      </c>
      <c r="R167" s="288">
        <f>IFERROR(IF($B167="N/A","N/A",IF(MOD(COLUMNS($H$151:R$151)-1,$E167)=0,$F167*$D167*$G167,)),)</f>
        <v>53.107797499260037</v>
      </c>
      <c r="S167" s="288">
        <f>IFERROR(IF($B167="N/A","N/A",IF(MOD(COLUMNS($H$151:S$151)-1,$E167)=0,$F167*$D167*$G167,)),)</f>
        <v>0</v>
      </c>
      <c r="T167" s="288">
        <f>IFERROR(IF($B167="N/A","N/A",IF(MOD(COLUMNS($H$151:T$151)-1,$E167)=0,$F167*$D167*$G167,)),)</f>
        <v>0</v>
      </c>
      <c r="U167" s="288">
        <f>IFERROR(IF($B167="N/A","N/A",IF(MOD(COLUMNS($H$151:U$151)-1,$E167)=0,$F167*$D167*$G167,)),)</f>
        <v>0</v>
      </c>
      <c r="V167" s="288">
        <f>IFERROR(IF($B167="N/A","N/A",IF(MOD(COLUMNS($H$151:V$151)-1,$E167)=0,$F167*$D167*$G167,)),)</f>
        <v>0</v>
      </c>
      <c r="W167" s="288">
        <f>IFERROR(IF($B167="N/A","N/A",IF(MOD(COLUMNS($H$151:W$151)-1,$E167)=0,$F167*$D167*$G167,)),)</f>
        <v>53.107797499260037</v>
      </c>
    </row>
    <row r="168" spans="2:23">
      <c r="B168" s="70" t="str">
        <f t="array" ref="B168">IF(COUNTIFS(INDEX(Equipment_Allocation_New,0,MATCH($C$107,Unit_codes,0)),"&gt;0")&lt;ROWS('2.2-Equipment input'!$X$8:$X24),"N/A",INDEX('2.2-Equipment input'!B:B,SMALL(IF(INDEX(Equipment_Allocation_New,0,MATCH($C$107,Unit_codes,0))&gt;0,ROW(equipment_ID)),ROW('2.2-Equipment input'!B17))))</f>
        <v>eq0033</v>
      </c>
      <c r="C168" s="70" t="str">
        <f>IF($B168="N/A","N/A",INDEX(Equipment_name[],MATCH(B168,equipment_ID,0)))</f>
        <v>Precision balance (lab)</v>
      </c>
      <c r="D168" s="288">
        <f t="shared" si="19"/>
        <v>212.43118999704012</v>
      </c>
      <c r="E168" s="88">
        <f t="shared" si="20"/>
        <v>5</v>
      </c>
      <c r="F168" s="88">
        <f t="shared" si="21"/>
        <v>1</v>
      </c>
      <c r="G168" s="88">
        <f t="shared" si="22"/>
        <v>0.5</v>
      </c>
      <c r="H168" s="288">
        <f>IFERROR(IF($B168="N/A","N/A",IF(MOD(COLUMNS(H$151:$H$151)-1,$E168)=0,$F168*$D168*$G168,)),)</f>
        <v>106.21559499852006</v>
      </c>
      <c r="I168" s="288">
        <f>IFERROR(IF($B168="N/A","N/A",IF(MOD(COLUMNS($H$151:I$151)-1,$E168)=0,$F168*$D168*$G168,)),)</f>
        <v>0</v>
      </c>
      <c r="J168" s="288">
        <f>IFERROR(IF($B168="N/A","N/A",IF(MOD(COLUMNS($H$151:J$151)-1,$E168)=0,$F168*$D168*$G168,)),)</f>
        <v>0</v>
      </c>
      <c r="K168" s="288">
        <f>IFERROR(IF($B168="N/A","N/A",IF(MOD(COLUMNS($H$151:K$151)-1,$E168)=0,$F168*$D168*$G168,)),)</f>
        <v>0</v>
      </c>
      <c r="L168" s="288">
        <f>IFERROR(IF($B168="N/A","N/A",IF(MOD(COLUMNS($H$151:L$151)-1,$E168)=0,$F168*$D168*$G168,)),)</f>
        <v>0</v>
      </c>
      <c r="M168" s="288">
        <f>IFERROR(IF($B168="N/A","N/A",IF(MOD(COLUMNS($H$151:M$151)-1,$E168)=0,$F168*$D168*$G168,)),)</f>
        <v>106.21559499852006</v>
      </c>
      <c r="N168" s="288">
        <f>IFERROR(IF($B168="N/A","N/A",IF(MOD(COLUMNS($H$151:N$151)-1,$E168)=0,$F168*$D168*$G168,)),)</f>
        <v>0</v>
      </c>
      <c r="O168" s="288">
        <f>IFERROR(IF($B168="N/A","N/A",IF(MOD(COLUMNS($H$151:O$151)-1,$E168)=0,$F168*$D168*$G168,)),)</f>
        <v>0</v>
      </c>
      <c r="P168" s="288">
        <f>IFERROR(IF($B168="N/A","N/A",IF(MOD(COLUMNS($H$151:P$151)-1,$E168)=0,$F168*$D168*$G168,)),)</f>
        <v>0</v>
      </c>
      <c r="Q168" s="288">
        <f>IFERROR(IF($B168="N/A","N/A",IF(MOD(COLUMNS($H$151:Q$151)-1,$E168)=0,$F168*$D168*$G168,)),)</f>
        <v>0</v>
      </c>
      <c r="R168" s="288">
        <f>IFERROR(IF($B168="N/A","N/A",IF(MOD(COLUMNS($H$151:R$151)-1,$E168)=0,$F168*$D168*$G168,)),)</f>
        <v>106.21559499852006</v>
      </c>
      <c r="S168" s="288">
        <f>IFERROR(IF($B168="N/A","N/A",IF(MOD(COLUMNS($H$151:S$151)-1,$E168)=0,$F168*$D168*$G168,)),)</f>
        <v>0</v>
      </c>
      <c r="T168" s="288">
        <f>IFERROR(IF($B168="N/A","N/A",IF(MOD(COLUMNS($H$151:T$151)-1,$E168)=0,$F168*$D168*$G168,)),)</f>
        <v>0</v>
      </c>
      <c r="U168" s="288">
        <f>IFERROR(IF($B168="N/A","N/A",IF(MOD(COLUMNS($H$151:U$151)-1,$E168)=0,$F168*$D168*$G168,)),)</f>
        <v>0</v>
      </c>
      <c r="V168" s="288">
        <f>IFERROR(IF($B168="N/A","N/A",IF(MOD(COLUMNS($H$151:V$151)-1,$E168)=0,$F168*$D168*$G168,)),)</f>
        <v>0</v>
      </c>
      <c r="W168" s="288">
        <f>IFERROR(IF($B168="N/A","N/A",IF(MOD(COLUMNS($H$151:W$151)-1,$E168)=0,$F168*$D168*$G168,)),)</f>
        <v>106.21559499852006</v>
      </c>
    </row>
    <row r="169" spans="2:23">
      <c r="B169" s="70" t="str">
        <f t="array" ref="B169">IF(COUNTIFS(INDEX(Equipment_Allocation_New,0,MATCH($C$107,Unit_codes,0)),"&gt;0")&lt;ROWS('2.2-Equipment input'!$X$8:$X25),"N/A",INDEX('2.2-Equipment input'!B:B,SMALL(IF(INDEX(Equipment_Allocation_New,0,MATCH($C$107,Unit_codes,0))&gt;0,ROW(equipment_ID)),ROW('2.2-Equipment input'!B18))))</f>
        <v>eq0034</v>
      </c>
      <c r="C169" s="70" t="str">
        <f>IF($B169="N/A","N/A",INDEX(Equipment_name[],MATCH(B169,equipment_ID,0)))</f>
        <v>Washing machine</v>
      </c>
      <c r="D169" s="288">
        <f t="shared" si="19"/>
        <v>184.10703133076811</v>
      </c>
      <c r="E169" s="88">
        <f t="shared" si="20"/>
        <v>3</v>
      </c>
      <c r="F169" s="88">
        <f t="shared" si="21"/>
        <v>1</v>
      </c>
      <c r="G169" s="88">
        <f t="shared" si="22"/>
        <v>1</v>
      </c>
      <c r="H169" s="288">
        <f>IFERROR(IF($B169="N/A","N/A",IF(MOD(COLUMNS(H$151:$H$151)-1,$E169)=0,$F169*$D169*$G169,)),)</f>
        <v>184.10703133076811</v>
      </c>
      <c r="I169" s="288">
        <f>IFERROR(IF($B169="N/A","N/A",IF(MOD(COLUMNS($H$151:I$151)-1,$E169)=0,$F169*$D169*$G169,)),)</f>
        <v>0</v>
      </c>
      <c r="J169" s="288">
        <f>IFERROR(IF($B169="N/A","N/A",IF(MOD(COLUMNS($H$151:J$151)-1,$E169)=0,$F169*$D169*$G169,)),)</f>
        <v>0</v>
      </c>
      <c r="K169" s="288">
        <f>IFERROR(IF($B169="N/A","N/A",IF(MOD(COLUMNS($H$151:K$151)-1,$E169)=0,$F169*$D169*$G169,)),)</f>
        <v>184.10703133076811</v>
      </c>
      <c r="L169" s="288">
        <f>IFERROR(IF($B169="N/A","N/A",IF(MOD(COLUMNS($H$151:L$151)-1,$E169)=0,$F169*$D169*$G169,)),)</f>
        <v>0</v>
      </c>
      <c r="M169" s="288">
        <f>IFERROR(IF($B169="N/A","N/A",IF(MOD(COLUMNS($H$151:M$151)-1,$E169)=0,$F169*$D169*$G169,)),)</f>
        <v>0</v>
      </c>
      <c r="N169" s="288">
        <f>IFERROR(IF($B169="N/A","N/A",IF(MOD(COLUMNS($H$151:N$151)-1,$E169)=0,$F169*$D169*$G169,)),)</f>
        <v>184.10703133076811</v>
      </c>
      <c r="O169" s="288">
        <f>IFERROR(IF($B169="N/A","N/A",IF(MOD(COLUMNS($H$151:O$151)-1,$E169)=0,$F169*$D169*$G169,)),)</f>
        <v>0</v>
      </c>
      <c r="P169" s="288">
        <f>IFERROR(IF($B169="N/A","N/A",IF(MOD(COLUMNS($H$151:P$151)-1,$E169)=0,$F169*$D169*$G169,)),)</f>
        <v>0</v>
      </c>
      <c r="Q169" s="288">
        <f>IFERROR(IF($B169="N/A","N/A",IF(MOD(COLUMNS($H$151:Q$151)-1,$E169)=0,$F169*$D169*$G169,)),)</f>
        <v>184.10703133076811</v>
      </c>
      <c r="R169" s="288">
        <f>IFERROR(IF($B169="N/A","N/A",IF(MOD(COLUMNS($H$151:R$151)-1,$E169)=0,$F169*$D169*$G169,)),)</f>
        <v>0</v>
      </c>
      <c r="S169" s="288">
        <f>IFERROR(IF($B169="N/A","N/A",IF(MOD(COLUMNS($H$151:S$151)-1,$E169)=0,$F169*$D169*$G169,)),)</f>
        <v>0</v>
      </c>
      <c r="T169" s="288">
        <f>IFERROR(IF($B169="N/A","N/A",IF(MOD(COLUMNS($H$151:T$151)-1,$E169)=0,$F169*$D169*$G169,)),)</f>
        <v>184.10703133076811</v>
      </c>
      <c r="U169" s="288">
        <f>IFERROR(IF($B169="N/A","N/A",IF(MOD(COLUMNS($H$151:U$151)-1,$E169)=0,$F169*$D169*$G169,)),)</f>
        <v>0</v>
      </c>
      <c r="V169" s="288">
        <f>IFERROR(IF($B169="N/A","N/A",IF(MOD(COLUMNS($H$151:V$151)-1,$E169)=0,$F169*$D169*$G169,)),)</f>
        <v>0</v>
      </c>
      <c r="W169" s="288">
        <f>IFERROR(IF($B169="N/A","N/A",IF(MOD(COLUMNS($H$151:W$151)-1,$E169)=0,$F169*$D169*$G169,)),)</f>
        <v>184.10703133076811</v>
      </c>
    </row>
    <row r="170" spans="2:23">
      <c r="B170" s="70" t="str">
        <f t="array" ref="B170">IF(COUNTIFS(INDEX(Equipment_Allocation_New,0,MATCH($C$107,Unit_codes,0)),"&gt;0")&lt;ROWS('2.2-Equipment input'!$X$8:$X26),"N/A",INDEX('2.2-Equipment input'!B:B,SMALL(IF(INDEX(Equipment_Allocation_New,0,MATCH($C$107,Unit_codes,0))&gt;0,ROW(equipment_ID)),ROW('2.2-Equipment input'!B19))))</f>
        <v>eq0035</v>
      </c>
      <c r="C170" s="70" t="str">
        <f>IF($B170="N/A","N/A",INDEX(Equipment_name[],MATCH(B170,equipment_ID,0)))</f>
        <v>Mixer (compost)</v>
      </c>
      <c r="D170" s="288">
        <f t="shared" si="19"/>
        <v>566.48317332544036</v>
      </c>
      <c r="E170" s="88">
        <f t="shared" si="20"/>
        <v>5</v>
      </c>
      <c r="F170" s="88">
        <f t="shared" si="21"/>
        <v>1</v>
      </c>
      <c r="G170" s="88">
        <f t="shared" si="22"/>
        <v>0.5</v>
      </c>
      <c r="H170" s="288">
        <f>IFERROR(IF($B170="N/A","N/A",IF(MOD(COLUMNS(H$151:$H$151)-1,$E170)=0,$F170*$D170*$G170,)),)</f>
        <v>283.24158666272018</v>
      </c>
      <c r="I170" s="288">
        <f>IFERROR(IF($B170="N/A","N/A",IF(MOD(COLUMNS($H$151:I$151)-1,$E170)=0,$F170*$D170*$G170,)),)</f>
        <v>0</v>
      </c>
      <c r="J170" s="288">
        <f>IFERROR(IF($B170="N/A","N/A",IF(MOD(COLUMNS($H$151:J$151)-1,$E170)=0,$F170*$D170*$G170,)),)</f>
        <v>0</v>
      </c>
      <c r="K170" s="288">
        <f>IFERROR(IF($B170="N/A","N/A",IF(MOD(COLUMNS($H$151:K$151)-1,$E170)=0,$F170*$D170*$G170,)),)</f>
        <v>0</v>
      </c>
      <c r="L170" s="288">
        <f>IFERROR(IF($B170="N/A","N/A",IF(MOD(COLUMNS($H$151:L$151)-1,$E170)=0,$F170*$D170*$G170,)),)</f>
        <v>0</v>
      </c>
      <c r="M170" s="288">
        <f>IFERROR(IF($B170="N/A","N/A",IF(MOD(COLUMNS($H$151:M$151)-1,$E170)=0,$F170*$D170*$G170,)),)</f>
        <v>283.24158666272018</v>
      </c>
      <c r="N170" s="288">
        <f>IFERROR(IF($B170="N/A","N/A",IF(MOD(COLUMNS($H$151:N$151)-1,$E170)=0,$F170*$D170*$G170,)),)</f>
        <v>0</v>
      </c>
      <c r="O170" s="288">
        <f>IFERROR(IF($B170="N/A","N/A",IF(MOD(COLUMNS($H$151:O$151)-1,$E170)=0,$F170*$D170*$G170,)),)</f>
        <v>0</v>
      </c>
      <c r="P170" s="288">
        <f>IFERROR(IF($B170="N/A","N/A",IF(MOD(COLUMNS($H$151:P$151)-1,$E170)=0,$F170*$D170*$G170,)),)</f>
        <v>0</v>
      </c>
      <c r="Q170" s="288">
        <f>IFERROR(IF($B170="N/A","N/A",IF(MOD(COLUMNS($H$151:Q$151)-1,$E170)=0,$F170*$D170*$G170,)),)</f>
        <v>0</v>
      </c>
      <c r="R170" s="288">
        <f>IFERROR(IF($B170="N/A","N/A",IF(MOD(COLUMNS($H$151:R$151)-1,$E170)=0,$F170*$D170*$G170,)),)</f>
        <v>283.24158666272018</v>
      </c>
      <c r="S170" s="288">
        <f>IFERROR(IF($B170="N/A","N/A",IF(MOD(COLUMNS($H$151:S$151)-1,$E170)=0,$F170*$D170*$G170,)),)</f>
        <v>0</v>
      </c>
      <c r="T170" s="288">
        <f>IFERROR(IF($B170="N/A","N/A",IF(MOD(COLUMNS($H$151:T$151)-1,$E170)=0,$F170*$D170*$G170,)),)</f>
        <v>0</v>
      </c>
      <c r="U170" s="288">
        <f>IFERROR(IF($B170="N/A","N/A",IF(MOD(COLUMNS($H$151:U$151)-1,$E170)=0,$F170*$D170*$G170,)),)</f>
        <v>0</v>
      </c>
      <c r="V170" s="288">
        <f>IFERROR(IF($B170="N/A","N/A",IF(MOD(COLUMNS($H$151:V$151)-1,$E170)=0,$F170*$D170*$G170,)),)</f>
        <v>0</v>
      </c>
      <c r="W170" s="288">
        <f>IFERROR(IF($B170="N/A","N/A",IF(MOD(COLUMNS($H$151:W$151)-1,$E170)=0,$F170*$D170*$G170,)),)</f>
        <v>283.24158666272018</v>
      </c>
    </row>
    <row r="171" spans="2:23">
      <c r="B171" s="70" t="str">
        <f t="array" ref="B171">IF(COUNTIFS(INDEX(Equipment_Allocation_New,0,MATCH($C$107,Unit_codes,0)),"&gt;0")&lt;ROWS('2.2-Equipment input'!$X$8:$X27),"N/A",INDEX('2.2-Equipment input'!B:B,SMALL(IF(INDEX(Equipment_Allocation_New,0,MATCH($C$107,Unit_codes,0))&gt;0,ROW(equipment_ID)),ROW('2.2-Equipment input'!B20))))</f>
        <v>eq0036</v>
      </c>
      <c r="C171" s="70" t="str">
        <f>IF($B171="N/A","N/A",INDEX(Equipment_name[],MATCH(B171,equipment_ID,0)))</f>
        <v>Blower</v>
      </c>
      <c r="D171" s="288">
        <f t="shared" si="19"/>
        <v>0</v>
      </c>
      <c r="E171" s="88">
        <f t="shared" si="20"/>
        <v>0</v>
      </c>
      <c r="F171" s="88">
        <f t="shared" si="21"/>
        <v>5.2875000000000014</v>
      </c>
      <c r="G171" s="88">
        <f t="shared" si="22"/>
        <v>0.5</v>
      </c>
      <c r="H171" s="288">
        <f>IFERROR(IF($B171="N/A","N/A",IF(MOD(COLUMNS(H$151:$H$151)-1,$E171)=0,$F171*$D171*$G171,)),)</f>
        <v>0</v>
      </c>
      <c r="I171" s="288">
        <f>IFERROR(IF($B171="N/A","N/A",IF(MOD(COLUMNS($H$151:I$151)-1,$E171)=0,$F171*$D171*$G171,)),)</f>
        <v>0</v>
      </c>
      <c r="J171" s="288">
        <f>IFERROR(IF($B171="N/A","N/A",IF(MOD(COLUMNS($H$151:J$151)-1,$E171)=0,$F171*$D171*$G171,)),)</f>
        <v>0</v>
      </c>
      <c r="K171" s="288">
        <f>IFERROR(IF($B171="N/A","N/A",IF(MOD(COLUMNS($H$151:K$151)-1,$E171)=0,$F171*$D171*$G171,)),)</f>
        <v>0</v>
      </c>
      <c r="L171" s="288">
        <f>IFERROR(IF($B171="N/A","N/A",IF(MOD(COLUMNS($H$151:L$151)-1,$E171)=0,$F171*$D171*$G171,)),)</f>
        <v>0</v>
      </c>
      <c r="M171" s="288">
        <f>IFERROR(IF($B171="N/A","N/A",IF(MOD(COLUMNS($H$151:M$151)-1,$E171)=0,$F171*$D171*$G171,)),)</f>
        <v>0</v>
      </c>
      <c r="N171" s="288">
        <f>IFERROR(IF($B171="N/A","N/A",IF(MOD(COLUMNS($H$151:N$151)-1,$E171)=0,$F171*$D171*$G171,)),)</f>
        <v>0</v>
      </c>
      <c r="O171" s="288">
        <f>IFERROR(IF($B171="N/A","N/A",IF(MOD(COLUMNS($H$151:O$151)-1,$E171)=0,$F171*$D171*$G171,)),)</f>
        <v>0</v>
      </c>
      <c r="P171" s="288">
        <f>IFERROR(IF($B171="N/A","N/A",IF(MOD(COLUMNS($H$151:P$151)-1,$E171)=0,$F171*$D171*$G171,)),)</f>
        <v>0</v>
      </c>
      <c r="Q171" s="288">
        <f>IFERROR(IF($B171="N/A","N/A",IF(MOD(COLUMNS($H$151:Q$151)-1,$E171)=0,$F171*$D171*$G171,)),)</f>
        <v>0</v>
      </c>
      <c r="R171" s="288">
        <f>IFERROR(IF($B171="N/A","N/A",IF(MOD(COLUMNS($H$151:R$151)-1,$E171)=0,$F171*$D171*$G171,)),)</f>
        <v>0</v>
      </c>
      <c r="S171" s="288">
        <f>IFERROR(IF($B171="N/A","N/A",IF(MOD(COLUMNS($H$151:S$151)-1,$E171)=0,$F171*$D171*$G171,)),)</f>
        <v>0</v>
      </c>
      <c r="T171" s="288">
        <f>IFERROR(IF($B171="N/A","N/A",IF(MOD(COLUMNS($H$151:T$151)-1,$E171)=0,$F171*$D171*$G171,)),)</f>
        <v>0</v>
      </c>
      <c r="U171" s="288">
        <f>IFERROR(IF($B171="N/A","N/A",IF(MOD(COLUMNS($H$151:U$151)-1,$E171)=0,$F171*$D171*$G171,)),)</f>
        <v>0</v>
      </c>
      <c r="V171" s="288">
        <f>IFERROR(IF($B171="N/A","N/A",IF(MOD(COLUMNS($H$151:V$151)-1,$E171)=0,$F171*$D171*$G171,)),)</f>
        <v>0</v>
      </c>
      <c r="W171" s="288">
        <f>IFERROR(IF($B171="N/A","N/A",IF(MOD(COLUMNS($H$151:W$151)-1,$E171)=0,$F171*$D171*$G171,)),)</f>
        <v>0</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88" t="str">
        <f t="shared" si="21"/>
        <v>N/A</v>
      </c>
      <c r="G172" s="88"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88" t="str">
        <f t="shared" si="21"/>
        <v>N/A</v>
      </c>
      <c r="G173" s="88"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88" t="str">
        <f t="shared" si="21"/>
        <v>N/A</v>
      </c>
      <c r="G174" s="88"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88" t="str">
        <f t="shared" si="21"/>
        <v>N/A</v>
      </c>
      <c r="G175" s="88"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88" t="str">
        <f t="shared" si="21"/>
        <v>N/A</v>
      </c>
      <c r="G176" s="88"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88" t="str">
        <f t="shared" si="21"/>
        <v>N/A</v>
      </c>
      <c r="G177" s="88"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88" t="str">
        <f t="shared" si="21"/>
        <v>N/A</v>
      </c>
      <c r="G178" s="88"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88" t="str">
        <f t="shared" si="21"/>
        <v>N/A</v>
      </c>
      <c r="G179" s="88"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88" t="str">
        <f t="shared" si="21"/>
        <v>N/A</v>
      </c>
      <c r="G180" s="88"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88" t="str">
        <f t="shared" si="21"/>
        <v>N/A</v>
      </c>
      <c r="G181" s="88"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88" t="str">
        <f t="shared" si="21"/>
        <v>N/A</v>
      </c>
      <c r="G182" s="88"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88" t="str">
        <f t="shared" si="21"/>
        <v>N/A</v>
      </c>
      <c r="G183" s="88"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88" t="str">
        <f t="shared" si="21"/>
        <v>N/A</v>
      </c>
      <c r="G184" s="88"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88" t="str">
        <f t="shared" si="21"/>
        <v>N/A</v>
      </c>
      <c r="G185" s="88"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88" t="str">
        <f t="shared" si="21"/>
        <v>N/A</v>
      </c>
      <c r="G186" s="88"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88" t="str">
        <f t="shared" si="21"/>
        <v>N/A</v>
      </c>
      <c r="G187" s="88"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88" t="str">
        <f t="shared" si="21"/>
        <v>N/A</v>
      </c>
      <c r="G188" s="88"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88" t="str">
        <f t="shared" si="21"/>
        <v>N/A</v>
      </c>
      <c r="G189" s="88"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QBN0MQUYKexQ2W3e0BoINXA3JFhtu4VyKvkyvgnZmuvKdYG9jdeYJtcjs8+1ZYFpWZkAJOZ3gxuwTZN79aZ9Hw==" saltValue="lGH8ZWyapZ8aw3NGWPmlBA==" spinCount="100000" sheet="1" objects="1" scenarios="1" selectLockedCells="1" selectUnlockedCells="1"/>
  <mergeCells count="7">
    <mergeCell ref="C79:D79"/>
    <mergeCell ref="C80:D80"/>
    <mergeCell ref="B2:F2"/>
    <mergeCell ref="B33:D33"/>
    <mergeCell ref="C48:D48"/>
    <mergeCell ref="C49:D49"/>
    <mergeCell ref="B43:D43"/>
  </mergeCells>
  <conditionalFormatting sqref="E52:E74 B52:B74">
    <cfRule type="containsText" dxfId="479" priority="117" operator="containsText" text="N/A">
      <formula>NOT(ISERROR(SEARCH("N/A",B52)))</formula>
    </cfRule>
  </conditionalFormatting>
  <conditionalFormatting sqref="B110:C147">
    <cfRule type="containsText" dxfId="478" priority="114" operator="containsText" text="N/A">
      <formula>NOT(ISERROR(SEARCH("N/A",B110)))</formula>
    </cfRule>
  </conditionalFormatting>
  <conditionalFormatting sqref="C52:C74">
    <cfRule type="containsText" dxfId="477" priority="113" operator="containsText" text="N/A">
      <formula>NOT(ISERROR(SEARCH("N/A",C52)))</formula>
    </cfRule>
  </conditionalFormatting>
  <conditionalFormatting sqref="F52:F74">
    <cfRule type="containsText" dxfId="476" priority="111" operator="containsText" text="N/A">
      <formula>NOT(ISERROR(SEARCH("N/A",F52)))</formula>
    </cfRule>
  </conditionalFormatting>
  <conditionalFormatting sqref="E110:E147">
    <cfRule type="containsText" dxfId="475" priority="110" operator="containsText" text="N/A">
      <formula>NOT(ISERROR(SEARCH("N/A",E110)))</formula>
    </cfRule>
  </conditionalFormatting>
  <conditionalFormatting sqref="B83:B103">
    <cfRule type="containsText" dxfId="474" priority="109" operator="containsText" text="N/A">
      <formula>NOT(ISERROR(SEARCH("N/A",B83)))</formula>
    </cfRule>
  </conditionalFormatting>
  <conditionalFormatting sqref="E83:E103">
    <cfRule type="containsText" dxfId="473" priority="105" operator="containsText" text="N/A">
      <formula>NOT(ISERROR(SEARCH("N/A",E83)))</formula>
    </cfRule>
  </conditionalFormatting>
  <conditionalFormatting sqref="C83:C103">
    <cfRule type="containsText" dxfId="472" priority="104" operator="containsText" text="N/A">
      <formula>NOT(ISERROR(SEARCH("N/A",C83)))</formula>
    </cfRule>
  </conditionalFormatting>
  <conditionalFormatting sqref="F152:F189">
    <cfRule type="containsText" dxfId="471" priority="83" operator="containsText" text="N/A">
      <formula>NOT(ISERROR(SEARCH("N/A",F152)))</formula>
    </cfRule>
  </conditionalFormatting>
  <conditionalFormatting sqref="F83:F103">
    <cfRule type="containsText" dxfId="470" priority="102" operator="containsText" text="N/A">
      <formula>NOT(ISERROR(SEARCH("N/A",F83)))</formula>
    </cfRule>
  </conditionalFormatting>
  <conditionalFormatting sqref="F33 B20:D31">
    <cfRule type="containsText" dxfId="469" priority="99" operator="containsText" text="N/A">
      <formula>NOT(ISERROR(SEARCH("N/A",B20)))</formula>
    </cfRule>
  </conditionalFormatting>
  <conditionalFormatting sqref="G110:G147">
    <cfRule type="containsText" dxfId="468" priority="96" operator="containsText" text="N/A">
      <formula>NOT(ISERROR(SEARCH("N/A",G110)))</formula>
    </cfRule>
  </conditionalFormatting>
  <conditionalFormatting sqref="I110:I147">
    <cfRule type="containsText" dxfId="467" priority="95" operator="containsText" text="N/A">
      <formula>NOT(ISERROR(SEARCH("N/A",I110)))</formula>
    </cfRule>
  </conditionalFormatting>
  <conditionalFormatting sqref="K110:K147">
    <cfRule type="containsText" dxfId="466" priority="94" operator="containsText" text="N/A">
      <formula>NOT(ISERROR(SEARCH("N/A",K110)))</formula>
    </cfRule>
  </conditionalFormatting>
  <conditionalFormatting sqref="F110:F147">
    <cfRule type="containsText" dxfId="465" priority="93" operator="containsText" text="N/A">
      <formula>NOT(ISERROR(SEARCH("N/A",F110)))</formula>
    </cfRule>
  </conditionalFormatting>
  <conditionalFormatting sqref="B152:B189">
    <cfRule type="containsText" dxfId="464" priority="85" operator="containsText" text="N/A">
      <formula>NOT(ISERROR(SEARCH("N/A",B152)))</formula>
    </cfRule>
  </conditionalFormatting>
  <conditionalFormatting sqref="C152:C189">
    <cfRule type="containsText" dxfId="463" priority="84" operator="containsText" text="N/A">
      <formula>NOT(ISERROR(SEARCH("N/A",C152)))</formula>
    </cfRule>
  </conditionalFormatting>
  <conditionalFormatting sqref="E152:E189">
    <cfRule type="containsText" dxfId="462" priority="81" operator="containsText" text="N/A">
      <formula>NOT(ISERROR(SEARCH("N/A",E152)))</formula>
    </cfRule>
  </conditionalFormatting>
  <conditionalFormatting sqref="O110:O147">
    <cfRule type="containsText" dxfId="461" priority="72" operator="containsText" text="N/A">
      <formula>NOT(ISERROR(SEARCH("N/A",O110)))</formula>
    </cfRule>
  </conditionalFormatting>
  <conditionalFormatting sqref="H153:W189 I152:W152">
    <cfRule type="containsText" dxfId="460" priority="78" operator="containsText" text="N/A">
      <formula>NOT(ISERROR(SEARCH("N/A",H152)))</formula>
    </cfRule>
  </conditionalFormatting>
  <conditionalFormatting sqref="G152:G189">
    <cfRule type="containsText" dxfId="459" priority="75" operator="containsText" text="N/A">
      <formula>NOT(ISERROR(SEARCH("N/A",G152)))</formula>
    </cfRule>
  </conditionalFormatting>
  <conditionalFormatting sqref="E20:E31">
    <cfRule type="containsText" dxfId="458" priority="73" operator="containsText" text="N/A">
      <formula>NOT(ISERROR(SEARCH("N/A",E20)))</formula>
    </cfRule>
  </conditionalFormatting>
  <conditionalFormatting sqref="F39:F41">
    <cfRule type="expression" dxfId="457" priority="66">
      <formula>IF(INDIRECT("General_Currency_Selection")="CHF",TRUE)</formula>
    </cfRule>
    <cfRule type="expression" dxfId="456" priority="67">
      <formula>IF(INDIRECT("General_Currency_Selection")="EUR",TRUE)</formula>
    </cfRule>
    <cfRule type="expression" dxfId="455" priority="68">
      <formula>IF(INDIRECT("General_Currency_Selection")="USD",TRUE)</formula>
    </cfRule>
  </conditionalFormatting>
  <conditionalFormatting sqref="E39:E41">
    <cfRule type="expression" dxfId="454" priority="63">
      <formula>IF(INDIRECT("General_Currency_Selection")="CHF",TRUE)</formula>
    </cfRule>
    <cfRule type="expression" dxfId="453" priority="64">
      <formula>IF(INDIRECT("General_Currency_Selection")="EUR",TRUE)</formula>
    </cfRule>
    <cfRule type="expression" dxfId="452" priority="65">
      <formula>IF(INDIRECT("General_Currency_Selection")="USD",TRUE)</formula>
    </cfRule>
  </conditionalFormatting>
  <conditionalFormatting sqref="E43:F43">
    <cfRule type="expression" dxfId="451" priority="60">
      <formula>IF(INDIRECT("General_Currency_Selection")="CHF",TRUE)</formula>
    </cfRule>
    <cfRule type="expression" dxfId="450" priority="61">
      <formula>IF(INDIRECT("General_Currency_Selection")="EUR",TRUE)</formula>
    </cfRule>
    <cfRule type="expression" dxfId="449" priority="62">
      <formula>IF(INDIRECT("General_Currency_Selection")="USD",TRUE)</formula>
    </cfRule>
  </conditionalFormatting>
  <conditionalFormatting sqref="G35">
    <cfRule type="expression" dxfId="448" priority="57">
      <formula>IF(INDIRECT("General_Currency_Selection")="CHF",TRUE)</formula>
    </cfRule>
    <cfRule type="expression" dxfId="447" priority="58">
      <formula>IF(INDIRECT("General_Currency_Selection")="EUR",TRUE)</formula>
    </cfRule>
    <cfRule type="expression" dxfId="446" priority="59">
      <formula>IF(INDIRECT("General_Currency_Selection")="USD",TRUE)</formula>
    </cfRule>
  </conditionalFormatting>
  <conditionalFormatting sqref="G15">
    <cfRule type="expression" dxfId="445" priority="54">
      <formula>IF(INDIRECT("General_Currency_Selection")="CHF",TRUE)</formula>
    </cfRule>
    <cfRule type="expression" dxfId="444" priority="55">
      <formula>IF(INDIRECT("General_Currency_Selection")="EUR",TRUE)</formula>
    </cfRule>
    <cfRule type="expression" dxfId="443" priority="56">
      <formula>IF(INDIRECT("General_Currency_Selection")="USD",TRUE)</formula>
    </cfRule>
  </conditionalFormatting>
  <conditionalFormatting sqref="G45">
    <cfRule type="expression" dxfId="442" priority="51">
      <formula>IF(INDIRECT("General_Currency_Selection")="CHF",TRUE)</formula>
    </cfRule>
    <cfRule type="expression" dxfId="441" priority="52">
      <formula>IF(INDIRECT("General_Currency_Selection")="EUR",TRUE)</formula>
    </cfRule>
    <cfRule type="expression" dxfId="440" priority="53">
      <formula>IF(INDIRECT("General_Currency_Selection")="USD",TRUE)</formula>
    </cfRule>
  </conditionalFormatting>
  <conditionalFormatting sqref="F20:F31">
    <cfRule type="expression" dxfId="439" priority="48">
      <formula>IF(INDIRECT("General_Currency_Selection")="CHF",TRUE)</formula>
    </cfRule>
    <cfRule type="expression" dxfId="438" priority="49">
      <formula>IF(INDIRECT("General_Currency_Selection")="EUR",TRUE)</formula>
    </cfRule>
    <cfRule type="expression" dxfId="437" priority="50">
      <formula>IF(INDIRECT("General_Currency_Selection")="USD",TRUE)</formula>
    </cfRule>
  </conditionalFormatting>
  <conditionalFormatting sqref="E33">
    <cfRule type="expression" dxfId="436" priority="45">
      <formula>IF(INDIRECT("General_Currency_Selection")="CHF",TRUE)</formula>
    </cfRule>
    <cfRule type="expression" dxfId="435" priority="46">
      <formula>IF(INDIRECT("General_Currency_Selection")="EUR",TRUE)</formula>
    </cfRule>
    <cfRule type="expression" dxfId="434" priority="47">
      <formula>IF(INDIRECT("General_Currency_Selection")="USD",TRUE)</formula>
    </cfRule>
  </conditionalFormatting>
  <conditionalFormatting sqref="D52:D74">
    <cfRule type="expression" dxfId="433" priority="42">
      <formula>IF(INDIRECT("General_Currency_Selection")="CHF",TRUE)</formula>
    </cfRule>
    <cfRule type="expression" dxfId="432" priority="43">
      <formula>IF(INDIRECT("General_Currency_Selection")="EUR",TRUE)</formula>
    </cfRule>
    <cfRule type="expression" dxfId="431" priority="44">
      <formula>IF(INDIRECT("General_Currency_Selection")="USD",TRUE)</formula>
    </cfRule>
  </conditionalFormatting>
  <conditionalFormatting sqref="G52:G74">
    <cfRule type="expression" dxfId="430" priority="39">
      <formula>IF(INDIRECT("General_Currency_Selection")="CHF",TRUE)</formula>
    </cfRule>
    <cfRule type="expression" dxfId="429" priority="40">
      <formula>IF(INDIRECT("General_Currency_Selection")="EUR",TRUE)</formula>
    </cfRule>
    <cfRule type="expression" dxfId="428" priority="41">
      <formula>IF(INDIRECT("General_Currency_Selection")="USD",TRUE)</formula>
    </cfRule>
  </conditionalFormatting>
  <conditionalFormatting sqref="G76">
    <cfRule type="expression" dxfId="427" priority="36">
      <formula>IF(INDIRECT("General_Currency_Selection")="CHF",TRUE)</formula>
    </cfRule>
    <cfRule type="expression" dxfId="426" priority="37">
      <formula>IF(INDIRECT("General_Currency_Selection")="EUR",TRUE)</formula>
    </cfRule>
    <cfRule type="expression" dxfId="425" priority="38">
      <formula>IF(INDIRECT("General_Currency_Selection")="USD",TRUE)</formula>
    </cfRule>
  </conditionalFormatting>
  <conditionalFormatting sqref="D83:D103">
    <cfRule type="expression" dxfId="424" priority="33">
      <formula>IF(INDIRECT("General_Currency_Selection")="CHF",TRUE)</formula>
    </cfRule>
    <cfRule type="expression" dxfId="423" priority="34">
      <formula>IF(INDIRECT("General_Currency_Selection")="EUR",TRUE)</formula>
    </cfRule>
    <cfRule type="expression" dxfId="422" priority="35">
      <formula>IF(INDIRECT("General_Currency_Selection")="USD",TRUE)</formula>
    </cfRule>
  </conditionalFormatting>
  <conditionalFormatting sqref="G83:G103">
    <cfRule type="expression" dxfId="421" priority="30">
      <formula>IF(INDIRECT("General_Currency_Selection")="CHF",TRUE)</formula>
    </cfRule>
    <cfRule type="expression" dxfId="420" priority="31">
      <formula>IF(INDIRECT("General_Currency_Selection")="EUR",TRUE)</formula>
    </cfRule>
    <cfRule type="expression" dxfId="419" priority="32">
      <formula>IF(INDIRECT("General_Currency_Selection")="USD",TRUE)</formula>
    </cfRule>
  </conditionalFormatting>
  <conditionalFormatting sqref="G105">
    <cfRule type="expression" dxfId="418" priority="27">
      <formula>IF(INDIRECT("General_Currency_Selection")="CHF",TRUE)</formula>
    </cfRule>
    <cfRule type="expression" dxfId="417" priority="28">
      <formula>IF(INDIRECT("General_Currency_Selection")="EUR",TRUE)</formula>
    </cfRule>
    <cfRule type="expression" dxfId="416" priority="29">
      <formula>IF(INDIRECT("General_Currency_Selection")="USD",TRUE)</formula>
    </cfRule>
  </conditionalFormatting>
  <conditionalFormatting sqref="D110:D147">
    <cfRule type="expression" dxfId="415" priority="24">
      <formula>IF(INDIRECT("General_Currency_Selection")="CHF",TRUE)</formula>
    </cfRule>
    <cfRule type="expression" dxfId="414" priority="25">
      <formula>IF(INDIRECT("General_Currency_Selection")="EUR",TRUE)</formula>
    </cfRule>
    <cfRule type="expression" dxfId="413" priority="26">
      <formula>IF(INDIRECT("General_Currency_Selection")="USD",TRUE)</formula>
    </cfRule>
  </conditionalFormatting>
  <conditionalFormatting sqref="N110:N147">
    <cfRule type="expression" dxfId="412" priority="21">
      <formula>IF(INDIRECT("General_Currency_Selection")="CHF",TRUE)</formula>
    </cfRule>
    <cfRule type="expression" dxfId="411" priority="22">
      <formula>IF(INDIRECT("General_Currency_Selection")="EUR",TRUE)</formula>
    </cfRule>
    <cfRule type="expression" dxfId="410" priority="23">
      <formula>IF(INDIRECT("General_Currency_Selection")="USD",TRUE)</formula>
    </cfRule>
  </conditionalFormatting>
  <conditionalFormatting sqref="D152:D189">
    <cfRule type="expression" dxfId="409" priority="18">
      <formula>IF(INDIRECT("General_Currency_Selection")="CHF",TRUE)</formula>
    </cfRule>
    <cfRule type="expression" dxfId="408" priority="19">
      <formula>IF(INDIRECT("General_Currency_Selection")="EUR",TRUE)</formula>
    </cfRule>
    <cfRule type="expression" dxfId="407" priority="20">
      <formula>IF(INDIRECT("General_Currency_Selection")="USD",TRUE)</formula>
    </cfRule>
  </conditionalFormatting>
  <conditionalFormatting sqref="H149:W149">
    <cfRule type="expression" dxfId="406" priority="15">
      <formula>IF(INDIRECT("General_Currency_Selection")="CHF",TRUE)</formula>
    </cfRule>
    <cfRule type="expression" dxfId="405" priority="16">
      <formula>IF(INDIRECT("General_Currency_Selection")="EUR",TRUE)</formula>
    </cfRule>
    <cfRule type="expression" dxfId="404" priority="17">
      <formula>IF(INDIRECT("General_Currency_Selection")="USD",TRUE)</formula>
    </cfRule>
  </conditionalFormatting>
  <conditionalFormatting sqref="H152:W189">
    <cfRule type="expression" dxfId="403" priority="12">
      <formula>IF(INDIRECT("General_Currency_Selection")="CHF",TRUE)</formula>
    </cfRule>
    <cfRule type="expression" dxfId="402" priority="13">
      <formula>IF(INDIRECT("General_Currency_Selection")="EUR",TRUE)</formula>
    </cfRule>
    <cfRule type="expression" dxfId="401" priority="14">
      <formula>IF(INDIRECT("General_Currency_Selection")="USD",TRUE)</formula>
    </cfRule>
  </conditionalFormatting>
  <conditionalFormatting sqref="H110:H147">
    <cfRule type="expression" dxfId="400" priority="7">
      <formula>IF(INDIRECT("General_Currency_Selection")="CHF",TRUE)</formula>
    </cfRule>
    <cfRule type="expression" dxfId="399" priority="8">
      <formula>IF(INDIRECT("General_Currency_Selection")="EUR",TRUE)</formula>
    </cfRule>
    <cfRule type="expression" dxfId="398" priority="9">
      <formula>IF(INDIRECT("General_Currency_Selection")="USD",TRUE)</formula>
    </cfRule>
  </conditionalFormatting>
  <conditionalFormatting sqref="J110:J147">
    <cfRule type="expression" dxfId="397" priority="4">
      <formula>IF(INDIRECT("General_Currency_Selection")="CHF",TRUE)</formula>
    </cfRule>
    <cfRule type="expression" dxfId="396" priority="5">
      <formula>IF(INDIRECT("General_Currency_Selection")="EUR",TRUE)</formula>
    </cfRule>
    <cfRule type="expression" dxfId="395" priority="6">
      <formula>IF(INDIRECT("General_Currency_Selection")="USD",TRUE)</formula>
    </cfRule>
  </conditionalFormatting>
  <conditionalFormatting sqref="L110:L147">
    <cfRule type="expression" dxfId="394" priority="1">
      <formula>IF(INDIRECT("General_Currency_Selection")="CHF",TRUE)</formula>
    </cfRule>
    <cfRule type="expression" dxfId="393" priority="2">
      <formula>IF(INDIRECT("General_Currency_Selection")="EUR",TRUE)</formula>
    </cfRule>
    <cfRule type="expression" dxfId="392"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79998168889431442"/>
  </sheetPr>
  <dimension ref="B1:W189"/>
  <sheetViews>
    <sheetView showGridLines="0" showRowColHeaders="0" zoomScale="70" zoomScaleNormal="70" workbookViewId="0">
      <selection activeCell="I27" sqref="I27"/>
    </sheetView>
  </sheetViews>
  <sheetFormatPr defaultColWidth="11.1796875" defaultRowHeight="14.5"/>
  <cols>
    <col min="1" max="1" width="0.81640625" style="15" customWidth="1"/>
    <col min="2" max="2" width="13.81640625" style="15" customWidth="1"/>
    <col min="3" max="3" width="26.36328125" style="15" bestFit="1" customWidth="1"/>
    <col min="4" max="4" width="18.453125" style="15" customWidth="1"/>
    <col min="5" max="5" width="17.81640625" style="15" customWidth="1"/>
    <col min="6" max="6" width="26.1796875" style="15" customWidth="1"/>
    <col min="7" max="23" width="16.54296875" style="15" customWidth="1"/>
    <col min="24" max="16384" width="11.1796875" style="15"/>
  </cols>
  <sheetData>
    <row r="1" spans="2:16" ht="21">
      <c r="B1" s="1" t="s">
        <v>188</v>
      </c>
      <c r="C1" s="6"/>
      <c r="D1" s="6"/>
      <c r="E1" s="6"/>
    </row>
    <row r="2" spans="2:16" ht="15" thickBot="1">
      <c r="B2" s="905"/>
      <c r="C2" s="906"/>
      <c r="D2" s="906"/>
      <c r="E2" s="906"/>
      <c r="F2" s="907"/>
    </row>
    <row r="3" spans="2:16" ht="18.5">
      <c r="B3" s="56" t="s">
        <v>0</v>
      </c>
      <c r="C3" s="51"/>
      <c r="D3" s="51"/>
      <c r="E3" s="51"/>
      <c r="F3" s="51"/>
      <c r="G3" s="51"/>
      <c r="H3" s="51"/>
      <c r="I3" s="51"/>
      <c r="J3" s="51"/>
      <c r="K3" s="51"/>
      <c r="L3" s="51"/>
      <c r="M3" s="51"/>
      <c r="N3" s="51"/>
      <c r="O3" s="51"/>
      <c r="P3" s="51"/>
    </row>
    <row r="4" spans="2:16" ht="15.5">
      <c r="B4" s="61"/>
    </row>
    <row r="5" spans="2:16" ht="15.5">
      <c r="B5" s="61"/>
    </row>
    <row r="6" spans="2:16" ht="15.5">
      <c r="B6" s="61"/>
    </row>
    <row r="12" spans="2:16" ht="15.5">
      <c r="B12" s="838" t="s">
        <v>68</v>
      </c>
      <c r="C12" s="838" t="s">
        <v>69</v>
      </c>
      <c r="E12" s="837"/>
      <c r="F12" s="22"/>
      <c r="G12" s="22"/>
      <c r="H12" s="22"/>
      <c r="I12" s="22"/>
      <c r="J12" s="22"/>
      <c r="K12" s="22"/>
      <c r="L12" s="22"/>
      <c r="M12" s="22"/>
      <c r="N12" s="22"/>
      <c r="O12" s="22"/>
      <c r="P12" s="22"/>
    </row>
    <row r="13" spans="2:16">
      <c r="B13" s="839" t="s">
        <v>70</v>
      </c>
      <c r="C13" s="840">
        <f>General_5DOLProduction_Total</f>
        <v>1.91625</v>
      </c>
      <c r="E13" s="135"/>
      <c r="F13" s="135"/>
      <c r="G13" s="135"/>
      <c r="H13" s="135"/>
      <c r="I13" s="135"/>
      <c r="J13" s="135"/>
      <c r="K13" s="135"/>
      <c r="L13" s="135"/>
      <c r="M13" s="135"/>
      <c r="N13" s="135"/>
      <c r="O13" s="135"/>
      <c r="P13" s="22"/>
    </row>
    <row r="14" spans="2:16" ht="15" thickBot="1">
      <c r="G14" s="54"/>
    </row>
    <row r="15" spans="2:16" ht="18.5">
      <c r="B15" s="2" t="s">
        <v>71</v>
      </c>
      <c r="C15" s="103"/>
      <c r="D15" s="51"/>
      <c r="E15" s="51"/>
      <c r="F15" s="101" t="s">
        <v>128</v>
      </c>
      <c r="G15" s="836">
        <f>E33*C13*1000</f>
        <v>1779.0968346336483</v>
      </c>
      <c r="H15" s="51"/>
      <c r="I15" s="51"/>
      <c r="J15" s="51"/>
      <c r="K15" s="51"/>
      <c r="L15" s="51"/>
      <c r="M15" s="51"/>
      <c r="N15" s="51"/>
      <c r="O15" s="51"/>
      <c r="P15" s="51"/>
    </row>
    <row r="16" spans="2:16" ht="15.5">
      <c r="B16" s="61" t="s">
        <v>429</v>
      </c>
      <c r="I16" s="258"/>
      <c r="J16" s="258"/>
      <c r="K16" s="28"/>
      <c r="L16" s="258"/>
      <c r="M16" s="22"/>
    </row>
    <row r="17" spans="2:13">
      <c r="B17" s="98" t="s">
        <v>76</v>
      </c>
      <c r="C17" s="80" t="s">
        <v>521</v>
      </c>
      <c r="I17" s="28"/>
      <c r="J17" s="259"/>
      <c r="K17" s="90"/>
      <c r="L17" s="74"/>
      <c r="M17" s="22"/>
    </row>
    <row r="18" spans="2:13">
      <c r="I18" s="258"/>
      <c r="J18" s="73"/>
      <c r="K18" s="90"/>
      <c r="L18" s="74"/>
      <c r="M18" s="22"/>
    </row>
    <row r="19" spans="2:13">
      <c r="B19" s="108" t="s">
        <v>404</v>
      </c>
      <c r="C19" s="108" t="s">
        <v>405</v>
      </c>
      <c r="D19" s="98" t="s">
        <v>113</v>
      </c>
      <c r="E19" s="98" t="s">
        <v>107</v>
      </c>
      <c r="F19" s="98" t="s">
        <v>621</v>
      </c>
      <c r="I19" s="258"/>
      <c r="J19" s="73"/>
      <c r="K19" s="90"/>
      <c r="L19" s="74"/>
      <c r="M19" s="22"/>
    </row>
    <row r="20" spans="2:13">
      <c r="B20" s="71" t="str">
        <f t="array" ref="B20">IF(COUNTIFS(INDEX(Material_Input,0,MATCH($C$17,Unit_codes,0)),"&gt;0")&lt;ROWS('2.1-Material input'!$J$4:J4),"N/A",INDEX('2.1-Material input'!B:B,SMALL(IF(INDEX(Material_Input,0,MATCH($C$17,Unit_codes,0))&gt;0,ROW(Material_Code)),ROW('2.1-Material input'!B1))))</f>
        <v>ma0002</v>
      </c>
      <c r="C20" s="71" t="str">
        <f t="shared" ref="C20:C31" si="0">IF($B20="N/A","N/A",INDEX(Material_Name,MATCH(B20,Material_Code,0)))</f>
        <v>Cocopeat</v>
      </c>
      <c r="D20" s="102">
        <f t="shared" ref="D20:D31" si="1">IF($B20="N/A","N/A",INDEX(Material_Input,MATCH($B20,Material_Code,0),MATCH($C$17,Unit_codes,0)))</f>
        <v>4.4279999999999996E-3</v>
      </c>
      <c r="E20" s="87">
        <f t="shared" ref="E20:E31" si="2">IF($B20="N/A","N/A",INDEX(Material_Unit_Price,MATCH($B20,Material_Code,0)))</f>
        <v>0.35405198332840021</v>
      </c>
      <c r="F20" s="288">
        <f>IFERROR(E20*D20,"")</f>
        <v>1.567742182178156E-3</v>
      </c>
      <c r="H20" s="82"/>
      <c r="I20" s="258"/>
      <c r="J20" s="208"/>
      <c r="K20" s="90"/>
      <c r="L20" s="74"/>
      <c r="M20" s="22"/>
    </row>
    <row r="21" spans="2:13">
      <c r="B21" s="71" t="str">
        <f t="array" ref="B21">IF(COUNTIFS(INDEX(Material_Input,0,MATCH($C$17,Unit_codes,0)),"&gt;0")&lt;ROWS('2.1-Material input'!$J$4:J5),"N/A",INDEX('2.1-Material input'!B:B,SMALL(IF(INDEX(Material_Input,0,MATCH($C$17,Unit_codes,0))&gt;0,ROW(Material_Code)),ROW('2.1-Material input'!B2))))</f>
        <v>ma0003</v>
      </c>
      <c r="C21" s="71" t="str">
        <f t="shared" si="0"/>
        <v>Chicken feed</v>
      </c>
      <c r="D21" s="102">
        <f t="shared" si="1"/>
        <v>1.897</v>
      </c>
      <c r="E21" s="87">
        <f t="shared" si="2"/>
        <v>0.4885917369931923</v>
      </c>
      <c r="F21" s="288">
        <f t="shared" ref="F21:F31" si="3">IFERROR(E21*D21,"")</f>
        <v>0.92685852507608579</v>
      </c>
      <c r="I21" s="258"/>
      <c r="J21" s="73"/>
      <c r="K21" s="90"/>
      <c r="L21" s="74"/>
      <c r="M21" s="22"/>
    </row>
    <row r="22" spans="2:13">
      <c r="B22" s="71" t="str">
        <f t="array" ref="B22">IF(COUNTIFS(INDEX(Material_Input,0,MATCH($C$17,Unit_codes,0)),"&gt;0")&lt;ROWS('2.1-Material input'!$J$4:J6),"N/A",INDEX('2.1-Material input'!B:B,SMALL(IF(INDEX(Material_Input,0,MATCH($C$17,Unit_codes,0))&gt;0,ROW(Material_Code)),ROW('2.1-Material input'!B3))))</f>
        <v>ma0004</v>
      </c>
      <c r="C22" s="71" t="str">
        <f t="shared" si="0"/>
        <v>Fruit water</v>
      </c>
      <c r="D22" s="102">
        <f t="shared" si="1"/>
        <v>175.536</v>
      </c>
      <c r="E22" s="87">
        <f t="shared" si="2"/>
        <v>0</v>
      </c>
      <c r="F22" s="288">
        <f t="shared" si="3"/>
        <v>0</v>
      </c>
      <c r="I22" s="28"/>
      <c r="J22" s="73"/>
      <c r="K22" s="90"/>
      <c r="L22" s="74"/>
      <c r="M22" s="22"/>
    </row>
    <row r="23" spans="2:13">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c r="I23" s="28"/>
      <c r="J23" s="73"/>
      <c r="K23" s="90"/>
      <c r="L23" s="74"/>
      <c r="M23" s="22"/>
    </row>
    <row r="24" spans="2:13">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c r="I24" s="28"/>
      <c r="J24" s="73"/>
      <c r="K24" s="90"/>
      <c r="L24" s="74"/>
      <c r="M24" s="22"/>
    </row>
    <row r="25" spans="2:13">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c r="I25" s="28"/>
      <c r="J25" s="73"/>
      <c r="K25" s="90"/>
      <c r="L25" s="74"/>
      <c r="M25" s="22"/>
    </row>
    <row r="26" spans="2:13">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c r="I26" s="28"/>
      <c r="J26" s="73"/>
      <c r="K26" s="90"/>
      <c r="L26" s="74"/>
      <c r="M26" s="22"/>
    </row>
    <row r="27" spans="2:13">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c r="I27" s="28"/>
      <c r="J27" s="73"/>
      <c r="K27" s="90"/>
      <c r="L27" s="74"/>
      <c r="M27" s="22"/>
    </row>
    <row r="28" spans="2:13">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c r="I28" s="28"/>
      <c r="J28" s="73"/>
      <c r="K28" s="90"/>
      <c r="L28" s="74"/>
    </row>
    <row r="29" spans="2:13">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c r="I29" s="28"/>
      <c r="J29" s="73"/>
      <c r="K29" s="90"/>
      <c r="L29" s="74"/>
    </row>
    <row r="30" spans="2:13">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c r="I30" s="28"/>
      <c r="J30" s="73"/>
      <c r="K30" s="90"/>
      <c r="L30" s="74"/>
    </row>
    <row r="31" spans="2:13">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c r="I31" s="28"/>
      <c r="J31" s="73"/>
      <c r="K31" s="90"/>
      <c r="L31" s="74"/>
    </row>
    <row r="32" spans="2:13">
      <c r="B32" s="75"/>
      <c r="C32" s="75"/>
      <c r="D32" s="75"/>
      <c r="E32" s="76"/>
      <c r="K32" s="22"/>
    </row>
    <row r="33" spans="2:16">
      <c r="B33" s="902" t="s">
        <v>127</v>
      </c>
      <c r="C33" s="902"/>
      <c r="D33" s="902"/>
      <c r="E33" s="307">
        <f>SUM(F20:F31)</f>
        <v>0.92842626725826394</v>
      </c>
    </row>
    <row r="34" spans="2:16" ht="15" thickBot="1">
      <c r="G34" s="54"/>
    </row>
    <row r="35" spans="2:16" ht="18.5">
      <c r="B35" s="2" t="s">
        <v>144</v>
      </c>
      <c r="C35" s="103"/>
      <c r="D35" s="51"/>
      <c r="E35" s="51"/>
      <c r="F35" s="101" t="s">
        <v>195</v>
      </c>
      <c r="G35" s="836">
        <f>F43</f>
        <v>99.345525139576367</v>
      </c>
      <c r="H35" s="51"/>
      <c r="I35" s="51"/>
      <c r="J35" s="51"/>
      <c r="K35" s="51"/>
      <c r="L35" s="51"/>
      <c r="M35" s="51"/>
      <c r="N35" s="51"/>
      <c r="O35" s="51"/>
      <c r="P35" s="51"/>
    </row>
    <row r="36" spans="2:16" ht="15.5">
      <c r="B36" s="61" t="s">
        <v>529</v>
      </c>
      <c r="C36" s="22"/>
      <c r="D36" s="22"/>
      <c r="E36" s="22"/>
    </row>
    <row r="37" spans="2:16">
      <c r="B37" s="29"/>
      <c r="C37" s="131"/>
      <c r="D37" s="22"/>
      <c r="E37" s="22"/>
      <c r="H37" s="22"/>
      <c r="I37" s="22"/>
      <c r="J37" s="22"/>
      <c r="K37" s="22"/>
      <c r="L37" s="22"/>
    </row>
    <row r="38" spans="2:16" ht="15.5">
      <c r="C38" s="91" t="s">
        <v>515</v>
      </c>
      <c r="D38" s="91" t="s">
        <v>76</v>
      </c>
      <c r="E38" s="91" t="s">
        <v>620</v>
      </c>
      <c r="F38" s="91" t="s">
        <v>619</v>
      </c>
      <c r="H38" s="22"/>
      <c r="I38" s="73"/>
      <c r="J38" s="90"/>
      <c r="K38" s="114"/>
      <c r="L38" s="22"/>
    </row>
    <row r="39" spans="2:16">
      <c r="B39" s="98" t="str">
        <f>INDEX(Equipment_Utility_Spec_List,2)</f>
        <v>Water</v>
      </c>
      <c r="C39" s="134">
        <f>SUMPRODUCT($F$110:$F$147,$G$110:$G$147,$M$110:$M$147)</f>
        <v>2.0680254539414025E-3</v>
      </c>
      <c r="D39" s="133" t="s">
        <v>516</v>
      </c>
      <c r="E39" s="288">
        <f>SUMIF($B$110:$B$147,("&lt;&gt;N/A"),$H$110:$H$147)</f>
        <v>4.3931310812494128E-4</v>
      </c>
      <c r="F39" s="288">
        <f>E39*Staff_Days_Operation</f>
        <v>0.16034928446560356</v>
      </c>
      <c r="H39" s="22"/>
      <c r="I39" s="73"/>
      <c r="J39" s="90"/>
      <c r="K39" s="114"/>
      <c r="L39" s="135"/>
    </row>
    <row r="40" spans="2:16">
      <c r="B40" s="98" t="str">
        <f>INDEX(Equipment_Utility_Spec_List,3)</f>
        <v>Electricity</v>
      </c>
      <c r="C40" s="134">
        <f>SUMPRODUCT($F$110:$F$147,$I$110:$I$147,$M$110:$M$147)</f>
        <v>0.50038333180741912</v>
      </c>
      <c r="D40" s="133" t="s">
        <v>518</v>
      </c>
      <c r="E40" s="288">
        <f>SUMIF($B$110:$B$147,("&lt;&gt;N/A"),$J$110:$J$147)</f>
        <v>0.27174020782222125</v>
      </c>
      <c r="F40" s="288">
        <f>E40*Staff_Days_Operation</f>
        <v>99.185175855110757</v>
      </c>
      <c r="H40" s="22"/>
      <c r="I40" s="115"/>
      <c r="J40" s="114"/>
      <c r="K40" s="114"/>
      <c r="L40" s="22"/>
    </row>
    <row r="41" spans="2:16">
      <c r="B41" s="98" t="str">
        <f>INDEX(Equipment_Utility_Spec_List,4)</f>
        <v>Fuel</v>
      </c>
      <c r="C41" s="134">
        <f>SUMPRODUCT($F$110:$F$147,$K$110:$K$147,$M$110:$M$147)</f>
        <v>0</v>
      </c>
      <c r="D41" s="133" t="s">
        <v>517</v>
      </c>
      <c r="E41" s="288">
        <f>SUMIF($B$110:$B$147,("&lt;&gt;N/A"),$L$110:$L$147)</f>
        <v>0</v>
      </c>
      <c r="F41" s="288">
        <f>E41*Staff_Days_Operation</f>
        <v>0</v>
      </c>
      <c r="H41" s="22"/>
      <c r="I41" s="115"/>
      <c r="J41" s="114"/>
      <c r="K41" s="114"/>
      <c r="L41" s="22"/>
    </row>
    <row r="42" spans="2:16">
      <c r="B42" s="8"/>
      <c r="C42" s="115"/>
      <c r="D42" s="22"/>
      <c r="E42" s="132"/>
      <c r="H42" s="22"/>
      <c r="I42" s="22"/>
      <c r="J42" s="22"/>
      <c r="K42" s="22"/>
      <c r="L42" s="22"/>
    </row>
    <row r="43" spans="2:16">
      <c r="B43" s="901" t="s">
        <v>440</v>
      </c>
      <c r="C43" s="901"/>
      <c r="D43" s="901"/>
      <c r="E43" s="288">
        <f>SUM(E39:E41)</f>
        <v>0.2721795209303462</v>
      </c>
      <c r="F43" s="288">
        <f>SUM(F39:F41)</f>
        <v>99.345525139576367</v>
      </c>
      <c r="H43" s="22"/>
      <c r="I43" s="22"/>
      <c r="J43" s="22"/>
      <c r="K43" s="114"/>
      <c r="L43" s="22"/>
    </row>
    <row r="44" spans="2:16" ht="15" thickBot="1">
      <c r="F44" s="54"/>
      <c r="G44" s="54"/>
    </row>
    <row r="45" spans="2:16" ht="18.5">
      <c r="B45" s="104" t="s">
        <v>2</v>
      </c>
      <c r="C45" s="105"/>
      <c r="D45" s="79"/>
      <c r="E45" s="79"/>
      <c r="F45" s="141" t="s">
        <v>129</v>
      </c>
      <c r="G45" s="306">
        <f>SUM(G52:G74)</f>
        <v>212.43118999704018</v>
      </c>
      <c r="H45" s="79"/>
      <c r="I45" s="79"/>
      <c r="J45" s="79"/>
      <c r="K45" s="79"/>
      <c r="L45" s="79"/>
      <c r="M45" s="79"/>
      <c r="N45" s="79"/>
      <c r="O45" s="79"/>
      <c r="P45" s="79"/>
    </row>
    <row r="46" spans="2:16" ht="15.5">
      <c r="B46" s="61" t="s">
        <v>78</v>
      </c>
    </row>
    <row r="47" spans="2:16" ht="15.5">
      <c r="B47" s="61" t="s">
        <v>79</v>
      </c>
    </row>
    <row r="48" spans="2:16">
      <c r="B48" s="98" t="s">
        <v>75</v>
      </c>
      <c r="C48" s="903" t="s">
        <v>66</v>
      </c>
      <c r="D48" s="903"/>
      <c r="I48" s="82"/>
    </row>
    <row r="49" spans="2:9">
      <c r="B49" s="98" t="s">
        <v>76</v>
      </c>
      <c r="C49" s="903" t="s">
        <v>521</v>
      </c>
      <c r="D49" s="903"/>
      <c r="I49" s="83"/>
    </row>
    <row r="51" spans="2:9" ht="15.5">
      <c r="B51" s="91" t="s">
        <v>220</v>
      </c>
      <c r="C51" s="91" t="s">
        <v>4</v>
      </c>
      <c r="D51" s="91" t="s">
        <v>77</v>
      </c>
      <c r="E51" s="92" t="s">
        <v>242</v>
      </c>
      <c r="F51" s="91" t="s">
        <v>119</v>
      </c>
      <c r="G51" s="91" t="s">
        <v>120</v>
      </c>
    </row>
    <row r="52" spans="2:9" ht="14.5" customHeight="1">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pos002</v>
      </c>
      <c r="C52" s="71" t="str">
        <f>IF($B52="N/A","N/A",INDEX(Staff_position[],MATCH(B52,Staff_Position_ID,0)))</f>
        <v>Nursery staff</v>
      </c>
      <c r="D52" s="288">
        <f>IF($B52="N/A","N/A",INDEX(Staff_net_salary[],MATCH(B52,Staff_Position_ID,0)))</f>
        <v>2124.3118999704016</v>
      </c>
      <c r="E52" s="85">
        <f t="shared" ref="E52:E74" si="4">IF($B52="N/A","N/A",INDEX(Staff_number_of_employees,MATCH(B52,Staff_Position_ID,0)))</f>
        <v>1</v>
      </c>
      <c r="F52" s="86">
        <f t="shared" ref="F52:F74" si="5">IFERROR(INDEX(Staff_Position_Allocation,MATCH(B52,Staff_Position_ID),MATCH($C$49,Unit_codes,0)),"")</f>
        <v>0.1</v>
      </c>
      <c r="G52" s="288">
        <f>IFERROR(D52*E52*F52,"")</f>
        <v>212.43118999704018</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si="4"/>
        <v>N/A</v>
      </c>
      <c r="F53" s="86" t="str">
        <f t="shared" si="5"/>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4"/>
        <v>N/A</v>
      </c>
      <c r="F54" s="86" t="str">
        <f t="shared" si="5"/>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4"/>
        <v>N/A</v>
      </c>
      <c r="F55" s="86" t="str">
        <f t="shared" si="5"/>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4"/>
        <v>N/A</v>
      </c>
      <c r="F56" s="86" t="str">
        <f t="shared" si="5"/>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4"/>
        <v>N/A</v>
      </c>
      <c r="F57" s="86" t="str">
        <f t="shared" si="5"/>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4"/>
        <v>N/A</v>
      </c>
      <c r="F58" s="86" t="str">
        <f t="shared" si="5"/>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4"/>
        <v>N/A</v>
      </c>
      <c r="F59" s="86" t="str">
        <f t="shared" si="5"/>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4"/>
        <v>N/A</v>
      </c>
      <c r="F60" s="86" t="str">
        <f t="shared" si="5"/>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4"/>
        <v>N/A</v>
      </c>
      <c r="F61" s="86" t="str">
        <f t="shared" si="5"/>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4"/>
        <v>N/A</v>
      </c>
      <c r="F62" s="86" t="str">
        <f t="shared" si="5"/>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4"/>
        <v>N/A</v>
      </c>
      <c r="F63" s="86" t="str">
        <f t="shared" si="5"/>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4"/>
        <v>N/A</v>
      </c>
      <c r="F64" s="86" t="str">
        <f t="shared" si="5"/>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4"/>
        <v>N/A</v>
      </c>
      <c r="F65" s="86" t="str">
        <f t="shared" si="5"/>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4"/>
        <v>N/A</v>
      </c>
      <c r="F66" s="86" t="str">
        <f t="shared" si="5"/>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4"/>
        <v>N/A</v>
      </c>
      <c r="F67" s="86" t="str">
        <f t="shared" si="5"/>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4"/>
        <v>N/A</v>
      </c>
      <c r="F68" s="86" t="str">
        <f t="shared" si="5"/>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4"/>
        <v>N/A</v>
      </c>
      <c r="F69" s="86" t="str">
        <f t="shared" si="5"/>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4"/>
        <v>N/A</v>
      </c>
      <c r="F70" s="86" t="str">
        <f t="shared" si="5"/>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4"/>
        <v>N/A</v>
      </c>
      <c r="F71" s="86" t="str">
        <f t="shared" si="5"/>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4"/>
        <v>N/A</v>
      </c>
      <c r="F72" s="86" t="str">
        <f t="shared" si="5"/>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4"/>
        <v>N/A</v>
      </c>
      <c r="F73" s="86" t="str">
        <f t="shared" si="5"/>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4"/>
        <v>N/A</v>
      </c>
      <c r="F74" s="86" t="str">
        <f t="shared" si="5"/>
        <v/>
      </c>
      <c r="G74" s="288" t="str">
        <f t="shared" si="6"/>
        <v/>
      </c>
    </row>
    <row r="75" spans="2:16" ht="15" thickBot="1">
      <c r="F75" s="143"/>
      <c r="G75" s="143"/>
    </row>
    <row r="76" spans="2:16" ht="30">
      <c r="B76" s="104" t="s">
        <v>81</v>
      </c>
      <c r="C76" s="105"/>
      <c r="D76" s="79"/>
      <c r="E76" s="79"/>
      <c r="F76" s="141" t="s">
        <v>121</v>
      </c>
      <c r="G76" s="306">
        <f>SUM(G83:G103)</f>
        <v>0</v>
      </c>
      <c r="H76" s="79"/>
      <c r="I76" s="79"/>
      <c r="J76" s="79"/>
      <c r="K76" s="79"/>
      <c r="L76" s="79"/>
      <c r="M76" s="79"/>
      <c r="N76" s="79"/>
      <c r="O76" s="79"/>
      <c r="P76" s="79"/>
    </row>
    <row r="77" spans="2:16" ht="15.5">
      <c r="B77" s="61" t="s">
        <v>78</v>
      </c>
    </row>
    <row r="78" spans="2:16" ht="15.5">
      <c r="B78" s="61" t="s">
        <v>79</v>
      </c>
    </row>
    <row r="79" spans="2:16">
      <c r="B79" s="98" t="s">
        <v>75</v>
      </c>
      <c r="C79" s="903" t="s">
        <v>67</v>
      </c>
      <c r="D79" s="903"/>
    </row>
    <row r="80" spans="2:16">
      <c r="B80" s="98" t="s">
        <v>76</v>
      </c>
      <c r="C80" s="903" t="s">
        <v>521</v>
      </c>
      <c r="D80" s="903"/>
    </row>
    <row r="82" spans="2:7" ht="15.5">
      <c r="B82" s="91" t="s">
        <v>220</v>
      </c>
      <c r="C82" s="91" t="s">
        <v>4</v>
      </c>
      <c r="D82" s="91" t="s">
        <v>77</v>
      </c>
      <c r="E82" s="91" t="s">
        <v>242</v>
      </c>
      <c r="F82" s="91" t="s">
        <v>119</v>
      </c>
      <c r="G82" s="91"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pos004</v>
      </c>
      <c r="C83" s="71" t="str">
        <f>IF($B83="N/A","N/A",INDEX(Staff_position[],MATCH(B83,Staff_Position_ID,0)))</f>
        <v>Nursery manager</v>
      </c>
      <c r="D83" s="288">
        <f>IF($B83="N/A","N/A",INDEX(Staff_net_salary[],MATCH(B83,Staff_Position_ID,0)))</f>
        <v>3398.8990399526419</v>
      </c>
      <c r="E83" s="85">
        <f t="shared" ref="E83:E103" si="7">IF($B83="N/A","N/A",INDEX(Staff_number_of_employees,MATCH(B83,Staff_Position_ID,0)))</f>
        <v>0</v>
      </c>
      <c r="F83" s="86">
        <f t="shared" ref="F83:F103" si="8">IFERROR(INDEX(Staff_Position_Allocation,MATCH(B83,Staff_Position_ID),MATCH($C$80,Unit_codes,0)),"")</f>
        <v>0.25</v>
      </c>
      <c r="G83" s="288">
        <f>IFERROR(D83*E83*F83,"")</f>
        <v>0</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1" t="str">
        <f>IF($B84="N/A","N/A",INDEX(Staff_position[],MATCH(B84,Staff_Position_ID,0)))</f>
        <v>Site manager</v>
      </c>
      <c r="D84" s="288">
        <f>IF($B84="N/A","N/A",INDEX(Staff_net_salary[],MATCH(B84,Staff_Position_ID,0)))</f>
        <v>5098.3485599289634</v>
      </c>
      <c r="E84" s="85">
        <f t="shared" si="7"/>
        <v>0</v>
      </c>
      <c r="F84" s="86">
        <f t="shared" si="8"/>
        <v>0.08</v>
      </c>
      <c r="G84" s="288">
        <f t="shared" ref="G84:G103" si="9">IFERROR(D84*E84*F84,"")</f>
        <v>0</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16" ht="15" thickBot="1">
      <c r="E104" s="143"/>
      <c r="F104" s="143"/>
      <c r="G104" s="143"/>
    </row>
    <row r="105" spans="2:16" ht="32.15" customHeight="1">
      <c r="B105" s="2" t="s">
        <v>1</v>
      </c>
      <c r="C105" s="103"/>
      <c r="D105" s="51"/>
      <c r="F105" s="145" t="s">
        <v>151</v>
      </c>
      <c r="G105" s="306">
        <f>SUMIF(B110:B147,("&lt;&gt;N/A"),N110:N147)</f>
        <v>158.96934051445169</v>
      </c>
      <c r="H105" s="51"/>
      <c r="I105" s="51"/>
      <c r="J105" s="51"/>
      <c r="K105" s="51"/>
      <c r="L105" s="51"/>
      <c r="M105" s="51"/>
      <c r="N105" s="51"/>
      <c r="O105" s="51"/>
      <c r="P105" s="51"/>
    </row>
    <row r="106" spans="2:16" ht="15.5">
      <c r="B106" s="61" t="s">
        <v>80</v>
      </c>
    </row>
    <row r="107" spans="2:16">
      <c r="B107" s="98" t="s">
        <v>76</v>
      </c>
      <c r="C107" s="109" t="s">
        <v>521</v>
      </c>
    </row>
    <row r="109" spans="2:16" ht="46.5">
      <c r="B109" s="93" t="s">
        <v>82</v>
      </c>
      <c r="C109" s="93" t="s">
        <v>51</v>
      </c>
      <c r="D109" s="93" t="s">
        <v>150</v>
      </c>
      <c r="E109" s="93" t="s">
        <v>48</v>
      </c>
      <c r="F109" s="93" t="s">
        <v>502</v>
      </c>
      <c r="G109" s="93" t="s">
        <v>439</v>
      </c>
      <c r="H109" s="93" t="s">
        <v>503</v>
      </c>
      <c r="I109" s="93" t="s">
        <v>507</v>
      </c>
      <c r="J109" s="93" t="s">
        <v>504</v>
      </c>
      <c r="K109" s="93" t="s">
        <v>506</v>
      </c>
      <c r="L109" s="93" t="s">
        <v>505</v>
      </c>
      <c r="M109" s="93" t="s">
        <v>531</v>
      </c>
      <c r="N109" s="93" t="s">
        <v>152</v>
      </c>
      <c r="O109" s="93"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eq0008</v>
      </c>
      <c r="C110" s="70" t="str">
        <f>IF($B110="N/A","N/A",INDEX(Equipment_name[],MATCH(B110,equipment_ID,0)))</f>
        <v>High pressure cleaner</v>
      </c>
      <c r="D110" s="288">
        <f t="shared" ref="D110:D147" si="10">IF($B110="N/A","N/A",INDEX(Equipment_Depreciation,MATCH(B110,equipment_ID,0)))</f>
        <v>212.43118999704015</v>
      </c>
      <c r="E110" s="88">
        <f t="shared" ref="E110:E147" si="11">IF($B110="N/A","N/A",INDEX(Equipment_Quantity_New,MATCH(B110,equipment_ID,0)))</f>
        <v>1</v>
      </c>
      <c r="F110" s="130">
        <f>IF($B110="N/A","",IF(INDEX(Equipment_Utility_Decision,MATCH($B110,equipment_ID,0))='4.2-Settings Internal'!$B$30,INDEX(Equipment_Utility_Run,MATCH($B110,equipment_ID,0)),""))</f>
        <v>4.8205721537095632E-2</v>
      </c>
      <c r="G110" s="130">
        <f>IF($B110="N/A","",IF(INDEX(Equipment_Utility_Decision,MATCH($B110,equipment_ID,0))='4.2-Settings Internal'!$B$30,INDEX(Equipment_Utility_Water,MATCH($B110,equipment_ID,0)),""))</f>
        <v>0.42899999999999999</v>
      </c>
      <c r="H110" s="288">
        <f t="shared" ref="H110:H147" si="12">IFERROR($E110*$F110*G110*$M110*General_Water_Price,"")</f>
        <v>4.3931310812494128E-4</v>
      </c>
      <c r="I110" s="130">
        <f>IF($B110="N/A","",IF(INDEX(Equipment_Utility_Decision,MATCH($B110,equipment_ID,0))='4.2-Settings Internal'!$B$30,INDEX(Equipment_Utility_Electricity,MATCH($B110,equipment_ID,0)),""))</f>
        <v>2</v>
      </c>
      <c r="J110" s="288">
        <f t="shared" ref="J110:J147" si="13">IFERROR($E110*$F110*I110*$M110*General_Electricity_Price,"")</f>
        <v>1.0240398790791173E-3</v>
      </c>
      <c r="K110" s="130">
        <f>IF($B110="N/A","",IF(INDEX(Equipment_Utility_Decision,MATCH($B110,equipment_ID,0))=INDEX(Yes_No_Choice[],1),INDEX(Equipment_Utility_Fuel,MATCH($B110,equipment_ID,0)),""))</f>
        <v>0</v>
      </c>
      <c r="L110" s="288" t="str">
        <f t="shared" ref="L110:L147" si="14">IFERROR($E110*$F110*$K110*$M110*INDEX(General_Utilities,MATCH(INDEX(Equipment_Utility_Fuel_Selection,MATCH($B110,equipment_ID,0)),General_Utilities_Type,0),4),"")</f>
        <v/>
      </c>
      <c r="M110" s="89">
        <f t="shared" ref="M110:M147" si="15">IFERROR(INDEX(Equipment_Allocation_New,MATCH(B110,equipment_ID,0),MATCH($C$107,Unit_codes,0)),"")</f>
        <v>0.1</v>
      </c>
      <c r="N110" s="288">
        <f t="shared" ref="N110:N147" si="16">IFERROR($D110*E110*M110,"")</f>
        <v>21.243118999704016</v>
      </c>
      <c r="O110" s="130">
        <f t="shared" ref="O110:O147" si="17">IF($B110="N/A","",IF(INDEX(Equipment_Space_Selection,MATCH(B110,equipment_ID,0))="Yes",INDEX(Equipment_Space_Footprint,MATCH(B110,equipment_ID,0))*INDEX(Equipment_Quantity_New,MATCH(B110,equipment_ID,0))*M110,""))</f>
        <v>2.5000000000000001E-2</v>
      </c>
    </row>
    <row r="111" spans="2:16">
      <c r="B111" s="70" t="str">
        <f t="array" ref="B111">IF(COUNTIFS(INDEX(Equipment_Allocation_New,0,MATCH($C$107,Unit_codes,0)),"&gt;0")&lt;ROWS('2.2-Equipment input'!$X$8:$X9),"N/A",INDEX('2.2-Equipment input'!B:B,SMALL(IF(INDEX(Equipment_Allocation_New,0,MATCH($C$107,Unit_codes,0))&gt;0,ROW(equipment_ID)),ROW('2.2-Equipment input'!B2))))</f>
        <v>eq0021</v>
      </c>
      <c r="C111" s="70" t="str">
        <f>IF($B111="N/A","N/A",INDEX(Equipment_name[],MATCH(B111,equipment_ID,0)))</f>
        <v>Hatchling crate</v>
      </c>
      <c r="D111" s="288">
        <f t="shared" si="10"/>
        <v>0.99134555331952057</v>
      </c>
      <c r="E111" s="88">
        <f t="shared" si="11"/>
        <v>1</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89">
        <f t="shared" si="15"/>
        <v>1</v>
      </c>
      <c r="N111" s="288">
        <f t="shared" si="16"/>
        <v>0.99134555331952057</v>
      </c>
      <c r="O111" s="130" t="str">
        <f t="shared" si="17"/>
        <v/>
      </c>
    </row>
    <row r="112" spans="2:16">
      <c r="B112" s="70" t="str">
        <f t="array" ref="B112">IF(COUNTIFS(INDEX(Equipment_Allocation_New,0,MATCH($C$107,Unit_codes,0)),"&gt;0")&lt;ROWS('2.2-Equipment input'!$X$8:$X10),"N/A",INDEX('2.2-Equipment input'!B:B,SMALL(IF(INDEX(Equipment_Allocation_New,0,MATCH($C$107,Unit_codes,0))&gt;0,ROW(equipment_ID)),ROW('2.2-Equipment input'!B3))))</f>
        <v>eq0022</v>
      </c>
      <c r="C112" s="70" t="str">
        <f>IF($B112="N/A","N/A",INDEX(Equipment_name[],MATCH(B112,equipment_ID,0)))</f>
        <v>Mobile hatching frame</v>
      </c>
      <c r="D112" s="288">
        <f t="shared" si="10"/>
        <v>28.32415866627202</v>
      </c>
      <c r="E112" s="88">
        <f t="shared" si="11"/>
        <v>1</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89">
        <f t="shared" si="15"/>
        <v>1</v>
      </c>
      <c r="N112" s="288">
        <f t="shared" si="16"/>
        <v>28.32415866627202</v>
      </c>
      <c r="O112" s="130">
        <f t="shared" si="17"/>
        <v>0.29250000000000004</v>
      </c>
    </row>
    <row r="113" spans="2:15">
      <c r="B113" s="70" t="str">
        <f t="array" ref="B113">IF(COUNTIFS(INDEX(Equipment_Allocation_New,0,MATCH($C$107,Unit_codes,0)),"&gt;0")&lt;ROWS('2.2-Equipment input'!$X$8:$X11),"N/A",INDEX('2.2-Equipment input'!B:B,SMALL(IF(INDEX(Equipment_Allocation_New,0,MATCH($C$107,Unit_codes,0))&gt;0,ROW(equipment_ID)),ROW('2.2-Equipment input'!B4))))</f>
        <v>eq0023</v>
      </c>
      <c r="C113" s="70" t="str">
        <f>IF($B113="N/A","N/A",INDEX(Equipment_name[],MATCH(B113,equipment_ID,0)))</f>
        <v>Oviball holder</v>
      </c>
      <c r="D113" s="288">
        <f t="shared" si="10"/>
        <v>0.14162079333136007</v>
      </c>
      <c r="E113" s="88">
        <f t="shared" si="11"/>
        <v>1</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89">
        <f t="shared" si="15"/>
        <v>0.5</v>
      </c>
      <c r="N113" s="288">
        <f t="shared" si="16"/>
        <v>7.0810396665680037E-2</v>
      </c>
      <c r="O113" s="130" t="str">
        <f t="shared" si="17"/>
        <v/>
      </c>
    </row>
    <row r="114" spans="2:15">
      <c r="B114" s="70" t="str">
        <f t="array" ref="B114">IF(COUNTIFS(INDEX(Equipment_Allocation_New,0,MATCH($C$107,Unit_codes,0)),"&gt;0")&lt;ROWS('2.2-Equipment input'!$X$8:$X12),"N/A",INDEX('2.2-Equipment input'!B:B,SMALL(IF(INDEX(Equipment_Allocation_New,0,MATCH($C$107,Unit_codes,0))&gt;0,ROW(equipment_ID)),ROW('2.2-Equipment input'!B5))))</f>
        <v>eq0024</v>
      </c>
      <c r="C114" s="70" t="str">
        <f>IF($B114="N/A","N/A",INDEX(Equipment_name[],MATCH(B114,equipment_ID,0)))</f>
        <v>Egg media</v>
      </c>
      <c r="D114" s="288">
        <f t="shared" si="10"/>
        <v>0.14162079333136007</v>
      </c>
      <c r="E114" s="88">
        <f t="shared" si="11"/>
        <v>30</v>
      </c>
      <c r="F114" s="130" t="str">
        <f>IF($B114="N/A","",IF(INDEX(Equipment_Utility_Decision,MATCH($B114,equipment_ID,0))='4.2-Settings Internal'!$B$30,INDEX(Equipment_Utility_Run,MATCH($B114,equipment_ID,0)),""))</f>
        <v/>
      </c>
      <c r="G114" s="130" t="str">
        <f>IF($B114="N/A","",IF(INDEX(Equipment_Utility_Decision,MATCH($B114,equipment_ID,0))='4.2-Settings Internal'!$B$30,INDEX(Equipment_Utility_Water,MATCH($B114,equipment_ID,0)),""))</f>
        <v/>
      </c>
      <c r="H114" s="288" t="str">
        <f t="shared" si="12"/>
        <v/>
      </c>
      <c r="I114" s="130" t="str">
        <f>IF($B114="N/A","",IF(INDEX(Equipment_Utility_Decision,MATCH($B114,equipment_ID,0))='4.2-Settings Internal'!$B$30,INDEX(Equipment_Utility_Electricity,MATCH($B114,equipment_ID,0)),""))</f>
        <v/>
      </c>
      <c r="J114" s="288" t="str">
        <f t="shared" si="13"/>
        <v/>
      </c>
      <c r="K114" s="130" t="str">
        <f>IF($B114="N/A","",IF(INDEX(Equipment_Utility_Decision,MATCH($B114,equipment_ID,0))=INDEX(Yes_No_Choice[],1),INDEX(Equipment_Utility_Fuel,MATCH($B114,equipment_ID,0)),""))</f>
        <v/>
      </c>
      <c r="L114" s="288" t="str">
        <f t="shared" si="14"/>
        <v/>
      </c>
      <c r="M114" s="89">
        <f t="shared" si="15"/>
        <v>0.5</v>
      </c>
      <c r="N114" s="288">
        <f t="shared" si="16"/>
        <v>2.1243118999704009</v>
      </c>
      <c r="O114" s="130" t="str">
        <f t="shared" si="17"/>
        <v/>
      </c>
    </row>
    <row r="115" spans="2:15">
      <c r="B115" s="70" t="str">
        <f t="array" ref="B115">IF(COUNTIFS(INDEX(Equipment_Allocation_New,0,MATCH($C$107,Unit_codes,0)),"&gt;0")&lt;ROWS('2.2-Equipment input'!$X$8:$X13),"N/A",INDEX('2.2-Equipment input'!B:B,SMALL(IF(INDEX(Equipment_Allocation_New,0,MATCH($C$107,Unit_codes,0))&gt;0,ROW(equipment_ID)),ROW('2.2-Equipment input'!B6))))</f>
        <v>eq0025</v>
      </c>
      <c r="C115" s="70" t="str">
        <f>IF($B115="N/A","N/A",INDEX(Equipment_name[],MATCH(B115,equipment_ID,0)))</f>
        <v>Working table</v>
      </c>
      <c r="D115" s="288">
        <f t="shared" si="10"/>
        <v>35.405198332840023</v>
      </c>
      <c r="E115" s="88">
        <f t="shared" si="11"/>
        <v>1</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12"/>
        <v/>
      </c>
      <c r="I115" s="130" t="str">
        <f>IF($B115="N/A","",IF(INDEX(Equipment_Utility_Decision,MATCH($B115,equipment_ID,0))='4.2-Settings Internal'!$B$30,INDEX(Equipment_Utility_Electricity,MATCH($B115,equipment_ID,0)),""))</f>
        <v/>
      </c>
      <c r="J115" s="288" t="str">
        <f t="shared" si="13"/>
        <v/>
      </c>
      <c r="K115" s="130" t="str">
        <f>IF($B115="N/A","",IF(INDEX(Equipment_Utility_Decision,MATCH($B115,equipment_ID,0))=INDEX(Yes_No_Choice[],1),INDEX(Equipment_Utility_Fuel,MATCH($B115,equipment_ID,0)),""))</f>
        <v/>
      </c>
      <c r="L115" s="288" t="str">
        <f t="shared" si="14"/>
        <v/>
      </c>
      <c r="M115" s="89">
        <f t="shared" si="15"/>
        <v>0.5</v>
      </c>
      <c r="N115" s="288">
        <f t="shared" si="16"/>
        <v>17.702599166420011</v>
      </c>
      <c r="O115" s="130">
        <f t="shared" si="17"/>
        <v>0.48</v>
      </c>
    </row>
    <row r="116" spans="2:15">
      <c r="B116" s="70" t="str">
        <f t="array" ref="B116">IF(COUNTIFS(INDEX(Equipment_Allocation_New,0,MATCH($C$107,Unit_codes,0)),"&gt;0")&lt;ROWS('2.2-Equipment input'!$X$8:$X14),"N/A",INDEX('2.2-Equipment input'!B:B,SMALL(IF(INDEX(Equipment_Allocation_New,0,MATCH($C$107,Unit_codes,0))&gt;0,ROW(equipment_ID)),ROW('2.2-Equipment input'!B7))))</f>
        <v>eq0032</v>
      </c>
      <c r="C116" s="70" t="str">
        <f>IF($B116="N/A","N/A",INDEX(Equipment_name[],MATCH(B116,equipment_ID,0)))</f>
        <v>Measuring balance (nursery)</v>
      </c>
      <c r="D116" s="288">
        <f t="shared" si="10"/>
        <v>70.810396665680045</v>
      </c>
      <c r="E116" s="88">
        <f t="shared" si="11"/>
        <v>1</v>
      </c>
      <c r="F116" s="130">
        <f>IF($B116="N/A","",IF(INDEX(Equipment_Utility_Decision,MATCH($B116,equipment_ID,0))='4.2-Settings Internal'!$B$30,INDEX(Equipment_Utility_Run,MATCH($B116,equipment_ID,0)),""))</f>
        <v>0</v>
      </c>
      <c r="G116" s="130">
        <f>IF($B116="N/A","",IF(INDEX(Equipment_Utility_Decision,MATCH($B116,equipment_ID,0))='4.2-Settings Internal'!$B$30,INDEX(Equipment_Utility_Water,MATCH($B116,equipment_ID,0)),""))</f>
        <v>0</v>
      </c>
      <c r="H116" s="288">
        <f t="shared" si="12"/>
        <v>0</v>
      </c>
      <c r="I116" s="130">
        <f>IF($B116="N/A","",IF(INDEX(Equipment_Utility_Decision,MATCH($B116,equipment_ID,0))='4.2-Settings Internal'!$B$30,INDEX(Equipment_Utility_Electricity,MATCH($B116,equipment_ID,0)),""))</f>
        <v>0</v>
      </c>
      <c r="J116" s="288">
        <f t="shared" si="13"/>
        <v>0</v>
      </c>
      <c r="K116" s="130">
        <f>IF($B116="N/A","",IF(INDEX(Equipment_Utility_Decision,MATCH($B116,equipment_ID,0))=INDEX(Yes_No_Choice[],1),INDEX(Equipment_Utility_Fuel,MATCH($B116,equipment_ID,0)),""))</f>
        <v>0</v>
      </c>
      <c r="L116" s="288" t="str">
        <f t="shared" si="14"/>
        <v/>
      </c>
      <c r="M116" s="89">
        <f t="shared" si="15"/>
        <v>0.15</v>
      </c>
      <c r="N116" s="288">
        <f t="shared" si="16"/>
        <v>10.621559499852006</v>
      </c>
      <c r="O116" s="130" t="str">
        <f t="shared" si="17"/>
        <v/>
      </c>
    </row>
    <row r="117" spans="2:15">
      <c r="B117" s="70" t="str">
        <f t="array" ref="B117">IF(COUNTIFS(INDEX(Equipment_Allocation_New,0,MATCH($C$107,Unit_codes,0)),"&gt;0")&lt;ROWS('2.2-Equipment input'!$X$8:$X15),"N/A",INDEX('2.2-Equipment input'!B:B,SMALL(IF(INDEX(Equipment_Allocation_New,0,MATCH($C$107,Unit_codes,0))&gt;0,ROW(equipment_ID)),ROW('2.2-Equipment input'!B8))))</f>
        <v>eq0033</v>
      </c>
      <c r="C117" s="70" t="str">
        <f>IF($B117="N/A","N/A",INDEX(Equipment_name[],MATCH(B117,equipment_ID,0)))</f>
        <v>Precision balance (lab)</v>
      </c>
      <c r="D117" s="288">
        <f t="shared" si="10"/>
        <v>42.486237999408026</v>
      </c>
      <c r="E117" s="88">
        <f t="shared" si="11"/>
        <v>1</v>
      </c>
      <c r="F117" s="130">
        <f>IF($B117="N/A","",IF(INDEX(Equipment_Utility_Decision,MATCH($B117,equipment_ID,0))='4.2-Settings Internal'!$B$30,INDEX(Equipment_Utility_Run,MATCH($B117,equipment_ID,0)),""))</f>
        <v>0</v>
      </c>
      <c r="G117" s="130">
        <f>IF($B117="N/A","",IF(INDEX(Equipment_Utility_Decision,MATCH($B117,equipment_ID,0))='4.2-Settings Internal'!$B$30,INDEX(Equipment_Utility_Water,MATCH($B117,equipment_ID,0)),""))</f>
        <v>0</v>
      </c>
      <c r="H117" s="288">
        <f t="shared" si="12"/>
        <v>0</v>
      </c>
      <c r="I117" s="130">
        <f>IF($B117="N/A","",IF(INDEX(Equipment_Utility_Decision,MATCH($B117,equipment_ID,0))='4.2-Settings Internal'!$B$30,INDEX(Equipment_Utility_Electricity,MATCH($B117,equipment_ID,0)),""))</f>
        <v>0</v>
      </c>
      <c r="J117" s="288">
        <f t="shared" si="13"/>
        <v>0</v>
      </c>
      <c r="K117" s="130">
        <f>IF($B117="N/A","",IF(INDEX(Equipment_Utility_Decision,MATCH($B117,equipment_ID,0))=INDEX(Yes_No_Choice[],1),INDEX(Equipment_Utility_Fuel,MATCH($B117,equipment_ID,0)),""))</f>
        <v>0</v>
      </c>
      <c r="L117" s="288" t="str">
        <f t="shared" si="14"/>
        <v/>
      </c>
      <c r="M117" s="89">
        <f t="shared" si="15"/>
        <v>0.5</v>
      </c>
      <c r="N117" s="288">
        <f t="shared" si="16"/>
        <v>21.243118999704013</v>
      </c>
      <c r="O117" s="130" t="str">
        <f t="shared" si="17"/>
        <v/>
      </c>
    </row>
    <row r="118" spans="2:15">
      <c r="B118" s="70" t="str">
        <f t="array" ref="B118">IF(COUNTIFS(INDEX(Equipment_Allocation_New,0,MATCH($C$107,Unit_codes,0)),"&gt;0")&lt;ROWS('2.2-Equipment input'!$X$8:$X16),"N/A",INDEX('2.2-Equipment input'!B:B,SMALL(IF(INDEX(Equipment_Allocation_New,0,MATCH($C$107,Unit_codes,0))&gt;0,ROW(equipment_ID)),ROW('2.2-Equipment input'!B9))))</f>
        <v>eq0035</v>
      </c>
      <c r="C118" s="70" t="str">
        <f>IF($B118="N/A","N/A",INDEX(Equipment_name[],MATCH(B118,equipment_ID,0)))</f>
        <v>Mixer (compost)</v>
      </c>
      <c r="D118" s="288">
        <f t="shared" si="10"/>
        <v>113.29663466508808</v>
      </c>
      <c r="E118" s="88">
        <f t="shared" si="11"/>
        <v>1</v>
      </c>
      <c r="F118" s="130">
        <f>IF($B118="N/A","",IF(INDEX(Equipment_Utility_Decision,MATCH($B118,equipment_ID,0))='4.2-Settings Internal'!$B$30,INDEX(Equipment_Utility_Run,MATCH($B118,equipment_ID,0)),""))</f>
        <v>3.90625E-3</v>
      </c>
      <c r="G118" s="130">
        <f>IF($B118="N/A","",IF(INDEX(Equipment_Utility_Decision,MATCH($B118,equipment_ID,0))='4.2-Settings Internal'!$B$30,INDEX(Equipment_Utility_Water,MATCH($B118,equipment_ID,0)),""))</f>
        <v>0</v>
      </c>
      <c r="H118" s="288">
        <f t="shared" si="12"/>
        <v>0</v>
      </c>
      <c r="I118" s="130">
        <f>IF($B118="N/A","",IF(INDEX(Equipment_Utility_Decision,MATCH($B118,equipment_ID,0))='4.2-Settings Internal'!$B$30,INDEX(Equipment_Utility_Electricity,MATCH($B118,equipment_ID,0)),""))</f>
        <v>5.5</v>
      </c>
      <c r="J118" s="288">
        <f t="shared" si="13"/>
        <v>1.1409878368981649E-3</v>
      </c>
      <c r="K118" s="130">
        <f>IF($B118="N/A","",IF(INDEX(Equipment_Utility_Decision,MATCH($B118,equipment_ID,0))=INDEX(Yes_No_Choice[],1),INDEX(Equipment_Utility_Fuel,MATCH($B118,equipment_ID,0)),""))</f>
        <v>0</v>
      </c>
      <c r="L118" s="288" t="str">
        <f t="shared" si="14"/>
        <v/>
      </c>
      <c r="M118" s="89">
        <f t="shared" si="15"/>
        <v>0.5</v>
      </c>
      <c r="N118" s="288">
        <f t="shared" si="16"/>
        <v>56.648317332544039</v>
      </c>
      <c r="O118" s="130">
        <f t="shared" si="17"/>
        <v>2</v>
      </c>
    </row>
    <row r="119" spans="2:15">
      <c r="B119" s="70" t="str">
        <f t="array" ref="B119">IF(COUNTIFS(INDEX(Equipment_Allocation_New,0,MATCH($C$107,Unit_codes,0)),"&gt;0")&lt;ROWS('2.2-Equipment input'!$X$8:$X17),"N/A",INDEX('2.2-Equipment input'!B:B,SMALL(IF(INDEX(Equipment_Allocation_New,0,MATCH($C$107,Unit_codes,0))&gt;0,ROW(equipment_ID)),ROW('2.2-Equipment input'!B10))))</f>
        <v>eq0036</v>
      </c>
      <c r="C119" s="70" t="str">
        <f>IF($B119="N/A","N/A",INDEX(Equipment_name[],MATCH(B119,equipment_ID,0)))</f>
        <v>Blower</v>
      </c>
      <c r="D119" s="288">
        <f t="shared" si="10"/>
        <v>0</v>
      </c>
      <c r="E119" s="88">
        <f t="shared" si="11"/>
        <v>5.2875000000000014</v>
      </c>
      <c r="F119" s="130">
        <f>IF($B119="N/A","",IF(INDEX(Equipment_Utility_Decision,MATCH($B119,equipment_ID,0))='4.2-Settings Internal'!$B$30,INDEX(Equipment_Utility_Run,MATCH($B119,equipment_ID,0)),""))</f>
        <v>4</v>
      </c>
      <c r="G119" s="130">
        <f>IF($B119="N/A","",IF(INDEX(Equipment_Utility_Decision,MATCH($B119,equipment_ID,0))='4.2-Settings Internal'!$B$30,INDEX(Equipment_Utility_Water,MATCH($B119,equipment_ID,0)),""))</f>
        <v>0</v>
      </c>
      <c r="H119" s="288">
        <f t="shared" si="12"/>
        <v>0</v>
      </c>
      <c r="I119" s="130">
        <f>IF($B119="N/A","",IF(INDEX(Equipment_Utility_Decision,MATCH($B119,equipment_ID,0))='4.2-Settings Internal'!$B$30,INDEX(Equipment_Utility_Electricity,MATCH($B119,equipment_ID,0)),""))</f>
        <v>0.24</v>
      </c>
      <c r="J119" s="288">
        <f t="shared" si="13"/>
        <v>0.26957518010624398</v>
      </c>
      <c r="K119" s="130">
        <f>IF($B119="N/A","",IF(INDEX(Equipment_Utility_Decision,MATCH($B119,equipment_ID,0))=INDEX(Yes_No_Choice[],1),INDEX(Equipment_Utility_Fuel,MATCH($B119,equipment_ID,0)),""))</f>
        <v>0</v>
      </c>
      <c r="L119" s="288" t="str">
        <f t="shared" si="14"/>
        <v/>
      </c>
      <c r="M119" s="89">
        <f t="shared" si="15"/>
        <v>0.5</v>
      </c>
      <c r="N119" s="288">
        <f t="shared" si="16"/>
        <v>0</v>
      </c>
      <c r="O119" s="130" t="str">
        <f t="shared" si="17"/>
        <v/>
      </c>
    </row>
    <row r="120" spans="2:15">
      <c r="B120" s="70" t="str">
        <f t="array" ref="B120">IF(COUNTIFS(INDEX(Equipment_Allocation_New,0,MATCH($C$107,Unit_codes,0)),"&gt;0")&lt;ROWS('2.2-Equipment input'!$X$8:$X18),"N/A",INDEX('2.2-Equipment input'!B:B,SMALL(IF(INDEX(Equipment_Allocation_New,0,MATCH($C$107,Unit_codes,0))&gt;0,ROW(equipment_ID)),ROW('2.2-Equipment input'!B11))))</f>
        <v>N/A</v>
      </c>
      <c r="C120" s="70" t="str">
        <f>IF($B120="N/A","N/A",INDEX(Equipment_name[],MATCH(B120,equipment_ID,0)))</f>
        <v>N/A</v>
      </c>
      <c r="D120" s="288" t="str">
        <f t="shared" si="10"/>
        <v>N/A</v>
      </c>
      <c r="E120" s="88" t="str">
        <f t="shared" si="11"/>
        <v>N/A</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2"/>
        <v/>
      </c>
      <c r="I120" s="130" t="str">
        <f>IF($B120="N/A","",IF(INDEX(Equipment_Utility_Decision,MATCH($B120,equipment_ID,0))='4.2-Settings Internal'!$B$30,INDEX(Equipment_Utility_Electricity,MATCH($B120,equipment_ID,0)),""))</f>
        <v/>
      </c>
      <c r="J120" s="288" t="str">
        <f t="shared" si="13"/>
        <v/>
      </c>
      <c r="K120" s="130" t="str">
        <f>IF($B120="N/A","",IF(INDEX(Equipment_Utility_Decision,MATCH($B120,equipment_ID,0))=INDEX(Yes_No_Choice[],1),INDEX(Equipment_Utility_Fuel,MATCH($B120,equipment_ID,0)),""))</f>
        <v/>
      </c>
      <c r="L120" s="288" t="str">
        <f t="shared" si="14"/>
        <v/>
      </c>
      <c r="M120" s="89" t="str">
        <f t="shared" si="15"/>
        <v/>
      </c>
      <c r="N120" s="288" t="str">
        <f t="shared" si="16"/>
        <v/>
      </c>
      <c r="O120" s="130" t="str">
        <f t="shared" si="17"/>
        <v/>
      </c>
    </row>
    <row r="121" spans="2:15">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10"/>
        <v>N/A</v>
      </c>
      <c r="E121" s="88" t="str">
        <f t="shared" si="11"/>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89" t="str">
        <f t="shared" si="15"/>
        <v/>
      </c>
      <c r="N121" s="288" t="str">
        <f t="shared" si="16"/>
        <v/>
      </c>
      <c r="O121" s="130" t="str">
        <f t="shared" si="17"/>
        <v/>
      </c>
    </row>
    <row r="122" spans="2:15">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10"/>
        <v>N/A</v>
      </c>
      <c r="E122" s="88" t="str">
        <f t="shared" si="11"/>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89" t="str">
        <f t="shared" si="15"/>
        <v/>
      </c>
      <c r="N122" s="288" t="str">
        <f t="shared" si="16"/>
        <v/>
      </c>
      <c r="O122" s="130" t="str">
        <f t="shared" si="17"/>
        <v/>
      </c>
    </row>
    <row r="123" spans="2:15">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10"/>
        <v>N/A</v>
      </c>
      <c r="E123" s="88" t="str">
        <f t="shared" si="11"/>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89" t="str">
        <f t="shared" si="15"/>
        <v/>
      </c>
      <c r="N123" s="288" t="str">
        <f t="shared" si="16"/>
        <v/>
      </c>
      <c r="O123" s="130" t="str">
        <f t="shared" si="17"/>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0"/>
        <v>N/A</v>
      </c>
      <c r="E124" s="88" t="str">
        <f t="shared" si="11"/>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89" t="str">
        <f t="shared" si="15"/>
        <v/>
      </c>
      <c r="N124" s="288" t="str">
        <f t="shared" si="16"/>
        <v/>
      </c>
      <c r="O124" s="130" t="str">
        <f t="shared" si="17"/>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0"/>
        <v>N/A</v>
      </c>
      <c r="E125" s="88" t="str">
        <f t="shared" si="11"/>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2"/>
        <v/>
      </c>
      <c r="I125" s="130" t="str">
        <f>IF($B125="N/A","",IF(INDEX(Equipment_Utility_Decision,MATCH($B125,equipment_ID,0))='4.2-Settings Internal'!$B$30,INDEX(Equipment_Utility_Electricity,MATCH($B125,equipment_ID,0)),""))</f>
        <v/>
      </c>
      <c r="J125" s="288" t="str">
        <f t="shared" si="13"/>
        <v/>
      </c>
      <c r="K125" s="130" t="str">
        <f>IF($B125="N/A","",IF(INDEX(Equipment_Utility_Decision,MATCH($B125,equipment_ID,0))=INDEX(Yes_No_Choice[],1),INDEX(Equipment_Utility_Fuel,MATCH($B125,equipment_ID,0)),""))</f>
        <v/>
      </c>
      <c r="L125" s="288" t="str">
        <f t="shared" si="14"/>
        <v/>
      </c>
      <c r="M125" s="89" t="str">
        <f t="shared" si="15"/>
        <v/>
      </c>
      <c r="N125" s="288" t="str">
        <f t="shared" si="16"/>
        <v/>
      </c>
      <c r="O125" s="130" t="str">
        <f t="shared" si="17"/>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0"/>
        <v>N/A</v>
      </c>
      <c r="E126" s="88" t="str">
        <f t="shared" si="11"/>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2"/>
        <v/>
      </c>
      <c r="I126" s="130" t="str">
        <f>IF($B126="N/A","",IF(INDEX(Equipment_Utility_Decision,MATCH($B126,equipment_ID,0))='4.2-Settings Internal'!$B$30,INDEX(Equipment_Utility_Electricity,MATCH($B126,equipment_ID,0)),""))</f>
        <v/>
      </c>
      <c r="J126" s="288" t="str">
        <f t="shared" si="13"/>
        <v/>
      </c>
      <c r="K126" s="130" t="str">
        <f>IF($B126="N/A","",IF(INDEX(Equipment_Utility_Decision,MATCH($B126,equipment_ID,0))=INDEX(Yes_No_Choice[],1),INDEX(Equipment_Utility_Fuel,MATCH($B126,equipment_ID,0)),""))</f>
        <v/>
      </c>
      <c r="L126" s="288" t="str">
        <f t="shared" si="14"/>
        <v/>
      </c>
      <c r="M126" s="89" t="str">
        <f t="shared" si="15"/>
        <v/>
      </c>
      <c r="N126" s="288" t="str">
        <f t="shared" si="16"/>
        <v/>
      </c>
      <c r="O126" s="130" t="str">
        <f t="shared" si="17"/>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0"/>
        <v>N/A</v>
      </c>
      <c r="E127" s="88" t="str">
        <f t="shared" si="11"/>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2"/>
        <v/>
      </c>
      <c r="I127" s="130" t="str">
        <f>IF($B127="N/A","",IF(INDEX(Equipment_Utility_Decision,MATCH($B127,equipment_ID,0))='4.2-Settings Internal'!$B$30,INDEX(Equipment_Utility_Electricity,MATCH($B127,equipment_ID,0)),""))</f>
        <v/>
      </c>
      <c r="J127" s="288" t="str">
        <f t="shared" si="13"/>
        <v/>
      </c>
      <c r="K127" s="130" t="str">
        <f>IF($B127="N/A","",IF(INDEX(Equipment_Utility_Decision,MATCH($B127,equipment_ID,0))=INDEX(Yes_No_Choice[],1),INDEX(Equipment_Utility_Fuel,MATCH($B127,equipment_ID,0)),""))</f>
        <v/>
      </c>
      <c r="L127" s="288" t="str">
        <f t="shared" si="14"/>
        <v/>
      </c>
      <c r="M127" s="89" t="str">
        <f t="shared" si="15"/>
        <v/>
      </c>
      <c r="N127" s="288" t="str">
        <f t="shared" si="16"/>
        <v/>
      </c>
      <c r="O127" s="130" t="str">
        <f t="shared" si="17"/>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0"/>
        <v>N/A</v>
      </c>
      <c r="E128" s="88" t="str">
        <f t="shared" si="11"/>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2"/>
        <v/>
      </c>
      <c r="I128" s="130" t="str">
        <f>IF($B128="N/A","",IF(INDEX(Equipment_Utility_Decision,MATCH($B128,equipment_ID,0))='4.2-Settings Internal'!$B$30,INDEX(Equipment_Utility_Electricity,MATCH($B128,equipment_ID,0)),""))</f>
        <v/>
      </c>
      <c r="J128" s="288" t="str">
        <f t="shared" si="13"/>
        <v/>
      </c>
      <c r="K128" s="130" t="str">
        <f>IF($B128="N/A","",IF(INDEX(Equipment_Utility_Decision,MATCH($B128,equipment_ID,0))=INDEX(Yes_No_Choice[],1),INDEX(Equipment_Utility_Fuel,MATCH($B128,equipment_ID,0)),""))</f>
        <v/>
      </c>
      <c r="L128" s="288" t="str">
        <f t="shared" si="14"/>
        <v/>
      </c>
      <c r="M128" s="89" t="str">
        <f t="shared" si="15"/>
        <v/>
      </c>
      <c r="N128" s="288" t="str">
        <f t="shared" si="16"/>
        <v/>
      </c>
      <c r="O128" s="130" t="str">
        <f t="shared" si="17"/>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0"/>
        <v>N/A</v>
      </c>
      <c r="E129" s="88" t="str">
        <f t="shared" si="11"/>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2"/>
        <v/>
      </c>
      <c r="I129" s="130" t="str">
        <f>IF($B129="N/A","",IF(INDEX(Equipment_Utility_Decision,MATCH($B129,equipment_ID,0))='4.2-Settings Internal'!$B$30,INDEX(Equipment_Utility_Electricity,MATCH($B129,equipment_ID,0)),""))</f>
        <v/>
      </c>
      <c r="J129" s="288" t="str">
        <f t="shared" si="13"/>
        <v/>
      </c>
      <c r="K129" s="130" t="str">
        <f>IF($B129="N/A","",IF(INDEX(Equipment_Utility_Decision,MATCH($B129,equipment_ID,0))=INDEX(Yes_No_Choice[],1),INDEX(Equipment_Utility_Fuel,MATCH($B129,equipment_ID,0)),""))</f>
        <v/>
      </c>
      <c r="L129" s="288" t="str">
        <f t="shared" si="14"/>
        <v/>
      </c>
      <c r="M129" s="89" t="str">
        <f t="shared" si="15"/>
        <v/>
      </c>
      <c r="N129" s="288" t="str">
        <f t="shared" si="16"/>
        <v/>
      </c>
      <c r="O129" s="130" t="str">
        <f t="shared" si="17"/>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89" t="str">
        <f t="shared" si="15"/>
        <v/>
      </c>
      <c r="N130" s="288" t="str">
        <f t="shared" si="16"/>
        <v/>
      </c>
      <c r="O130" s="130" t="str">
        <f t="shared" si="17"/>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89" t="str">
        <f t="shared" si="15"/>
        <v/>
      </c>
      <c r="N131" s="288" t="str">
        <f t="shared" si="16"/>
        <v/>
      </c>
      <c r="O131" s="130" t="str">
        <f t="shared" si="17"/>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89" t="str">
        <f t="shared" si="15"/>
        <v/>
      </c>
      <c r="N132" s="288" t="str">
        <f t="shared" si="16"/>
        <v/>
      </c>
      <c r="O132" s="130" t="str">
        <f t="shared" si="17"/>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89" t="str">
        <f t="shared" si="15"/>
        <v/>
      </c>
      <c r="N133" s="288" t="str">
        <f t="shared" si="16"/>
        <v/>
      </c>
      <c r="O133" s="130" t="str">
        <f t="shared" si="17"/>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89" t="str">
        <f t="shared" si="15"/>
        <v/>
      </c>
      <c r="N134" s="288" t="str">
        <f t="shared" si="16"/>
        <v/>
      </c>
      <c r="O134" s="130" t="str">
        <f t="shared" si="17"/>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89" t="str">
        <f t="shared" si="15"/>
        <v/>
      </c>
      <c r="N135" s="288" t="str">
        <f t="shared" si="16"/>
        <v/>
      </c>
      <c r="O135" s="130" t="str">
        <f t="shared" si="17"/>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89" t="str">
        <f t="shared" si="15"/>
        <v/>
      </c>
      <c r="N136" s="288" t="str">
        <f t="shared" si="16"/>
        <v/>
      </c>
      <c r="O136" s="130" t="str">
        <f t="shared" si="17"/>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89" t="str">
        <f t="shared" si="15"/>
        <v/>
      </c>
      <c r="N137" s="288" t="str">
        <f t="shared" si="16"/>
        <v/>
      </c>
      <c r="O137" s="130" t="str">
        <f t="shared" si="17"/>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89" t="str">
        <f t="shared" si="15"/>
        <v/>
      </c>
      <c r="N138" s="288" t="str">
        <f t="shared" si="16"/>
        <v/>
      </c>
      <c r="O138" s="130" t="str">
        <f t="shared" si="17"/>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89" t="str">
        <f t="shared" si="15"/>
        <v/>
      </c>
      <c r="N139" s="288" t="str">
        <f t="shared" si="16"/>
        <v/>
      </c>
      <c r="O139" s="130" t="str">
        <f t="shared" si="17"/>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89" t="str">
        <f t="shared" si="15"/>
        <v/>
      </c>
      <c r="N140" s="288" t="str">
        <f t="shared" si="16"/>
        <v/>
      </c>
      <c r="O140" s="130" t="str">
        <f t="shared" si="17"/>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89" t="str">
        <f t="shared" si="15"/>
        <v/>
      </c>
      <c r="N141" s="288" t="str">
        <f t="shared" si="16"/>
        <v/>
      </c>
      <c r="O141" s="130" t="str">
        <f t="shared" si="17"/>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89" t="str">
        <f t="shared" si="15"/>
        <v/>
      </c>
      <c r="N142" s="288" t="str">
        <f t="shared" si="16"/>
        <v/>
      </c>
      <c r="O142" s="130" t="str">
        <f t="shared" si="17"/>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89" t="str">
        <f t="shared" si="15"/>
        <v/>
      </c>
      <c r="N143" s="288" t="str">
        <f t="shared" si="16"/>
        <v/>
      </c>
      <c r="O143" s="130" t="str">
        <f t="shared" si="17"/>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89" t="str">
        <f t="shared" si="15"/>
        <v/>
      </c>
      <c r="N144" s="288" t="str">
        <f t="shared" si="16"/>
        <v/>
      </c>
      <c r="O144" s="130" t="str">
        <f t="shared" si="17"/>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89" t="str">
        <f t="shared" si="15"/>
        <v/>
      </c>
      <c r="N145" s="288" t="str">
        <f t="shared" si="16"/>
        <v/>
      </c>
      <c r="O145" s="130" t="str">
        <f t="shared" si="17"/>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89" t="str">
        <f t="shared" si="15"/>
        <v/>
      </c>
      <c r="N146" s="288" t="str">
        <f t="shared" si="16"/>
        <v/>
      </c>
      <c r="O146" s="130" t="str">
        <f t="shared" si="17"/>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89" t="str">
        <f t="shared" si="15"/>
        <v/>
      </c>
      <c r="N147" s="288" t="str">
        <f t="shared" si="16"/>
        <v/>
      </c>
      <c r="O147" s="130" t="str">
        <f t="shared" si="17"/>
        <v/>
      </c>
    </row>
    <row r="148" spans="2:23" ht="33" customHeight="1"/>
    <row r="149" spans="2:23" ht="33" customHeight="1">
      <c r="G149" s="201" t="s">
        <v>594</v>
      </c>
      <c r="H149" s="306">
        <f>SUM(H152:H189)</f>
        <v>752.36046457285033</v>
      </c>
      <c r="I149" s="306">
        <f t="shared" ref="I149:W149" si="18">SUM(I152:I189)</f>
        <v>0</v>
      </c>
      <c r="J149" s="306">
        <f t="shared" si="18"/>
        <v>0</v>
      </c>
      <c r="K149" s="306">
        <f t="shared" si="18"/>
        <v>63.729356999112042</v>
      </c>
      <c r="L149" s="306">
        <f t="shared" si="18"/>
        <v>0</v>
      </c>
      <c r="M149" s="306">
        <f t="shared" si="18"/>
        <v>688.63110757373829</v>
      </c>
      <c r="N149" s="306">
        <f t="shared" si="18"/>
        <v>63.729356999112042</v>
      </c>
      <c r="O149" s="306">
        <f t="shared" si="18"/>
        <v>0</v>
      </c>
      <c r="P149" s="306">
        <f t="shared" si="18"/>
        <v>0</v>
      </c>
      <c r="Q149" s="306">
        <f t="shared" si="18"/>
        <v>63.729356999112042</v>
      </c>
      <c r="R149" s="306">
        <f t="shared" si="18"/>
        <v>688.63110757373829</v>
      </c>
      <c r="S149" s="306">
        <f t="shared" si="18"/>
        <v>0</v>
      </c>
      <c r="T149" s="306">
        <f t="shared" si="18"/>
        <v>63.729356999112042</v>
      </c>
      <c r="U149" s="306">
        <f t="shared" si="18"/>
        <v>0</v>
      </c>
      <c r="V149" s="306">
        <f t="shared" si="18"/>
        <v>0</v>
      </c>
      <c r="W149" s="306">
        <f t="shared" si="18"/>
        <v>752.36046457285033</v>
      </c>
    </row>
    <row r="150" spans="2:23">
      <c r="G150" s="82"/>
    </row>
    <row r="151" spans="2:23" ht="31">
      <c r="B151" s="93" t="s">
        <v>82</v>
      </c>
      <c r="C151" s="93" t="s">
        <v>51</v>
      </c>
      <c r="D151" s="93" t="s">
        <v>50</v>
      </c>
      <c r="E151" s="197" t="s">
        <v>147</v>
      </c>
      <c r="F151" s="93" t="s">
        <v>48</v>
      </c>
      <c r="G151" s="93" t="s">
        <v>119</v>
      </c>
      <c r="H151" s="93" t="s">
        <v>591</v>
      </c>
      <c r="I151" s="93" t="s">
        <v>568</v>
      </c>
      <c r="J151" s="93" t="s">
        <v>569</v>
      </c>
      <c r="K151" s="93" t="s">
        <v>570</v>
      </c>
      <c r="L151" s="93" t="s">
        <v>571</v>
      </c>
      <c r="M151" s="93" t="s">
        <v>572</v>
      </c>
      <c r="N151" s="93" t="s">
        <v>573</v>
      </c>
      <c r="O151" s="93" t="s">
        <v>574</v>
      </c>
      <c r="P151" s="93" t="s">
        <v>575</v>
      </c>
      <c r="Q151" s="93" t="s">
        <v>576</v>
      </c>
      <c r="R151" s="93" t="s">
        <v>577</v>
      </c>
      <c r="S151" s="93" t="s">
        <v>578</v>
      </c>
      <c r="T151" s="93" t="s">
        <v>579</v>
      </c>
      <c r="U151" s="93" t="s">
        <v>580</v>
      </c>
      <c r="V151" s="93" t="s">
        <v>581</v>
      </c>
      <c r="W151" s="93"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eq0008</v>
      </c>
      <c r="C152" s="70" t="str">
        <f>IF($B152="N/A","N/A",INDEX(Equipment_name[],MATCH(B152,equipment_ID,0)))</f>
        <v>High pressure cleaner</v>
      </c>
      <c r="D152" s="288">
        <f t="shared" ref="D152:D189" si="19">IF($B152="N/A","N/A",INDEX(Equipment_Capital_Cost,MATCH($B152,equipment_ID,0)))</f>
        <v>637.29356999112042</v>
      </c>
      <c r="E152" s="88">
        <f t="shared" ref="E152:E189" si="20">IF($B152="N/A","N/A",INDEX(Equipment_Lifetime,MATCH($B152,equipment_ID,0)))</f>
        <v>3</v>
      </c>
      <c r="F152" s="88">
        <f t="shared" ref="F152:F189" si="21">IF($B152="N/A","N/A",INDEX(Equipment_Quantity_New,MATCH($B152,equipment_ID,0)))</f>
        <v>1</v>
      </c>
      <c r="G152" s="86">
        <f t="shared" ref="G152:G189" si="22">IF($B152="N/A","N/A",INDEX(Equipment_Allocation_New,MATCH($B152,equipment_ID,0),MATCH($C$107,Unit_codes,0)))</f>
        <v>0.1</v>
      </c>
      <c r="H152" s="288">
        <f>IFERROR(IF($B152="N/A","N/A",IF(MOD(COLUMNS(H$151:$H$151)-1,$E152)=0,$F152*$D152*$G152,)),)</f>
        <v>63.729356999112042</v>
      </c>
      <c r="I152" s="288">
        <f>IFERROR(IF($B152="N/A","N/A",IF(MOD(COLUMNS($H$151:I$151)-1,$E152)=0,$F152*$D152*$G152,)),)</f>
        <v>0</v>
      </c>
      <c r="J152" s="288">
        <f>IFERROR(IF($B152="N/A","N/A",IF(MOD(COLUMNS($H$151:J$151)-1,$E152)=0,$F152*$D152*$G152,)),)</f>
        <v>0</v>
      </c>
      <c r="K152" s="288">
        <f>IFERROR(IF($B152="N/A","N/A",IF(MOD(COLUMNS($H$151:K$151)-1,$E152)=0,$F152*$D152*$G152,)),)</f>
        <v>63.729356999112042</v>
      </c>
      <c r="L152" s="288">
        <f>IFERROR(IF($B152="N/A","N/A",IF(MOD(COLUMNS($H$151:L$151)-1,$E152)=0,$F152*$D152*$G152,)),)</f>
        <v>0</v>
      </c>
      <c r="M152" s="288">
        <f>IFERROR(IF($B152="N/A","N/A",IF(MOD(COLUMNS($H$151:M$151)-1,$E152)=0,$F152*$D152*$G152,)),)</f>
        <v>0</v>
      </c>
      <c r="N152" s="288">
        <f>IFERROR(IF($B152="N/A","N/A",IF(MOD(COLUMNS($H$151:N$151)-1,$E152)=0,$F152*$D152*$G152,)),)</f>
        <v>63.729356999112042</v>
      </c>
      <c r="O152" s="288">
        <f>IFERROR(IF($B152="N/A","N/A",IF(MOD(COLUMNS($H$151:O$151)-1,$E152)=0,$F152*$D152*$G152,)),)</f>
        <v>0</v>
      </c>
      <c r="P152" s="288">
        <f>IFERROR(IF($B152="N/A","N/A",IF(MOD(COLUMNS($H$151:P$151)-1,$E152)=0,$F152*$D152*$G152,)),)</f>
        <v>0</v>
      </c>
      <c r="Q152" s="288">
        <f>IFERROR(IF($B152="N/A","N/A",IF(MOD(COLUMNS($H$151:Q$151)-1,$E152)=0,$F152*$D152*$G152,)),)</f>
        <v>63.729356999112042</v>
      </c>
      <c r="R152" s="288">
        <f>IFERROR(IF($B152="N/A","N/A",IF(MOD(COLUMNS($H$151:R$151)-1,$E152)=0,$F152*$D152*$G152,)),)</f>
        <v>0</v>
      </c>
      <c r="S152" s="288">
        <f>IFERROR(IF($B152="N/A","N/A",IF(MOD(COLUMNS($H$151:S$151)-1,$E152)=0,$F152*$D152*$G152,)),)</f>
        <v>0</v>
      </c>
      <c r="T152" s="288">
        <f>IFERROR(IF($B152="N/A","N/A",IF(MOD(COLUMNS($H$151:T$151)-1,$E152)=0,$F152*$D152*$G152,)),)</f>
        <v>63.729356999112042</v>
      </c>
      <c r="U152" s="288">
        <f>IFERROR(IF($B152="N/A","N/A",IF(MOD(COLUMNS($H$151:U$151)-1,$E152)=0,$F152*$D152*$G152,)),)</f>
        <v>0</v>
      </c>
      <c r="V152" s="288">
        <f>IFERROR(IF($B152="N/A","N/A",IF(MOD(COLUMNS($H$151:V$151)-1,$E152)=0,$F152*$D152*$G152,)),)</f>
        <v>0</v>
      </c>
      <c r="W152" s="288">
        <f>IFERROR(IF($B152="N/A","N/A",IF(MOD(COLUMNS($H$151:W$151)-1,$E152)=0,$F152*$D152*$G152,)),)</f>
        <v>63.729356999112042</v>
      </c>
    </row>
    <row r="153" spans="2:23">
      <c r="B153" s="70" t="str">
        <f t="array" ref="B153">IF(COUNTIFS(INDEX(Equipment_Allocation_New,0,MATCH($C$107,Unit_codes,0)),"&gt;0")&lt;ROWS('2.2-Equipment input'!$X$8:$X9),"N/A",INDEX('2.2-Equipment input'!B:B,SMALL(IF(INDEX(Equipment_Allocation_New,0,MATCH($C$107,Unit_codes,0))&gt;0,ROW(equipment_ID)),ROW('2.2-Equipment input'!B2))))</f>
        <v>eq0021</v>
      </c>
      <c r="C153" s="70" t="str">
        <f>IF($B153="N/A","N/A",INDEX(Equipment_name[],MATCH(B153,equipment_ID,0)))</f>
        <v>Hatchling crate</v>
      </c>
      <c r="D153" s="288">
        <f t="shared" si="19"/>
        <v>4.9567277665976031</v>
      </c>
      <c r="E153" s="88">
        <f t="shared" si="20"/>
        <v>5</v>
      </c>
      <c r="F153" s="88">
        <f t="shared" si="21"/>
        <v>1</v>
      </c>
      <c r="G153" s="86">
        <f t="shared" si="22"/>
        <v>1</v>
      </c>
      <c r="H153" s="288">
        <f>IFERROR(IF($B153="N/A","N/A",IF(MOD(COLUMNS(H$151:$H$151)-1,$E153)=0,$F153*$D153*$G153,)),)</f>
        <v>4.9567277665976031</v>
      </c>
      <c r="I153" s="288">
        <f>IFERROR(IF($B153="N/A","N/A",IF(MOD(COLUMNS($H$151:I$151)-1,$E153)=0,$F153*$D153*$G153,)),)</f>
        <v>0</v>
      </c>
      <c r="J153" s="288">
        <f>IFERROR(IF($B153="N/A","N/A",IF(MOD(COLUMNS($H$151:J$151)-1,$E153)=0,$F153*$D153*$G153,)),)</f>
        <v>0</v>
      </c>
      <c r="K153" s="288">
        <f>IFERROR(IF($B153="N/A","N/A",IF(MOD(COLUMNS($H$151:K$151)-1,$E153)=0,$F153*$D153*$G153,)),)</f>
        <v>0</v>
      </c>
      <c r="L153" s="288">
        <f>IFERROR(IF($B153="N/A","N/A",IF(MOD(COLUMNS($H$151:L$151)-1,$E153)=0,$F153*$D153*$G153,)),)</f>
        <v>0</v>
      </c>
      <c r="M153" s="288">
        <f>IFERROR(IF($B153="N/A","N/A",IF(MOD(COLUMNS($H$151:M$151)-1,$E153)=0,$F153*$D153*$G153,)),)</f>
        <v>4.9567277665976031</v>
      </c>
      <c r="N153" s="288">
        <f>IFERROR(IF($B153="N/A","N/A",IF(MOD(COLUMNS($H$151:N$151)-1,$E153)=0,$F153*$D153*$G153,)),)</f>
        <v>0</v>
      </c>
      <c r="O153" s="288">
        <f>IFERROR(IF($B153="N/A","N/A",IF(MOD(COLUMNS($H$151:O$151)-1,$E153)=0,$F153*$D153*$G153,)),)</f>
        <v>0</v>
      </c>
      <c r="P153" s="288">
        <f>IFERROR(IF($B153="N/A","N/A",IF(MOD(COLUMNS($H$151:P$151)-1,$E153)=0,$F153*$D153*$G153,)),)</f>
        <v>0</v>
      </c>
      <c r="Q153" s="288">
        <f>IFERROR(IF($B153="N/A","N/A",IF(MOD(COLUMNS($H$151:Q$151)-1,$E153)=0,$F153*$D153*$G153,)),)</f>
        <v>0</v>
      </c>
      <c r="R153" s="288">
        <f>IFERROR(IF($B153="N/A","N/A",IF(MOD(COLUMNS($H$151:R$151)-1,$E153)=0,$F153*$D153*$G153,)),)</f>
        <v>4.9567277665976031</v>
      </c>
      <c r="S153" s="288">
        <f>IFERROR(IF($B153="N/A","N/A",IF(MOD(COLUMNS($H$151:S$151)-1,$E153)=0,$F153*$D153*$G153,)),)</f>
        <v>0</v>
      </c>
      <c r="T153" s="288">
        <f>IFERROR(IF($B153="N/A","N/A",IF(MOD(COLUMNS($H$151:T$151)-1,$E153)=0,$F153*$D153*$G153,)),)</f>
        <v>0</v>
      </c>
      <c r="U153" s="288">
        <f>IFERROR(IF($B153="N/A","N/A",IF(MOD(COLUMNS($H$151:U$151)-1,$E153)=0,$F153*$D153*$G153,)),)</f>
        <v>0</v>
      </c>
      <c r="V153" s="288">
        <f>IFERROR(IF($B153="N/A","N/A",IF(MOD(COLUMNS($H$151:V$151)-1,$E153)=0,$F153*$D153*$G153,)),)</f>
        <v>0</v>
      </c>
      <c r="W153" s="288">
        <f>IFERROR(IF($B153="N/A","N/A",IF(MOD(COLUMNS($H$151:W$151)-1,$E153)=0,$F153*$D153*$G153,)),)</f>
        <v>4.9567277665976031</v>
      </c>
    </row>
    <row r="154" spans="2:23">
      <c r="B154" s="70" t="str">
        <f t="array" ref="B154">IF(COUNTIFS(INDEX(Equipment_Allocation_New,0,MATCH($C$107,Unit_codes,0)),"&gt;0")&lt;ROWS('2.2-Equipment input'!$X$8:$X10),"N/A",INDEX('2.2-Equipment input'!B:B,SMALL(IF(INDEX(Equipment_Allocation_New,0,MATCH($C$107,Unit_codes,0))&gt;0,ROW(equipment_ID)),ROW('2.2-Equipment input'!B3))))</f>
        <v>eq0022</v>
      </c>
      <c r="C154" s="70" t="str">
        <f>IF($B154="N/A","N/A",INDEX(Equipment_name[],MATCH(B154,equipment_ID,0)))</f>
        <v>Mobile hatching frame</v>
      </c>
      <c r="D154" s="288">
        <f t="shared" si="19"/>
        <v>141.62079333136009</v>
      </c>
      <c r="E154" s="88">
        <f t="shared" si="20"/>
        <v>5</v>
      </c>
      <c r="F154" s="88">
        <f t="shared" si="21"/>
        <v>1</v>
      </c>
      <c r="G154" s="86">
        <f t="shared" si="22"/>
        <v>1</v>
      </c>
      <c r="H154" s="288">
        <f>IFERROR(IF($B154="N/A","N/A",IF(MOD(COLUMNS(H$151:$H$151)-1,$E154)=0,$F154*$D154*$G154,)),)</f>
        <v>141.62079333136009</v>
      </c>
      <c r="I154" s="288">
        <f>IFERROR(IF($B154="N/A","N/A",IF(MOD(COLUMNS($H$151:I$151)-1,$E154)=0,$F154*$D154*$G154,)),)</f>
        <v>0</v>
      </c>
      <c r="J154" s="288">
        <f>IFERROR(IF($B154="N/A","N/A",IF(MOD(COLUMNS($H$151:J$151)-1,$E154)=0,$F154*$D154*$G154,)),)</f>
        <v>0</v>
      </c>
      <c r="K154" s="288">
        <f>IFERROR(IF($B154="N/A","N/A",IF(MOD(COLUMNS($H$151:K$151)-1,$E154)=0,$F154*$D154*$G154,)),)</f>
        <v>0</v>
      </c>
      <c r="L154" s="288">
        <f>IFERROR(IF($B154="N/A","N/A",IF(MOD(COLUMNS($H$151:L$151)-1,$E154)=0,$F154*$D154*$G154,)),)</f>
        <v>0</v>
      </c>
      <c r="M154" s="288">
        <f>IFERROR(IF($B154="N/A","N/A",IF(MOD(COLUMNS($H$151:M$151)-1,$E154)=0,$F154*$D154*$G154,)),)</f>
        <v>141.62079333136009</v>
      </c>
      <c r="N154" s="288">
        <f>IFERROR(IF($B154="N/A","N/A",IF(MOD(COLUMNS($H$151:N$151)-1,$E154)=0,$F154*$D154*$G154,)),)</f>
        <v>0</v>
      </c>
      <c r="O154" s="288">
        <f>IFERROR(IF($B154="N/A","N/A",IF(MOD(COLUMNS($H$151:O$151)-1,$E154)=0,$F154*$D154*$G154,)),)</f>
        <v>0</v>
      </c>
      <c r="P154" s="288">
        <f>IFERROR(IF($B154="N/A","N/A",IF(MOD(COLUMNS($H$151:P$151)-1,$E154)=0,$F154*$D154*$G154,)),)</f>
        <v>0</v>
      </c>
      <c r="Q154" s="288">
        <f>IFERROR(IF($B154="N/A","N/A",IF(MOD(COLUMNS($H$151:Q$151)-1,$E154)=0,$F154*$D154*$G154,)),)</f>
        <v>0</v>
      </c>
      <c r="R154" s="288">
        <f>IFERROR(IF($B154="N/A","N/A",IF(MOD(COLUMNS($H$151:R$151)-1,$E154)=0,$F154*$D154*$G154,)),)</f>
        <v>141.62079333136009</v>
      </c>
      <c r="S154" s="288">
        <f>IFERROR(IF($B154="N/A","N/A",IF(MOD(COLUMNS($H$151:S$151)-1,$E154)=0,$F154*$D154*$G154,)),)</f>
        <v>0</v>
      </c>
      <c r="T154" s="288">
        <f>IFERROR(IF($B154="N/A","N/A",IF(MOD(COLUMNS($H$151:T$151)-1,$E154)=0,$F154*$D154*$G154,)),)</f>
        <v>0</v>
      </c>
      <c r="U154" s="288">
        <f>IFERROR(IF($B154="N/A","N/A",IF(MOD(COLUMNS($H$151:U$151)-1,$E154)=0,$F154*$D154*$G154,)),)</f>
        <v>0</v>
      </c>
      <c r="V154" s="288">
        <f>IFERROR(IF($B154="N/A","N/A",IF(MOD(COLUMNS($H$151:V$151)-1,$E154)=0,$F154*$D154*$G154,)),)</f>
        <v>0</v>
      </c>
      <c r="W154" s="288">
        <f>IFERROR(IF($B154="N/A","N/A",IF(MOD(COLUMNS($H$151:W$151)-1,$E154)=0,$F154*$D154*$G154,)),)</f>
        <v>141.62079333136009</v>
      </c>
    </row>
    <row r="155" spans="2:23">
      <c r="B155" s="70" t="str">
        <f t="array" ref="B155">IF(COUNTIFS(INDEX(Equipment_Allocation_New,0,MATCH($C$107,Unit_codes,0)),"&gt;0")&lt;ROWS('2.2-Equipment input'!$X$8:$X11),"N/A",INDEX('2.2-Equipment input'!B:B,SMALL(IF(INDEX(Equipment_Allocation_New,0,MATCH($C$107,Unit_codes,0))&gt;0,ROW(equipment_ID)),ROW('2.2-Equipment input'!B4))))</f>
        <v>eq0023</v>
      </c>
      <c r="C155" s="70" t="str">
        <f>IF($B155="N/A","N/A",INDEX(Equipment_name[],MATCH(B155,equipment_ID,0)))</f>
        <v>Oviball holder</v>
      </c>
      <c r="D155" s="288">
        <f t="shared" si="19"/>
        <v>0.70810396665680042</v>
      </c>
      <c r="E155" s="88">
        <f t="shared" si="20"/>
        <v>5</v>
      </c>
      <c r="F155" s="88">
        <f t="shared" si="21"/>
        <v>1</v>
      </c>
      <c r="G155" s="86">
        <f t="shared" si="22"/>
        <v>0.5</v>
      </c>
      <c r="H155" s="288">
        <f>IFERROR(IF($B155="N/A","N/A",IF(MOD(COLUMNS(H$151:$H$151)-1,$E155)=0,$F155*$D155*$G155,)),)</f>
        <v>0.35405198332840021</v>
      </c>
      <c r="I155" s="288">
        <f>IFERROR(IF($B155="N/A","N/A",IF(MOD(COLUMNS($H$151:I$151)-1,$E155)=0,$F155*$D155*$G155,)),)</f>
        <v>0</v>
      </c>
      <c r="J155" s="288">
        <f>IFERROR(IF($B155="N/A","N/A",IF(MOD(COLUMNS($H$151:J$151)-1,$E155)=0,$F155*$D155*$G155,)),)</f>
        <v>0</v>
      </c>
      <c r="K155" s="288">
        <f>IFERROR(IF($B155="N/A","N/A",IF(MOD(COLUMNS($H$151:K$151)-1,$E155)=0,$F155*$D155*$G155,)),)</f>
        <v>0</v>
      </c>
      <c r="L155" s="288">
        <f>IFERROR(IF($B155="N/A","N/A",IF(MOD(COLUMNS($H$151:L$151)-1,$E155)=0,$F155*$D155*$G155,)),)</f>
        <v>0</v>
      </c>
      <c r="M155" s="288">
        <f>IFERROR(IF($B155="N/A","N/A",IF(MOD(COLUMNS($H$151:M$151)-1,$E155)=0,$F155*$D155*$G155,)),)</f>
        <v>0.35405198332840021</v>
      </c>
      <c r="N155" s="288">
        <f>IFERROR(IF($B155="N/A","N/A",IF(MOD(COLUMNS($H$151:N$151)-1,$E155)=0,$F155*$D155*$G155,)),)</f>
        <v>0</v>
      </c>
      <c r="O155" s="288">
        <f>IFERROR(IF($B155="N/A","N/A",IF(MOD(COLUMNS($H$151:O$151)-1,$E155)=0,$F155*$D155*$G155,)),)</f>
        <v>0</v>
      </c>
      <c r="P155" s="288">
        <f>IFERROR(IF($B155="N/A","N/A",IF(MOD(COLUMNS($H$151:P$151)-1,$E155)=0,$F155*$D155*$G155,)),)</f>
        <v>0</v>
      </c>
      <c r="Q155" s="288">
        <f>IFERROR(IF($B155="N/A","N/A",IF(MOD(COLUMNS($H$151:Q$151)-1,$E155)=0,$F155*$D155*$G155,)),)</f>
        <v>0</v>
      </c>
      <c r="R155" s="288">
        <f>IFERROR(IF($B155="N/A","N/A",IF(MOD(COLUMNS($H$151:R$151)-1,$E155)=0,$F155*$D155*$G155,)),)</f>
        <v>0.35405198332840021</v>
      </c>
      <c r="S155" s="288">
        <f>IFERROR(IF($B155="N/A","N/A",IF(MOD(COLUMNS($H$151:S$151)-1,$E155)=0,$F155*$D155*$G155,)),)</f>
        <v>0</v>
      </c>
      <c r="T155" s="288">
        <f>IFERROR(IF($B155="N/A","N/A",IF(MOD(COLUMNS($H$151:T$151)-1,$E155)=0,$F155*$D155*$G155,)),)</f>
        <v>0</v>
      </c>
      <c r="U155" s="288">
        <f>IFERROR(IF($B155="N/A","N/A",IF(MOD(COLUMNS($H$151:U$151)-1,$E155)=0,$F155*$D155*$G155,)),)</f>
        <v>0</v>
      </c>
      <c r="V155" s="288">
        <f>IFERROR(IF($B155="N/A","N/A",IF(MOD(COLUMNS($H$151:V$151)-1,$E155)=0,$F155*$D155*$G155,)),)</f>
        <v>0</v>
      </c>
      <c r="W155" s="288">
        <f>IFERROR(IF($B155="N/A","N/A",IF(MOD(COLUMNS($H$151:W$151)-1,$E155)=0,$F155*$D155*$G155,)),)</f>
        <v>0.35405198332840021</v>
      </c>
    </row>
    <row r="156" spans="2:23">
      <c r="B156" s="70" t="str">
        <f t="array" ref="B156">IF(COUNTIFS(INDEX(Equipment_Allocation_New,0,MATCH($C$107,Unit_codes,0)),"&gt;0")&lt;ROWS('2.2-Equipment input'!$X$8:$X12),"N/A",INDEX('2.2-Equipment input'!B:B,SMALL(IF(INDEX(Equipment_Allocation_New,0,MATCH($C$107,Unit_codes,0))&gt;0,ROW(equipment_ID)),ROW('2.2-Equipment input'!B5))))</f>
        <v>eq0024</v>
      </c>
      <c r="C156" s="70" t="str">
        <f>IF($B156="N/A","N/A",INDEX(Equipment_name[],MATCH(B156,equipment_ID,0)))</f>
        <v>Egg media</v>
      </c>
      <c r="D156" s="288">
        <f t="shared" si="19"/>
        <v>0.70810396665680042</v>
      </c>
      <c r="E156" s="88">
        <f t="shared" si="20"/>
        <v>5</v>
      </c>
      <c r="F156" s="88">
        <f t="shared" si="21"/>
        <v>30</v>
      </c>
      <c r="G156" s="86">
        <f t="shared" si="22"/>
        <v>0.5</v>
      </c>
      <c r="H156" s="288">
        <f>IFERROR(IF($B156="N/A","N/A",IF(MOD(COLUMNS(H$151:$H$151)-1,$E156)=0,$F156*$D156*$G156,)),)</f>
        <v>10.621559499852006</v>
      </c>
      <c r="I156" s="288">
        <f>IFERROR(IF($B156="N/A","N/A",IF(MOD(COLUMNS($H$151:I$151)-1,$E156)=0,$F156*$D156*$G156,)),)</f>
        <v>0</v>
      </c>
      <c r="J156" s="288">
        <f>IFERROR(IF($B156="N/A","N/A",IF(MOD(COLUMNS($H$151:J$151)-1,$E156)=0,$F156*$D156*$G156,)),)</f>
        <v>0</v>
      </c>
      <c r="K156" s="288">
        <f>IFERROR(IF($B156="N/A","N/A",IF(MOD(COLUMNS($H$151:K$151)-1,$E156)=0,$F156*$D156*$G156,)),)</f>
        <v>0</v>
      </c>
      <c r="L156" s="288">
        <f>IFERROR(IF($B156="N/A","N/A",IF(MOD(COLUMNS($H$151:L$151)-1,$E156)=0,$F156*$D156*$G156,)),)</f>
        <v>0</v>
      </c>
      <c r="M156" s="288">
        <f>IFERROR(IF($B156="N/A","N/A",IF(MOD(COLUMNS($H$151:M$151)-1,$E156)=0,$F156*$D156*$G156,)),)</f>
        <v>10.621559499852006</v>
      </c>
      <c r="N156" s="288">
        <f>IFERROR(IF($B156="N/A","N/A",IF(MOD(COLUMNS($H$151:N$151)-1,$E156)=0,$F156*$D156*$G156,)),)</f>
        <v>0</v>
      </c>
      <c r="O156" s="288">
        <f>IFERROR(IF($B156="N/A","N/A",IF(MOD(COLUMNS($H$151:O$151)-1,$E156)=0,$F156*$D156*$G156,)),)</f>
        <v>0</v>
      </c>
      <c r="P156" s="288">
        <f>IFERROR(IF($B156="N/A","N/A",IF(MOD(COLUMNS($H$151:P$151)-1,$E156)=0,$F156*$D156*$G156,)),)</f>
        <v>0</v>
      </c>
      <c r="Q156" s="288">
        <f>IFERROR(IF($B156="N/A","N/A",IF(MOD(COLUMNS($H$151:Q$151)-1,$E156)=0,$F156*$D156*$G156,)),)</f>
        <v>0</v>
      </c>
      <c r="R156" s="288">
        <f>IFERROR(IF($B156="N/A","N/A",IF(MOD(COLUMNS($H$151:R$151)-1,$E156)=0,$F156*$D156*$G156,)),)</f>
        <v>10.621559499852006</v>
      </c>
      <c r="S156" s="288">
        <f>IFERROR(IF($B156="N/A","N/A",IF(MOD(COLUMNS($H$151:S$151)-1,$E156)=0,$F156*$D156*$G156,)),)</f>
        <v>0</v>
      </c>
      <c r="T156" s="288">
        <f>IFERROR(IF($B156="N/A","N/A",IF(MOD(COLUMNS($H$151:T$151)-1,$E156)=0,$F156*$D156*$G156,)),)</f>
        <v>0</v>
      </c>
      <c r="U156" s="288">
        <f>IFERROR(IF($B156="N/A","N/A",IF(MOD(COLUMNS($H$151:U$151)-1,$E156)=0,$F156*$D156*$G156,)),)</f>
        <v>0</v>
      </c>
      <c r="V156" s="288">
        <f>IFERROR(IF($B156="N/A","N/A",IF(MOD(COLUMNS($H$151:V$151)-1,$E156)=0,$F156*$D156*$G156,)),)</f>
        <v>0</v>
      </c>
      <c r="W156" s="288">
        <f>IFERROR(IF($B156="N/A","N/A",IF(MOD(COLUMNS($H$151:W$151)-1,$E156)=0,$F156*$D156*$G156,)),)</f>
        <v>10.621559499852006</v>
      </c>
    </row>
    <row r="157" spans="2:23">
      <c r="B157" s="70" t="str">
        <f t="array" ref="B157">IF(COUNTIFS(INDEX(Equipment_Allocation_New,0,MATCH($C$107,Unit_codes,0)),"&gt;0")&lt;ROWS('2.2-Equipment input'!$X$8:$X13),"N/A",INDEX('2.2-Equipment input'!B:B,SMALL(IF(INDEX(Equipment_Allocation_New,0,MATCH($C$107,Unit_codes,0))&gt;0,ROW(equipment_ID)),ROW('2.2-Equipment input'!B6))))</f>
        <v>eq0025</v>
      </c>
      <c r="C157" s="70" t="str">
        <f>IF($B157="N/A","N/A",INDEX(Equipment_name[],MATCH(B157,equipment_ID,0)))</f>
        <v>Working table</v>
      </c>
      <c r="D157" s="288">
        <f t="shared" si="19"/>
        <v>177.02599166420012</v>
      </c>
      <c r="E157" s="88">
        <f t="shared" si="20"/>
        <v>5</v>
      </c>
      <c r="F157" s="88">
        <f t="shared" si="21"/>
        <v>1</v>
      </c>
      <c r="G157" s="86">
        <f t="shared" si="22"/>
        <v>0.5</v>
      </c>
      <c r="H157" s="288">
        <f>IFERROR(IF($B157="N/A","N/A",IF(MOD(COLUMNS(H$151:$H$151)-1,$E157)=0,$F157*$D157*$G157,)),)</f>
        <v>88.51299583210006</v>
      </c>
      <c r="I157" s="288">
        <f>IFERROR(IF($B157="N/A","N/A",IF(MOD(COLUMNS($H$151:I$151)-1,$E157)=0,$F157*$D157*$G157,)),)</f>
        <v>0</v>
      </c>
      <c r="J157" s="288">
        <f>IFERROR(IF($B157="N/A","N/A",IF(MOD(COLUMNS($H$151:J$151)-1,$E157)=0,$F157*$D157*$G157,)),)</f>
        <v>0</v>
      </c>
      <c r="K157" s="288">
        <f>IFERROR(IF($B157="N/A","N/A",IF(MOD(COLUMNS($H$151:K$151)-1,$E157)=0,$F157*$D157*$G157,)),)</f>
        <v>0</v>
      </c>
      <c r="L157" s="288">
        <f>IFERROR(IF($B157="N/A","N/A",IF(MOD(COLUMNS($H$151:L$151)-1,$E157)=0,$F157*$D157*$G157,)),)</f>
        <v>0</v>
      </c>
      <c r="M157" s="288">
        <f>IFERROR(IF($B157="N/A","N/A",IF(MOD(COLUMNS($H$151:M$151)-1,$E157)=0,$F157*$D157*$G157,)),)</f>
        <v>88.51299583210006</v>
      </c>
      <c r="N157" s="288">
        <f>IFERROR(IF($B157="N/A","N/A",IF(MOD(COLUMNS($H$151:N$151)-1,$E157)=0,$F157*$D157*$G157,)),)</f>
        <v>0</v>
      </c>
      <c r="O157" s="288">
        <f>IFERROR(IF($B157="N/A","N/A",IF(MOD(COLUMNS($H$151:O$151)-1,$E157)=0,$F157*$D157*$G157,)),)</f>
        <v>0</v>
      </c>
      <c r="P157" s="288">
        <f>IFERROR(IF($B157="N/A","N/A",IF(MOD(COLUMNS($H$151:P$151)-1,$E157)=0,$F157*$D157*$G157,)),)</f>
        <v>0</v>
      </c>
      <c r="Q157" s="288">
        <f>IFERROR(IF($B157="N/A","N/A",IF(MOD(COLUMNS($H$151:Q$151)-1,$E157)=0,$F157*$D157*$G157,)),)</f>
        <v>0</v>
      </c>
      <c r="R157" s="288">
        <f>IFERROR(IF($B157="N/A","N/A",IF(MOD(COLUMNS($H$151:R$151)-1,$E157)=0,$F157*$D157*$G157,)),)</f>
        <v>88.51299583210006</v>
      </c>
      <c r="S157" s="288">
        <f>IFERROR(IF($B157="N/A","N/A",IF(MOD(COLUMNS($H$151:S$151)-1,$E157)=0,$F157*$D157*$G157,)),)</f>
        <v>0</v>
      </c>
      <c r="T157" s="288">
        <f>IFERROR(IF($B157="N/A","N/A",IF(MOD(COLUMNS($H$151:T$151)-1,$E157)=0,$F157*$D157*$G157,)),)</f>
        <v>0</v>
      </c>
      <c r="U157" s="288">
        <f>IFERROR(IF($B157="N/A","N/A",IF(MOD(COLUMNS($H$151:U$151)-1,$E157)=0,$F157*$D157*$G157,)),)</f>
        <v>0</v>
      </c>
      <c r="V157" s="288">
        <f>IFERROR(IF($B157="N/A","N/A",IF(MOD(COLUMNS($H$151:V$151)-1,$E157)=0,$F157*$D157*$G157,)),)</f>
        <v>0</v>
      </c>
      <c r="W157" s="288">
        <f>IFERROR(IF($B157="N/A","N/A",IF(MOD(COLUMNS($H$151:W$151)-1,$E157)=0,$F157*$D157*$G157,)),)</f>
        <v>88.51299583210006</v>
      </c>
    </row>
    <row r="158" spans="2:23">
      <c r="B158" s="70" t="str">
        <f t="array" ref="B158">IF(COUNTIFS(INDEX(Equipment_Allocation_New,0,MATCH($C$107,Unit_codes,0)),"&gt;0")&lt;ROWS('2.2-Equipment input'!$X$8:$X14),"N/A",INDEX('2.2-Equipment input'!B:B,SMALL(IF(INDEX(Equipment_Allocation_New,0,MATCH($C$107,Unit_codes,0))&gt;0,ROW(equipment_ID)),ROW('2.2-Equipment input'!B7))))</f>
        <v>eq0032</v>
      </c>
      <c r="C158" s="70" t="str">
        <f>IF($B158="N/A","N/A",INDEX(Equipment_name[],MATCH(B158,equipment_ID,0)))</f>
        <v>Measuring balance (nursery)</v>
      </c>
      <c r="D158" s="288">
        <f t="shared" si="19"/>
        <v>354.05198332840024</v>
      </c>
      <c r="E158" s="88">
        <f t="shared" si="20"/>
        <v>5</v>
      </c>
      <c r="F158" s="88">
        <f t="shared" si="21"/>
        <v>1</v>
      </c>
      <c r="G158" s="86">
        <f t="shared" si="22"/>
        <v>0.15</v>
      </c>
      <c r="H158" s="288">
        <f>IFERROR(IF($B158="N/A","N/A",IF(MOD(COLUMNS(H$151:$H$151)-1,$E158)=0,$F158*$D158*$G158,)),)</f>
        <v>53.107797499260037</v>
      </c>
      <c r="I158" s="288">
        <f>IFERROR(IF($B158="N/A","N/A",IF(MOD(COLUMNS($H$151:I$151)-1,$E158)=0,$F158*$D158*$G158,)),)</f>
        <v>0</v>
      </c>
      <c r="J158" s="288">
        <f>IFERROR(IF($B158="N/A","N/A",IF(MOD(COLUMNS($H$151:J$151)-1,$E158)=0,$F158*$D158*$G158,)),)</f>
        <v>0</v>
      </c>
      <c r="K158" s="288">
        <f>IFERROR(IF($B158="N/A","N/A",IF(MOD(COLUMNS($H$151:K$151)-1,$E158)=0,$F158*$D158*$G158,)),)</f>
        <v>0</v>
      </c>
      <c r="L158" s="288">
        <f>IFERROR(IF($B158="N/A","N/A",IF(MOD(COLUMNS($H$151:L$151)-1,$E158)=0,$F158*$D158*$G158,)),)</f>
        <v>0</v>
      </c>
      <c r="M158" s="288">
        <f>IFERROR(IF($B158="N/A","N/A",IF(MOD(COLUMNS($H$151:M$151)-1,$E158)=0,$F158*$D158*$G158,)),)</f>
        <v>53.107797499260037</v>
      </c>
      <c r="N158" s="288">
        <f>IFERROR(IF($B158="N/A","N/A",IF(MOD(COLUMNS($H$151:N$151)-1,$E158)=0,$F158*$D158*$G158,)),)</f>
        <v>0</v>
      </c>
      <c r="O158" s="288">
        <f>IFERROR(IF($B158="N/A","N/A",IF(MOD(COLUMNS($H$151:O$151)-1,$E158)=0,$F158*$D158*$G158,)),)</f>
        <v>0</v>
      </c>
      <c r="P158" s="288">
        <f>IFERROR(IF($B158="N/A","N/A",IF(MOD(COLUMNS($H$151:P$151)-1,$E158)=0,$F158*$D158*$G158,)),)</f>
        <v>0</v>
      </c>
      <c r="Q158" s="288">
        <f>IFERROR(IF($B158="N/A","N/A",IF(MOD(COLUMNS($H$151:Q$151)-1,$E158)=0,$F158*$D158*$G158,)),)</f>
        <v>0</v>
      </c>
      <c r="R158" s="288">
        <f>IFERROR(IF($B158="N/A","N/A",IF(MOD(COLUMNS($H$151:R$151)-1,$E158)=0,$F158*$D158*$G158,)),)</f>
        <v>53.107797499260037</v>
      </c>
      <c r="S158" s="288">
        <f>IFERROR(IF($B158="N/A","N/A",IF(MOD(COLUMNS($H$151:S$151)-1,$E158)=0,$F158*$D158*$G158,)),)</f>
        <v>0</v>
      </c>
      <c r="T158" s="288">
        <f>IFERROR(IF($B158="N/A","N/A",IF(MOD(COLUMNS($H$151:T$151)-1,$E158)=0,$F158*$D158*$G158,)),)</f>
        <v>0</v>
      </c>
      <c r="U158" s="288">
        <f>IFERROR(IF($B158="N/A","N/A",IF(MOD(COLUMNS($H$151:U$151)-1,$E158)=0,$F158*$D158*$G158,)),)</f>
        <v>0</v>
      </c>
      <c r="V158" s="288">
        <f>IFERROR(IF($B158="N/A","N/A",IF(MOD(COLUMNS($H$151:V$151)-1,$E158)=0,$F158*$D158*$G158,)),)</f>
        <v>0</v>
      </c>
      <c r="W158" s="288">
        <f>IFERROR(IF($B158="N/A","N/A",IF(MOD(COLUMNS($H$151:W$151)-1,$E158)=0,$F158*$D158*$G158,)),)</f>
        <v>53.107797499260037</v>
      </c>
    </row>
    <row r="159" spans="2:23">
      <c r="B159" s="70" t="str">
        <f t="array" ref="B159">IF(COUNTIFS(INDEX(Equipment_Allocation_New,0,MATCH($C$107,Unit_codes,0)),"&gt;0")&lt;ROWS('2.2-Equipment input'!$X$8:$X15),"N/A",INDEX('2.2-Equipment input'!B:B,SMALL(IF(INDEX(Equipment_Allocation_New,0,MATCH($C$107,Unit_codes,0))&gt;0,ROW(equipment_ID)),ROW('2.2-Equipment input'!B8))))</f>
        <v>eq0033</v>
      </c>
      <c r="C159" s="70" t="str">
        <f>IF($B159="N/A","N/A",INDEX(Equipment_name[],MATCH(B159,equipment_ID,0)))</f>
        <v>Precision balance (lab)</v>
      </c>
      <c r="D159" s="288">
        <f t="shared" si="19"/>
        <v>212.43118999704012</v>
      </c>
      <c r="E159" s="88">
        <f t="shared" si="20"/>
        <v>5</v>
      </c>
      <c r="F159" s="88">
        <f t="shared" si="21"/>
        <v>1</v>
      </c>
      <c r="G159" s="86">
        <f t="shared" si="22"/>
        <v>0.5</v>
      </c>
      <c r="H159" s="288">
        <f>IFERROR(IF($B159="N/A","N/A",IF(MOD(COLUMNS(H$151:$H$151)-1,$E159)=0,$F159*$D159*$G159,)),)</f>
        <v>106.21559499852006</v>
      </c>
      <c r="I159" s="288">
        <f>IFERROR(IF($B159="N/A","N/A",IF(MOD(COLUMNS($H$151:I$151)-1,$E159)=0,$F159*$D159*$G159,)),)</f>
        <v>0</v>
      </c>
      <c r="J159" s="288">
        <f>IFERROR(IF($B159="N/A","N/A",IF(MOD(COLUMNS($H$151:J$151)-1,$E159)=0,$F159*$D159*$G159,)),)</f>
        <v>0</v>
      </c>
      <c r="K159" s="288">
        <f>IFERROR(IF($B159="N/A","N/A",IF(MOD(COLUMNS($H$151:K$151)-1,$E159)=0,$F159*$D159*$G159,)),)</f>
        <v>0</v>
      </c>
      <c r="L159" s="288">
        <f>IFERROR(IF($B159="N/A","N/A",IF(MOD(COLUMNS($H$151:L$151)-1,$E159)=0,$F159*$D159*$G159,)),)</f>
        <v>0</v>
      </c>
      <c r="M159" s="288">
        <f>IFERROR(IF($B159="N/A","N/A",IF(MOD(COLUMNS($H$151:M$151)-1,$E159)=0,$F159*$D159*$G159,)),)</f>
        <v>106.21559499852006</v>
      </c>
      <c r="N159" s="288">
        <f>IFERROR(IF($B159="N/A","N/A",IF(MOD(COLUMNS($H$151:N$151)-1,$E159)=0,$F159*$D159*$G159,)),)</f>
        <v>0</v>
      </c>
      <c r="O159" s="288">
        <f>IFERROR(IF($B159="N/A","N/A",IF(MOD(COLUMNS($H$151:O$151)-1,$E159)=0,$F159*$D159*$G159,)),)</f>
        <v>0</v>
      </c>
      <c r="P159" s="288">
        <f>IFERROR(IF($B159="N/A","N/A",IF(MOD(COLUMNS($H$151:P$151)-1,$E159)=0,$F159*$D159*$G159,)),)</f>
        <v>0</v>
      </c>
      <c r="Q159" s="288">
        <f>IFERROR(IF($B159="N/A","N/A",IF(MOD(COLUMNS($H$151:Q$151)-1,$E159)=0,$F159*$D159*$G159,)),)</f>
        <v>0</v>
      </c>
      <c r="R159" s="288">
        <f>IFERROR(IF($B159="N/A","N/A",IF(MOD(COLUMNS($H$151:R$151)-1,$E159)=0,$F159*$D159*$G159,)),)</f>
        <v>106.21559499852006</v>
      </c>
      <c r="S159" s="288">
        <f>IFERROR(IF($B159="N/A","N/A",IF(MOD(COLUMNS($H$151:S$151)-1,$E159)=0,$F159*$D159*$G159,)),)</f>
        <v>0</v>
      </c>
      <c r="T159" s="288">
        <f>IFERROR(IF($B159="N/A","N/A",IF(MOD(COLUMNS($H$151:T$151)-1,$E159)=0,$F159*$D159*$G159,)),)</f>
        <v>0</v>
      </c>
      <c r="U159" s="288">
        <f>IFERROR(IF($B159="N/A","N/A",IF(MOD(COLUMNS($H$151:U$151)-1,$E159)=0,$F159*$D159*$G159,)),)</f>
        <v>0</v>
      </c>
      <c r="V159" s="288">
        <f>IFERROR(IF($B159="N/A","N/A",IF(MOD(COLUMNS($H$151:V$151)-1,$E159)=0,$F159*$D159*$G159,)),)</f>
        <v>0</v>
      </c>
      <c r="W159" s="288">
        <f>IFERROR(IF($B159="N/A","N/A",IF(MOD(COLUMNS($H$151:W$151)-1,$E159)=0,$F159*$D159*$G159,)),)</f>
        <v>106.21559499852006</v>
      </c>
    </row>
    <row r="160" spans="2:23">
      <c r="B160" s="70" t="str">
        <f t="array" ref="B160">IF(COUNTIFS(INDEX(Equipment_Allocation_New,0,MATCH($C$107,Unit_codes,0)),"&gt;0")&lt;ROWS('2.2-Equipment input'!$X$8:$X16),"N/A",INDEX('2.2-Equipment input'!B:B,SMALL(IF(INDEX(Equipment_Allocation_New,0,MATCH($C$107,Unit_codes,0))&gt;0,ROW(equipment_ID)),ROW('2.2-Equipment input'!B9))))</f>
        <v>eq0035</v>
      </c>
      <c r="C160" s="70" t="str">
        <f>IF($B160="N/A","N/A",INDEX(Equipment_name[],MATCH(B160,equipment_ID,0)))</f>
        <v>Mixer (compost)</v>
      </c>
      <c r="D160" s="288">
        <f t="shared" si="19"/>
        <v>566.48317332544036</v>
      </c>
      <c r="E160" s="88">
        <f t="shared" si="20"/>
        <v>5</v>
      </c>
      <c r="F160" s="88">
        <f t="shared" si="21"/>
        <v>1</v>
      </c>
      <c r="G160" s="86">
        <f t="shared" si="22"/>
        <v>0.5</v>
      </c>
      <c r="H160" s="288">
        <f>IFERROR(IF($B160="N/A","N/A",IF(MOD(COLUMNS(H$151:$H$151)-1,$E160)=0,$F160*$D160*$G160,)),)</f>
        <v>283.24158666272018</v>
      </c>
      <c r="I160" s="288">
        <f>IFERROR(IF($B160="N/A","N/A",IF(MOD(COLUMNS($H$151:I$151)-1,$E160)=0,$F160*$D160*$G160,)),)</f>
        <v>0</v>
      </c>
      <c r="J160" s="288">
        <f>IFERROR(IF($B160="N/A","N/A",IF(MOD(COLUMNS($H$151:J$151)-1,$E160)=0,$F160*$D160*$G160,)),)</f>
        <v>0</v>
      </c>
      <c r="K160" s="288">
        <f>IFERROR(IF($B160="N/A","N/A",IF(MOD(COLUMNS($H$151:K$151)-1,$E160)=0,$F160*$D160*$G160,)),)</f>
        <v>0</v>
      </c>
      <c r="L160" s="288">
        <f>IFERROR(IF($B160="N/A","N/A",IF(MOD(COLUMNS($H$151:L$151)-1,$E160)=0,$F160*$D160*$G160,)),)</f>
        <v>0</v>
      </c>
      <c r="M160" s="288">
        <f>IFERROR(IF($B160="N/A","N/A",IF(MOD(COLUMNS($H$151:M$151)-1,$E160)=0,$F160*$D160*$G160,)),)</f>
        <v>283.24158666272018</v>
      </c>
      <c r="N160" s="288">
        <f>IFERROR(IF($B160="N/A","N/A",IF(MOD(COLUMNS($H$151:N$151)-1,$E160)=0,$F160*$D160*$G160,)),)</f>
        <v>0</v>
      </c>
      <c r="O160" s="288">
        <f>IFERROR(IF($B160="N/A","N/A",IF(MOD(COLUMNS($H$151:O$151)-1,$E160)=0,$F160*$D160*$G160,)),)</f>
        <v>0</v>
      </c>
      <c r="P160" s="288">
        <f>IFERROR(IF($B160="N/A","N/A",IF(MOD(COLUMNS($H$151:P$151)-1,$E160)=0,$F160*$D160*$G160,)),)</f>
        <v>0</v>
      </c>
      <c r="Q160" s="288">
        <f>IFERROR(IF($B160="N/A","N/A",IF(MOD(COLUMNS($H$151:Q$151)-1,$E160)=0,$F160*$D160*$G160,)),)</f>
        <v>0</v>
      </c>
      <c r="R160" s="288">
        <f>IFERROR(IF($B160="N/A","N/A",IF(MOD(COLUMNS($H$151:R$151)-1,$E160)=0,$F160*$D160*$G160,)),)</f>
        <v>283.24158666272018</v>
      </c>
      <c r="S160" s="288">
        <f>IFERROR(IF($B160="N/A","N/A",IF(MOD(COLUMNS($H$151:S$151)-1,$E160)=0,$F160*$D160*$G160,)),)</f>
        <v>0</v>
      </c>
      <c r="T160" s="288">
        <f>IFERROR(IF($B160="N/A","N/A",IF(MOD(COLUMNS($H$151:T$151)-1,$E160)=0,$F160*$D160*$G160,)),)</f>
        <v>0</v>
      </c>
      <c r="U160" s="288">
        <f>IFERROR(IF($B160="N/A","N/A",IF(MOD(COLUMNS($H$151:U$151)-1,$E160)=0,$F160*$D160*$G160,)),)</f>
        <v>0</v>
      </c>
      <c r="V160" s="288">
        <f>IFERROR(IF($B160="N/A","N/A",IF(MOD(COLUMNS($H$151:V$151)-1,$E160)=0,$F160*$D160*$G160,)),)</f>
        <v>0</v>
      </c>
      <c r="W160" s="288">
        <f>IFERROR(IF($B160="N/A","N/A",IF(MOD(COLUMNS($H$151:W$151)-1,$E160)=0,$F160*$D160*$G160,)),)</f>
        <v>283.24158666272018</v>
      </c>
    </row>
    <row r="161" spans="2:23">
      <c r="B161" s="70" t="str">
        <f t="array" ref="B161">IF(COUNTIFS(INDEX(Equipment_Allocation_New,0,MATCH($C$107,Unit_codes,0)),"&gt;0")&lt;ROWS('2.2-Equipment input'!$X$8:$X17),"N/A",INDEX('2.2-Equipment input'!B:B,SMALL(IF(INDEX(Equipment_Allocation_New,0,MATCH($C$107,Unit_codes,0))&gt;0,ROW(equipment_ID)),ROW('2.2-Equipment input'!B10))))</f>
        <v>eq0036</v>
      </c>
      <c r="C161" s="70" t="str">
        <f>IF($B161="N/A","N/A",INDEX(Equipment_name[],MATCH(B161,equipment_ID,0)))</f>
        <v>Blower</v>
      </c>
      <c r="D161" s="288">
        <f t="shared" si="19"/>
        <v>0</v>
      </c>
      <c r="E161" s="88">
        <f t="shared" si="20"/>
        <v>0</v>
      </c>
      <c r="F161" s="88">
        <f t="shared" si="21"/>
        <v>5.2875000000000014</v>
      </c>
      <c r="G161" s="88">
        <f t="shared" si="22"/>
        <v>0.5</v>
      </c>
      <c r="H161" s="288">
        <f>IFERROR(IF($B161="N/A","N/A",IF(MOD(COLUMNS(H$151:$H$151)-1,$E161)=0,$F161*$D161*$G161,)),)</f>
        <v>0</v>
      </c>
      <c r="I161" s="288">
        <f>IFERROR(IF($B161="N/A","N/A",IF(MOD(COLUMNS($H$151:I$151)-1,$E161)=0,$F161*$D161*$G161,)),)</f>
        <v>0</v>
      </c>
      <c r="J161" s="288">
        <f>IFERROR(IF($B161="N/A","N/A",IF(MOD(COLUMNS($H$151:J$151)-1,$E161)=0,$F161*$D161*$G161,)),)</f>
        <v>0</v>
      </c>
      <c r="K161" s="288">
        <f>IFERROR(IF($B161="N/A","N/A",IF(MOD(COLUMNS($H$151:K$151)-1,$E161)=0,$F161*$D161*$G161,)),)</f>
        <v>0</v>
      </c>
      <c r="L161" s="288">
        <f>IFERROR(IF($B161="N/A","N/A",IF(MOD(COLUMNS($H$151:L$151)-1,$E161)=0,$F161*$D161*$G161,)),)</f>
        <v>0</v>
      </c>
      <c r="M161" s="288">
        <f>IFERROR(IF($B161="N/A","N/A",IF(MOD(COLUMNS($H$151:M$151)-1,$E161)=0,$F161*$D161*$G161,)),)</f>
        <v>0</v>
      </c>
      <c r="N161" s="288">
        <f>IFERROR(IF($B161="N/A","N/A",IF(MOD(COLUMNS($H$151:N$151)-1,$E161)=0,$F161*$D161*$G161,)),)</f>
        <v>0</v>
      </c>
      <c r="O161" s="288">
        <f>IFERROR(IF($B161="N/A","N/A",IF(MOD(COLUMNS($H$151:O$151)-1,$E161)=0,$F161*$D161*$G161,)),)</f>
        <v>0</v>
      </c>
      <c r="P161" s="288">
        <f>IFERROR(IF($B161="N/A","N/A",IF(MOD(COLUMNS($H$151:P$151)-1,$E161)=0,$F161*$D161*$G161,)),)</f>
        <v>0</v>
      </c>
      <c r="Q161" s="288">
        <f>IFERROR(IF($B161="N/A","N/A",IF(MOD(COLUMNS($H$151:Q$151)-1,$E161)=0,$F161*$D161*$G161,)),)</f>
        <v>0</v>
      </c>
      <c r="R161" s="288">
        <f>IFERROR(IF($B161="N/A","N/A",IF(MOD(COLUMNS($H$151:R$151)-1,$E161)=0,$F161*$D161*$G161,)),)</f>
        <v>0</v>
      </c>
      <c r="S161" s="288">
        <f>IFERROR(IF($B161="N/A","N/A",IF(MOD(COLUMNS($H$151:S$151)-1,$E161)=0,$F161*$D161*$G161,)),)</f>
        <v>0</v>
      </c>
      <c r="T161" s="288">
        <f>IFERROR(IF($B161="N/A","N/A",IF(MOD(COLUMNS($H$151:T$151)-1,$E161)=0,$F161*$D161*$G161,)),)</f>
        <v>0</v>
      </c>
      <c r="U161" s="288">
        <f>IFERROR(IF($B161="N/A","N/A",IF(MOD(COLUMNS($H$151:U$151)-1,$E161)=0,$F161*$D161*$G161,)),)</f>
        <v>0</v>
      </c>
      <c r="V161" s="288">
        <f>IFERROR(IF($B161="N/A","N/A",IF(MOD(COLUMNS($H$151:V$151)-1,$E161)=0,$F161*$D161*$G161,)),)</f>
        <v>0</v>
      </c>
      <c r="W161" s="288">
        <f>IFERROR(IF($B161="N/A","N/A",IF(MOD(COLUMNS($H$151:W$151)-1,$E161)=0,$F161*$D161*$G161,)),)</f>
        <v>0</v>
      </c>
    </row>
    <row r="162" spans="2:23">
      <c r="B162" s="70" t="str">
        <f t="array" ref="B162">IF(COUNTIFS(INDEX(Equipment_Allocation_New,0,MATCH($C$107,Unit_codes,0)),"&gt;0")&lt;ROWS('2.2-Equipment input'!$X$8:$X18),"N/A",INDEX('2.2-Equipment input'!B:B,SMALL(IF(INDEX(Equipment_Allocation_New,0,MATCH($C$107,Unit_codes,0))&gt;0,ROW(equipment_ID)),ROW('2.2-Equipment input'!B11))))</f>
        <v>N/A</v>
      </c>
      <c r="C162" s="70" t="str">
        <f>IF($B162="N/A","N/A",INDEX(Equipment_name[],MATCH(B162,equipment_ID,0)))</f>
        <v>N/A</v>
      </c>
      <c r="D162" s="288" t="str">
        <f t="shared" si="19"/>
        <v>N/A</v>
      </c>
      <c r="E162" s="88" t="str">
        <f t="shared" si="20"/>
        <v>N/A</v>
      </c>
      <c r="F162" s="88" t="str">
        <f t="shared" si="21"/>
        <v>N/A</v>
      </c>
      <c r="G162" s="88" t="str">
        <f t="shared" si="22"/>
        <v>N/A</v>
      </c>
      <c r="H162" s="288" t="str">
        <f>IFERROR(IF($B162="N/A","N/A",IF(MOD(COLUMNS(H$151:$H$151)-1,$E162)=0,$F162*$D162*$G162,)),)</f>
        <v>N/A</v>
      </c>
      <c r="I162" s="288" t="str">
        <f>IFERROR(IF($B162="N/A","N/A",IF(MOD(COLUMNS($H$151:I$151)-1,$E162)=0,$F162*$D162*$G162,)),)</f>
        <v>N/A</v>
      </c>
      <c r="J162" s="288" t="str">
        <f>IFERROR(IF($B162="N/A","N/A",IF(MOD(COLUMNS($H$151:J$151)-1,$E162)=0,$F162*$D162*$G162,)),)</f>
        <v>N/A</v>
      </c>
      <c r="K162" s="288" t="str">
        <f>IFERROR(IF($B162="N/A","N/A",IF(MOD(COLUMNS($H$151:K$151)-1,$E162)=0,$F162*$D162*$G162,)),)</f>
        <v>N/A</v>
      </c>
      <c r="L162" s="288" t="str">
        <f>IFERROR(IF($B162="N/A","N/A",IF(MOD(COLUMNS($H$151:L$151)-1,$E162)=0,$F162*$D162*$G162,)),)</f>
        <v>N/A</v>
      </c>
      <c r="M162" s="288" t="str">
        <f>IFERROR(IF($B162="N/A","N/A",IF(MOD(COLUMNS($H$151:M$151)-1,$E162)=0,$F162*$D162*$G162,)),)</f>
        <v>N/A</v>
      </c>
      <c r="N162" s="288" t="str">
        <f>IFERROR(IF($B162="N/A","N/A",IF(MOD(COLUMNS($H$151:N$151)-1,$E162)=0,$F162*$D162*$G162,)),)</f>
        <v>N/A</v>
      </c>
      <c r="O162" s="288" t="str">
        <f>IFERROR(IF($B162="N/A","N/A",IF(MOD(COLUMNS($H$151:O$151)-1,$E162)=0,$F162*$D162*$G162,)),)</f>
        <v>N/A</v>
      </c>
      <c r="P162" s="288" t="str">
        <f>IFERROR(IF($B162="N/A","N/A",IF(MOD(COLUMNS($H$151:P$151)-1,$E162)=0,$F162*$D162*$G162,)),)</f>
        <v>N/A</v>
      </c>
      <c r="Q162" s="288" t="str">
        <f>IFERROR(IF($B162="N/A","N/A",IF(MOD(COLUMNS($H$151:Q$151)-1,$E162)=0,$F162*$D162*$G162,)),)</f>
        <v>N/A</v>
      </c>
      <c r="R162" s="288" t="str">
        <f>IFERROR(IF($B162="N/A","N/A",IF(MOD(COLUMNS($H$151:R$151)-1,$E162)=0,$F162*$D162*$G162,)),)</f>
        <v>N/A</v>
      </c>
      <c r="S162" s="288" t="str">
        <f>IFERROR(IF($B162="N/A","N/A",IF(MOD(COLUMNS($H$151:S$151)-1,$E162)=0,$F162*$D162*$G162,)),)</f>
        <v>N/A</v>
      </c>
      <c r="T162" s="288" t="str">
        <f>IFERROR(IF($B162="N/A","N/A",IF(MOD(COLUMNS($H$151:T$151)-1,$E162)=0,$F162*$D162*$G162,)),)</f>
        <v>N/A</v>
      </c>
      <c r="U162" s="288" t="str">
        <f>IFERROR(IF($B162="N/A","N/A",IF(MOD(COLUMNS($H$151:U$151)-1,$E162)=0,$F162*$D162*$G162,)),)</f>
        <v>N/A</v>
      </c>
      <c r="V162" s="288" t="str">
        <f>IFERROR(IF($B162="N/A","N/A",IF(MOD(COLUMNS($H$151:V$151)-1,$E162)=0,$F162*$D162*$G162,)),)</f>
        <v>N/A</v>
      </c>
      <c r="W162" s="288" t="str">
        <f>IFERROR(IF($B162="N/A","N/A",IF(MOD(COLUMNS($H$151:W$151)-1,$E162)=0,$F162*$D162*$G162,)),)</f>
        <v>N/A</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19"/>
        <v>N/A</v>
      </c>
      <c r="E163" s="88" t="str">
        <f t="shared" si="20"/>
        <v>N/A</v>
      </c>
      <c r="F163" s="88" t="str">
        <f t="shared" si="21"/>
        <v>N/A</v>
      </c>
      <c r="G163" s="88" t="str">
        <f t="shared" si="22"/>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19"/>
        <v>N/A</v>
      </c>
      <c r="E164" s="88" t="str">
        <f t="shared" si="20"/>
        <v>N/A</v>
      </c>
      <c r="F164" s="88" t="str">
        <f t="shared" si="21"/>
        <v>N/A</v>
      </c>
      <c r="G164" s="88" t="str">
        <f t="shared" si="22"/>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19"/>
        <v>N/A</v>
      </c>
      <c r="E165" s="88" t="str">
        <f t="shared" si="20"/>
        <v>N/A</v>
      </c>
      <c r="F165" s="88" t="str">
        <f t="shared" si="21"/>
        <v>N/A</v>
      </c>
      <c r="G165" s="88" t="str">
        <f t="shared" si="22"/>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19"/>
        <v>N/A</v>
      </c>
      <c r="E166" s="88" t="str">
        <f t="shared" si="20"/>
        <v>N/A</v>
      </c>
      <c r="F166" s="88" t="str">
        <f t="shared" si="21"/>
        <v>N/A</v>
      </c>
      <c r="G166" s="88" t="str">
        <f t="shared" si="22"/>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19"/>
        <v>N/A</v>
      </c>
      <c r="E167" s="88" t="str">
        <f t="shared" si="20"/>
        <v>N/A</v>
      </c>
      <c r="F167" s="88" t="str">
        <f t="shared" si="21"/>
        <v>N/A</v>
      </c>
      <c r="G167" s="88" t="str">
        <f t="shared" si="22"/>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19"/>
        <v>N/A</v>
      </c>
      <c r="E168" s="88" t="str">
        <f t="shared" si="20"/>
        <v>N/A</v>
      </c>
      <c r="F168" s="88" t="str">
        <f t="shared" si="21"/>
        <v>N/A</v>
      </c>
      <c r="G168" s="88" t="str">
        <f t="shared" si="22"/>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19"/>
        <v>N/A</v>
      </c>
      <c r="E169" s="88" t="str">
        <f t="shared" si="20"/>
        <v>N/A</v>
      </c>
      <c r="F169" s="88" t="str">
        <f t="shared" si="21"/>
        <v>N/A</v>
      </c>
      <c r="G169" s="88" t="str">
        <f t="shared" si="22"/>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19"/>
        <v>N/A</v>
      </c>
      <c r="E170" s="88" t="str">
        <f t="shared" si="20"/>
        <v>N/A</v>
      </c>
      <c r="F170" s="88" t="str">
        <f t="shared" si="21"/>
        <v>N/A</v>
      </c>
      <c r="G170" s="88" t="str">
        <f t="shared" si="22"/>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19"/>
        <v>N/A</v>
      </c>
      <c r="E171" s="88" t="str">
        <f t="shared" si="20"/>
        <v>N/A</v>
      </c>
      <c r="F171" s="88" t="str">
        <f t="shared" si="21"/>
        <v>N/A</v>
      </c>
      <c r="G171" s="88" t="str">
        <f t="shared" si="22"/>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88" t="str">
        <f t="shared" si="21"/>
        <v>N/A</v>
      </c>
      <c r="G172" s="88"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88" t="str">
        <f t="shared" si="21"/>
        <v>N/A</v>
      </c>
      <c r="G173" s="88"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88" t="str">
        <f t="shared" si="21"/>
        <v>N/A</v>
      </c>
      <c r="G174" s="88"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88" t="str">
        <f t="shared" si="21"/>
        <v>N/A</v>
      </c>
      <c r="G175" s="88"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88" t="str">
        <f t="shared" si="21"/>
        <v>N/A</v>
      </c>
      <c r="G176" s="88"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88" t="str">
        <f t="shared" si="21"/>
        <v>N/A</v>
      </c>
      <c r="G177" s="88"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88" t="str">
        <f t="shared" si="21"/>
        <v>N/A</v>
      </c>
      <c r="G178" s="88"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88" t="str">
        <f t="shared" si="21"/>
        <v>N/A</v>
      </c>
      <c r="G179" s="88"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88" t="str">
        <f t="shared" si="21"/>
        <v>N/A</v>
      </c>
      <c r="G180" s="88"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88" t="str">
        <f t="shared" si="21"/>
        <v>N/A</v>
      </c>
      <c r="G181" s="88"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88" t="str">
        <f t="shared" si="21"/>
        <v>N/A</v>
      </c>
      <c r="G182" s="88"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88" t="str">
        <f t="shared" si="21"/>
        <v>N/A</v>
      </c>
      <c r="G183" s="88"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88" t="str">
        <f t="shared" si="21"/>
        <v>N/A</v>
      </c>
      <c r="G184" s="88"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88" t="str">
        <f t="shared" si="21"/>
        <v>N/A</v>
      </c>
      <c r="G185" s="88"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88" t="str">
        <f t="shared" si="21"/>
        <v>N/A</v>
      </c>
      <c r="G186" s="88"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88" t="str">
        <f t="shared" si="21"/>
        <v>N/A</v>
      </c>
      <c r="G187" s="88"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88" t="str">
        <f t="shared" si="21"/>
        <v>N/A</v>
      </c>
      <c r="G188" s="88"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88" t="str">
        <f t="shared" si="21"/>
        <v>N/A</v>
      </c>
      <c r="G189" s="88"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sXKEahLb1CmQ7QXuo80uQJCH+W/kZ31QEcsu2RfEXyC2pTRhfcCXc78DuJ9c5Bld2eENSuW3qomsPc+/XIZXA==" saltValue="pjbTU9NEcvltHGedVqCe9Q==" spinCount="100000" sheet="1" objects="1" scenarios="1" selectLockedCells="1" selectUnlockedCells="1"/>
  <mergeCells count="7">
    <mergeCell ref="C80:D80"/>
    <mergeCell ref="B43:D43"/>
    <mergeCell ref="B2:F2"/>
    <mergeCell ref="B33:D33"/>
    <mergeCell ref="C48:D48"/>
    <mergeCell ref="C49:D49"/>
    <mergeCell ref="C79:D79"/>
  </mergeCells>
  <conditionalFormatting sqref="B110:C147">
    <cfRule type="containsText" dxfId="391" priority="101" operator="containsText" text="N/A">
      <formula>NOT(ISERROR(SEARCH("N/A",B110)))</formula>
    </cfRule>
  </conditionalFormatting>
  <conditionalFormatting sqref="E110:E147">
    <cfRule type="containsText" dxfId="390" priority="100" operator="containsText" text="N/A">
      <formula>NOT(ISERROR(SEARCH("N/A",E110)))</formula>
    </cfRule>
  </conditionalFormatting>
  <conditionalFormatting sqref="E52:E74 B52:B74">
    <cfRule type="containsText" dxfId="389" priority="99" operator="containsText" text="N/A">
      <formula>NOT(ISERROR(SEARCH("N/A",B52)))</formula>
    </cfRule>
  </conditionalFormatting>
  <conditionalFormatting sqref="C52:C74">
    <cfRule type="containsText" dxfId="388" priority="98" operator="containsText" text="N/A">
      <formula>NOT(ISERROR(SEARCH("N/A",C52)))</formula>
    </cfRule>
  </conditionalFormatting>
  <conditionalFormatting sqref="F52:F74">
    <cfRule type="containsText" dxfId="387" priority="96" operator="containsText" text="N/A">
      <formula>NOT(ISERROR(SEARCH("N/A",F52)))</formula>
    </cfRule>
  </conditionalFormatting>
  <conditionalFormatting sqref="E83:E103 B83:B103">
    <cfRule type="containsText" dxfId="386" priority="95" operator="containsText" text="N/A">
      <formula>NOT(ISERROR(SEARCH("N/A",B83)))</formula>
    </cfRule>
  </conditionalFormatting>
  <conditionalFormatting sqref="C83:C103">
    <cfRule type="containsText" dxfId="385" priority="94" operator="containsText" text="N/A">
      <formula>NOT(ISERROR(SEARCH("N/A",C83)))</formula>
    </cfRule>
  </conditionalFormatting>
  <conditionalFormatting sqref="E20:E31">
    <cfRule type="containsText" dxfId="384" priority="73" operator="containsText" text="N/A">
      <formula>NOT(ISERROR(SEARCH("N/A",E20)))</formula>
    </cfRule>
  </conditionalFormatting>
  <conditionalFormatting sqref="F83:F103">
    <cfRule type="containsText" dxfId="383" priority="92" operator="containsText" text="N/A">
      <formula>NOT(ISERROR(SEARCH("N/A",F83)))</formula>
    </cfRule>
  </conditionalFormatting>
  <conditionalFormatting sqref="B20:D31">
    <cfRule type="containsText" dxfId="382" priority="91" operator="containsText" text="N/A">
      <formula>NOT(ISERROR(SEARCH("N/A",B20)))</formula>
    </cfRule>
  </conditionalFormatting>
  <conditionalFormatting sqref="G110:G147">
    <cfRule type="containsText" dxfId="381" priority="90" operator="containsText" text="N/A">
      <formula>NOT(ISERROR(SEARCH("N/A",G110)))</formula>
    </cfRule>
  </conditionalFormatting>
  <conditionalFormatting sqref="I110:I147">
    <cfRule type="containsText" dxfId="380" priority="89" operator="containsText" text="N/A">
      <formula>NOT(ISERROR(SEARCH("N/A",I110)))</formula>
    </cfRule>
  </conditionalFormatting>
  <conditionalFormatting sqref="K110:K147">
    <cfRule type="containsText" dxfId="379" priority="88" operator="containsText" text="N/A">
      <formula>NOT(ISERROR(SEARCH("N/A",K110)))</formula>
    </cfRule>
  </conditionalFormatting>
  <conditionalFormatting sqref="F110:F147">
    <cfRule type="containsText" dxfId="378" priority="87" operator="containsText" text="N/A">
      <formula>NOT(ISERROR(SEARCH("N/A",F110)))</formula>
    </cfRule>
  </conditionalFormatting>
  <conditionalFormatting sqref="B152:B189">
    <cfRule type="containsText" dxfId="377" priority="85" operator="containsText" text="N/A">
      <formula>NOT(ISERROR(SEARCH("N/A",B152)))</formula>
    </cfRule>
  </conditionalFormatting>
  <conditionalFormatting sqref="C152:C189">
    <cfRule type="containsText" dxfId="376" priority="84" operator="containsText" text="N/A">
      <formula>NOT(ISERROR(SEARCH("N/A",C152)))</formula>
    </cfRule>
  </conditionalFormatting>
  <conditionalFormatting sqref="F152:F189">
    <cfRule type="containsText" dxfId="375" priority="83" operator="containsText" text="N/A">
      <formula>NOT(ISERROR(SEARCH("N/A",F152)))</formula>
    </cfRule>
  </conditionalFormatting>
  <conditionalFormatting sqref="E152:E189">
    <cfRule type="containsText" dxfId="374" priority="81" operator="containsText" text="N/A">
      <formula>NOT(ISERROR(SEARCH("N/A",E152)))</formula>
    </cfRule>
  </conditionalFormatting>
  <conditionalFormatting sqref="O110:O147">
    <cfRule type="containsText" dxfId="373" priority="72" operator="containsText" text="N/A">
      <formula>NOT(ISERROR(SEARCH("N/A",O110)))</formula>
    </cfRule>
  </conditionalFormatting>
  <conditionalFormatting sqref="H153:W189 I152:W152">
    <cfRule type="containsText" dxfId="372" priority="78" operator="containsText" text="N/A">
      <formula>NOT(ISERROR(SEARCH("N/A",H152)))</formula>
    </cfRule>
  </conditionalFormatting>
  <conditionalFormatting sqref="G152:G189">
    <cfRule type="containsText" dxfId="371" priority="75" operator="containsText" text="N/A">
      <formula>NOT(ISERROR(SEARCH("N/A",G152)))</formula>
    </cfRule>
  </conditionalFormatting>
  <conditionalFormatting sqref="F39:F41">
    <cfRule type="expression" dxfId="370" priority="66">
      <formula>IF(INDIRECT("General_Currency_Selection")="CHF",TRUE)</formula>
    </cfRule>
    <cfRule type="expression" dxfId="369" priority="67">
      <formula>IF(INDIRECT("General_Currency_Selection")="EUR",TRUE)</formula>
    </cfRule>
    <cfRule type="expression" dxfId="368" priority="68">
      <formula>IF(INDIRECT("General_Currency_Selection")="USD",TRUE)</formula>
    </cfRule>
  </conditionalFormatting>
  <conditionalFormatting sqref="E39:E41">
    <cfRule type="expression" dxfId="367" priority="63">
      <formula>IF(INDIRECT("General_Currency_Selection")="CHF",TRUE)</formula>
    </cfRule>
    <cfRule type="expression" dxfId="366" priority="64">
      <formula>IF(INDIRECT("General_Currency_Selection")="EUR",TRUE)</formula>
    </cfRule>
    <cfRule type="expression" dxfId="365" priority="65">
      <formula>IF(INDIRECT("General_Currency_Selection")="USD",TRUE)</formula>
    </cfRule>
  </conditionalFormatting>
  <conditionalFormatting sqref="E43:F43">
    <cfRule type="expression" dxfId="364" priority="60">
      <formula>IF(INDIRECT("General_Currency_Selection")="CHF",TRUE)</formula>
    </cfRule>
    <cfRule type="expression" dxfId="363" priority="61">
      <formula>IF(INDIRECT("General_Currency_Selection")="EUR",TRUE)</formula>
    </cfRule>
    <cfRule type="expression" dxfId="362" priority="62">
      <formula>IF(INDIRECT("General_Currency_Selection")="USD",TRUE)</formula>
    </cfRule>
  </conditionalFormatting>
  <conditionalFormatting sqref="G35">
    <cfRule type="expression" dxfId="361" priority="57">
      <formula>IF(INDIRECT("General_Currency_Selection")="CHF",TRUE)</formula>
    </cfRule>
    <cfRule type="expression" dxfId="360" priority="58">
      <formula>IF(INDIRECT("General_Currency_Selection")="EUR",TRUE)</formula>
    </cfRule>
    <cfRule type="expression" dxfId="359" priority="59">
      <formula>IF(INDIRECT("General_Currency_Selection")="USD",TRUE)</formula>
    </cfRule>
  </conditionalFormatting>
  <conditionalFormatting sqref="G15">
    <cfRule type="expression" dxfId="358" priority="54">
      <formula>IF(INDIRECT("General_Currency_Selection")="CHF",TRUE)</formula>
    </cfRule>
    <cfRule type="expression" dxfId="357" priority="55">
      <formula>IF(INDIRECT("General_Currency_Selection")="EUR",TRUE)</formula>
    </cfRule>
    <cfRule type="expression" dxfId="356" priority="56">
      <formula>IF(INDIRECT("General_Currency_Selection")="USD",TRUE)</formula>
    </cfRule>
  </conditionalFormatting>
  <conditionalFormatting sqref="G45">
    <cfRule type="expression" dxfId="355" priority="51">
      <formula>IF(INDIRECT("General_Currency_Selection")="CHF",TRUE)</formula>
    </cfRule>
    <cfRule type="expression" dxfId="354" priority="52">
      <formula>IF(INDIRECT("General_Currency_Selection")="EUR",TRUE)</formula>
    </cfRule>
    <cfRule type="expression" dxfId="353" priority="53">
      <formula>IF(INDIRECT("General_Currency_Selection")="USD",TRUE)</formula>
    </cfRule>
  </conditionalFormatting>
  <conditionalFormatting sqref="F20:F31">
    <cfRule type="expression" dxfId="352" priority="48">
      <formula>IF(INDIRECT("General_Currency_Selection")="CHF",TRUE)</formula>
    </cfRule>
    <cfRule type="expression" dxfId="351" priority="49">
      <formula>IF(INDIRECT("General_Currency_Selection")="EUR",TRUE)</formula>
    </cfRule>
    <cfRule type="expression" dxfId="350" priority="50">
      <formula>IF(INDIRECT("General_Currency_Selection")="USD",TRUE)</formula>
    </cfRule>
  </conditionalFormatting>
  <conditionalFormatting sqref="E33">
    <cfRule type="expression" dxfId="349" priority="45">
      <formula>IF(INDIRECT("General_Currency_Selection")="CHF",TRUE)</formula>
    </cfRule>
    <cfRule type="expression" dxfId="348" priority="46">
      <formula>IF(INDIRECT("General_Currency_Selection")="EUR",TRUE)</formula>
    </cfRule>
    <cfRule type="expression" dxfId="347" priority="47">
      <formula>IF(INDIRECT("General_Currency_Selection")="USD",TRUE)</formula>
    </cfRule>
  </conditionalFormatting>
  <conditionalFormatting sqref="D52:D74">
    <cfRule type="expression" dxfId="346" priority="42">
      <formula>IF(INDIRECT("General_Currency_Selection")="CHF",TRUE)</formula>
    </cfRule>
    <cfRule type="expression" dxfId="345" priority="43">
      <formula>IF(INDIRECT("General_Currency_Selection")="EUR",TRUE)</formula>
    </cfRule>
    <cfRule type="expression" dxfId="344" priority="44">
      <formula>IF(INDIRECT("General_Currency_Selection")="USD",TRUE)</formula>
    </cfRule>
  </conditionalFormatting>
  <conditionalFormatting sqref="G52:G74">
    <cfRule type="expression" dxfId="343" priority="39">
      <formula>IF(INDIRECT("General_Currency_Selection")="CHF",TRUE)</formula>
    </cfRule>
    <cfRule type="expression" dxfId="342" priority="40">
      <formula>IF(INDIRECT("General_Currency_Selection")="EUR",TRUE)</formula>
    </cfRule>
    <cfRule type="expression" dxfId="341" priority="41">
      <formula>IF(INDIRECT("General_Currency_Selection")="USD",TRUE)</formula>
    </cfRule>
  </conditionalFormatting>
  <conditionalFormatting sqref="G76">
    <cfRule type="expression" dxfId="340" priority="36">
      <formula>IF(INDIRECT("General_Currency_Selection")="CHF",TRUE)</formula>
    </cfRule>
    <cfRule type="expression" dxfId="339" priority="37">
      <formula>IF(INDIRECT("General_Currency_Selection")="EUR",TRUE)</formula>
    </cfRule>
    <cfRule type="expression" dxfId="338" priority="38">
      <formula>IF(INDIRECT("General_Currency_Selection")="USD",TRUE)</formula>
    </cfRule>
  </conditionalFormatting>
  <conditionalFormatting sqref="D83:D103">
    <cfRule type="expression" dxfId="337" priority="33">
      <formula>IF(INDIRECT("General_Currency_Selection")="CHF",TRUE)</formula>
    </cfRule>
    <cfRule type="expression" dxfId="336" priority="34">
      <formula>IF(INDIRECT("General_Currency_Selection")="EUR",TRUE)</formula>
    </cfRule>
    <cfRule type="expression" dxfId="335" priority="35">
      <formula>IF(INDIRECT("General_Currency_Selection")="USD",TRUE)</formula>
    </cfRule>
  </conditionalFormatting>
  <conditionalFormatting sqref="G83:G103">
    <cfRule type="expression" dxfId="334" priority="30">
      <formula>IF(INDIRECT("General_Currency_Selection")="CHF",TRUE)</formula>
    </cfRule>
    <cfRule type="expression" dxfId="333" priority="31">
      <formula>IF(INDIRECT("General_Currency_Selection")="EUR",TRUE)</formula>
    </cfRule>
    <cfRule type="expression" dxfId="332" priority="32">
      <formula>IF(INDIRECT("General_Currency_Selection")="USD",TRUE)</formula>
    </cfRule>
  </conditionalFormatting>
  <conditionalFormatting sqref="G105">
    <cfRule type="expression" dxfId="331" priority="27">
      <formula>IF(INDIRECT("General_Currency_Selection")="CHF",TRUE)</formula>
    </cfRule>
    <cfRule type="expression" dxfId="330" priority="28">
      <formula>IF(INDIRECT("General_Currency_Selection")="EUR",TRUE)</formula>
    </cfRule>
    <cfRule type="expression" dxfId="329" priority="29">
      <formula>IF(INDIRECT("General_Currency_Selection")="USD",TRUE)</formula>
    </cfRule>
  </conditionalFormatting>
  <conditionalFormatting sqref="D110:D147">
    <cfRule type="expression" dxfId="328" priority="24">
      <formula>IF(INDIRECT("General_Currency_Selection")="CHF",TRUE)</formula>
    </cfRule>
    <cfRule type="expression" dxfId="327" priority="25">
      <formula>IF(INDIRECT("General_Currency_Selection")="EUR",TRUE)</formula>
    </cfRule>
    <cfRule type="expression" dxfId="326" priority="26">
      <formula>IF(INDIRECT("General_Currency_Selection")="USD",TRUE)</formula>
    </cfRule>
  </conditionalFormatting>
  <conditionalFormatting sqref="N110:N147">
    <cfRule type="expression" dxfId="325" priority="21">
      <formula>IF(INDIRECT("General_Currency_Selection")="CHF",TRUE)</formula>
    </cfRule>
    <cfRule type="expression" dxfId="324" priority="22">
      <formula>IF(INDIRECT("General_Currency_Selection")="EUR",TRUE)</formula>
    </cfRule>
    <cfRule type="expression" dxfId="323" priority="23">
      <formula>IF(INDIRECT("General_Currency_Selection")="USD",TRUE)</formula>
    </cfRule>
  </conditionalFormatting>
  <conditionalFormatting sqref="D152:D189">
    <cfRule type="expression" dxfId="322" priority="18">
      <formula>IF(INDIRECT("General_Currency_Selection")="CHF",TRUE)</formula>
    </cfRule>
    <cfRule type="expression" dxfId="321" priority="19">
      <formula>IF(INDIRECT("General_Currency_Selection")="EUR",TRUE)</formula>
    </cfRule>
    <cfRule type="expression" dxfId="320" priority="20">
      <formula>IF(INDIRECT("General_Currency_Selection")="USD",TRUE)</formula>
    </cfRule>
  </conditionalFormatting>
  <conditionalFormatting sqref="H149:W149">
    <cfRule type="expression" dxfId="319" priority="15">
      <formula>IF(INDIRECT("General_Currency_Selection")="CHF",TRUE)</formula>
    </cfRule>
    <cfRule type="expression" dxfId="318" priority="16">
      <formula>IF(INDIRECT("General_Currency_Selection")="EUR",TRUE)</formula>
    </cfRule>
    <cfRule type="expression" dxfId="317" priority="17">
      <formula>IF(INDIRECT("General_Currency_Selection")="USD",TRUE)</formula>
    </cfRule>
  </conditionalFormatting>
  <conditionalFormatting sqref="H152:W189">
    <cfRule type="expression" dxfId="316" priority="12">
      <formula>IF(INDIRECT("General_Currency_Selection")="CHF",TRUE)</formula>
    </cfRule>
    <cfRule type="expression" dxfId="315" priority="13">
      <formula>IF(INDIRECT("General_Currency_Selection")="EUR",TRUE)</formula>
    </cfRule>
    <cfRule type="expression" dxfId="314" priority="14">
      <formula>IF(INDIRECT("General_Currency_Selection")="USD",TRUE)</formula>
    </cfRule>
  </conditionalFormatting>
  <conditionalFormatting sqref="H110:H147">
    <cfRule type="expression" dxfId="313" priority="7">
      <formula>IF(INDIRECT("General_Currency_Selection")="CHF",TRUE)</formula>
    </cfRule>
    <cfRule type="expression" dxfId="312" priority="8">
      <formula>IF(INDIRECT("General_Currency_Selection")="EUR",TRUE)</formula>
    </cfRule>
    <cfRule type="expression" dxfId="311" priority="9">
      <formula>IF(INDIRECT("General_Currency_Selection")="USD",TRUE)</formula>
    </cfRule>
  </conditionalFormatting>
  <conditionalFormatting sqref="J110:J147">
    <cfRule type="expression" dxfId="310" priority="4">
      <formula>IF(INDIRECT("General_Currency_Selection")="CHF",TRUE)</formula>
    </cfRule>
    <cfRule type="expression" dxfId="309" priority="5">
      <formula>IF(INDIRECT("General_Currency_Selection")="EUR",TRUE)</formula>
    </cfRule>
    <cfRule type="expression" dxfId="308" priority="6">
      <formula>IF(INDIRECT("General_Currency_Selection")="USD",TRUE)</formula>
    </cfRule>
  </conditionalFormatting>
  <conditionalFormatting sqref="L110:L147">
    <cfRule type="expression" dxfId="307" priority="1">
      <formula>IF(INDIRECT("General_Currency_Selection")="CHF",TRUE)</formula>
    </cfRule>
    <cfRule type="expression" dxfId="306" priority="2">
      <formula>IF(INDIRECT("General_Currency_Selection")="EUR",TRUE)</formula>
    </cfRule>
    <cfRule type="expression" dxfId="305" priority="3">
      <formula>IF(INDIRECT("General_Currency_Selection")="USD",TRUE)</formula>
    </cfRule>
  </conditionalFormatting>
  <dataValidations disablePrompts="1" count="2">
    <dataValidation type="list" allowBlank="1" showInputMessage="1" showErrorMessage="1" sqref="C48 C79">
      <formula1>Staff_categories</formula1>
    </dataValidation>
    <dataValidation type="list" allowBlank="1" showInputMessage="1" showErrorMessage="1" sqref="C49 C80 C107 C17 C37">
      <formula1>Unit_codes</formula1>
    </dataValidation>
  </dataValidations>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B1:W189"/>
  <sheetViews>
    <sheetView showGridLines="0" showRowColHeaders="0" zoomScale="55" zoomScaleNormal="55" workbookViewId="0">
      <selection activeCell="H23" sqref="H23"/>
    </sheetView>
  </sheetViews>
  <sheetFormatPr defaultColWidth="11.1796875" defaultRowHeight="14.5"/>
  <cols>
    <col min="1" max="1" width="0.81640625" style="15" customWidth="1"/>
    <col min="2" max="2" width="13.81640625" style="15" customWidth="1"/>
    <col min="3" max="4" width="18.453125" style="15" customWidth="1"/>
    <col min="5" max="5" width="17.81640625" style="15" customWidth="1"/>
    <col min="6" max="6" width="27.81640625" style="15" customWidth="1"/>
    <col min="7" max="23" width="16.54296875" style="15" customWidth="1"/>
    <col min="24" max="16384" width="11.1796875" style="15"/>
  </cols>
  <sheetData>
    <row r="1" spans="2:17" ht="21">
      <c r="B1" s="1" t="s">
        <v>283</v>
      </c>
      <c r="C1" s="6"/>
      <c r="D1" s="6"/>
      <c r="E1" s="6"/>
      <c r="F1" s="6"/>
      <c r="G1" s="6"/>
    </row>
    <row r="2" spans="2:17" ht="15" thickBot="1">
      <c r="B2" s="909"/>
      <c r="C2" s="909"/>
      <c r="D2" s="909"/>
      <c r="E2" s="909"/>
      <c r="F2" s="909"/>
      <c r="G2" s="54"/>
    </row>
    <row r="3" spans="2:17" ht="18.5">
      <c r="B3" s="841" t="s">
        <v>0</v>
      </c>
      <c r="C3" s="424"/>
      <c r="D3" s="22"/>
      <c r="E3" s="22"/>
      <c r="F3" s="22"/>
      <c r="G3" s="22"/>
      <c r="H3" s="51"/>
      <c r="I3" s="51"/>
      <c r="J3" s="51"/>
      <c r="K3" s="51"/>
      <c r="L3" s="51"/>
      <c r="M3" s="51"/>
      <c r="N3" s="51"/>
      <c r="O3" s="51"/>
      <c r="P3" s="51"/>
    </row>
    <row r="4" spans="2:17" ht="15.5">
      <c r="B4" s="61"/>
    </row>
    <row r="5" spans="2:17" ht="15.5">
      <c r="B5" s="61"/>
    </row>
    <row r="6" spans="2:17" ht="15.5">
      <c r="B6" s="61"/>
    </row>
    <row r="7" spans="2:17" ht="15.5">
      <c r="B7" s="61"/>
    </row>
    <row r="8" spans="2:17" ht="15.5">
      <c r="B8" s="61"/>
    </row>
    <row r="12" spans="2:17" ht="15.5">
      <c r="B12" s="98" t="s">
        <v>68</v>
      </c>
      <c r="C12" s="98" t="s">
        <v>69</v>
      </c>
      <c r="E12" s="837"/>
      <c r="F12" s="22"/>
      <c r="G12" s="22"/>
      <c r="H12" s="22"/>
      <c r="I12" s="22"/>
      <c r="J12" s="22"/>
      <c r="K12" s="22"/>
      <c r="L12" s="22"/>
      <c r="M12" s="22"/>
      <c r="N12" s="22"/>
      <c r="O12" s="22"/>
      <c r="P12" s="22"/>
      <c r="Q12" s="22"/>
    </row>
    <row r="13" spans="2:17">
      <c r="B13" s="112" t="s">
        <v>284</v>
      </c>
      <c r="C13" s="113">
        <f>'4.1-Settings Database'!M22</f>
        <v>1.3579009442632548</v>
      </c>
      <c r="E13" s="135"/>
      <c r="F13" s="135"/>
      <c r="G13" s="135"/>
      <c r="H13" s="135"/>
      <c r="I13" s="135"/>
      <c r="J13" s="135"/>
      <c r="K13" s="135"/>
      <c r="L13" s="135"/>
      <c r="M13" s="135"/>
      <c r="N13" s="135"/>
      <c r="O13" s="135"/>
      <c r="P13" s="22"/>
      <c r="Q13" s="22"/>
    </row>
    <row r="14" spans="2:17" ht="15" thickBot="1">
      <c r="G14" s="54"/>
    </row>
    <row r="15" spans="2:17" ht="18.5">
      <c r="B15" s="2" t="s">
        <v>71</v>
      </c>
      <c r="C15" s="103"/>
      <c r="D15" s="51"/>
      <c r="E15" s="51"/>
      <c r="F15" s="101" t="s">
        <v>128</v>
      </c>
      <c r="G15" s="836">
        <f>E33*C13*1000</f>
        <v>0</v>
      </c>
      <c r="H15" s="51"/>
      <c r="I15" s="51"/>
      <c r="J15" s="51"/>
      <c r="K15" s="51"/>
      <c r="L15" s="51"/>
      <c r="M15" s="51"/>
      <c r="N15" s="51"/>
      <c r="O15" s="51"/>
      <c r="P15" s="51"/>
    </row>
    <row r="16" spans="2:17" ht="15.5">
      <c r="B16" s="61" t="s">
        <v>429</v>
      </c>
    </row>
    <row r="17" spans="2:14">
      <c r="B17" s="98" t="s">
        <v>76</v>
      </c>
      <c r="C17" s="80" t="s">
        <v>522</v>
      </c>
      <c r="I17" s="22"/>
      <c r="J17" s="258"/>
      <c r="K17" s="28"/>
      <c r="L17" s="28"/>
      <c r="M17" s="258"/>
      <c r="N17" s="22"/>
    </row>
    <row r="18" spans="2:14">
      <c r="H18" s="22"/>
      <c r="I18" s="22"/>
      <c r="J18" s="28"/>
      <c r="K18" s="259"/>
      <c r="L18" s="90"/>
      <c r="M18" s="74"/>
      <c r="N18" s="22"/>
    </row>
    <row r="19" spans="2:14">
      <c r="B19" s="108" t="s">
        <v>404</v>
      </c>
      <c r="C19" s="108" t="s">
        <v>405</v>
      </c>
      <c r="D19" s="98" t="s">
        <v>850</v>
      </c>
      <c r="E19" s="98" t="s">
        <v>107</v>
      </c>
      <c r="F19" s="98" t="s">
        <v>621</v>
      </c>
      <c r="H19" s="260"/>
      <c r="I19" s="22"/>
      <c r="J19" s="107"/>
      <c r="K19" s="107"/>
      <c r="L19" s="90"/>
      <c r="M19" s="74"/>
      <c r="N19" s="22"/>
    </row>
    <row r="20" spans="2:14">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87" t="str">
        <f t="shared" ref="E20:E31" si="2">IF($B20="N/A","N/A",INDEX(Material_Unit_Price,MATCH($B20,Material_Code,0)))</f>
        <v>N/A</v>
      </c>
      <c r="F20" s="288" t="str">
        <f>IFERROR(E20*D20,"")</f>
        <v/>
      </c>
      <c r="H20" s="260"/>
      <c r="I20" s="22"/>
      <c r="J20" s="107"/>
      <c r="K20" s="107"/>
      <c r="L20" s="90"/>
      <c r="M20" s="74"/>
      <c r="N20" s="22"/>
    </row>
    <row r="21" spans="2:14">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87" t="str">
        <f t="shared" si="2"/>
        <v>N/A</v>
      </c>
      <c r="F21" s="288" t="str">
        <f t="shared" ref="F21:F31" si="3">IFERROR(E21*D21,"")</f>
        <v/>
      </c>
      <c r="H21" s="260"/>
      <c r="I21" s="22"/>
      <c r="J21" s="107"/>
      <c r="K21" s="107"/>
      <c r="L21" s="90"/>
      <c r="M21" s="74"/>
      <c r="N21" s="22"/>
    </row>
    <row r="22" spans="2:14">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87" t="str">
        <f t="shared" si="2"/>
        <v>N/A</v>
      </c>
      <c r="F22" s="288" t="str">
        <f t="shared" si="3"/>
        <v/>
      </c>
      <c r="H22" s="260"/>
      <c r="I22" s="22"/>
      <c r="J22" s="107"/>
      <c r="K22" s="107"/>
      <c r="L22" s="90"/>
      <c r="M22" s="74"/>
      <c r="N22" s="22"/>
    </row>
    <row r="23" spans="2:14">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c r="H23" s="260"/>
      <c r="I23" s="22"/>
      <c r="J23" s="107"/>
      <c r="K23" s="107"/>
      <c r="L23" s="90"/>
      <c r="M23" s="74"/>
      <c r="N23" s="22"/>
    </row>
    <row r="24" spans="2:14">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c r="H24" s="260"/>
      <c r="I24" s="22"/>
      <c r="J24" s="107"/>
      <c r="K24" s="107"/>
      <c r="L24" s="90"/>
      <c r="M24" s="74"/>
      <c r="N24" s="22"/>
    </row>
    <row r="25" spans="2:14">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c r="H25" s="260"/>
      <c r="I25" s="22"/>
      <c r="J25" s="107"/>
      <c r="K25" s="107"/>
      <c r="L25" s="90"/>
      <c r="M25" s="74"/>
      <c r="N25" s="22"/>
    </row>
    <row r="26" spans="2:14">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c r="H26" s="260"/>
      <c r="I26" s="22"/>
      <c r="J26" s="107"/>
      <c r="K26" s="107"/>
      <c r="L26" s="90"/>
      <c r="M26" s="74"/>
      <c r="N26" s="22"/>
    </row>
    <row r="27" spans="2:14">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c r="G27" s="106"/>
      <c r="H27" s="22"/>
      <c r="I27" s="22"/>
      <c r="J27" s="107"/>
      <c r="K27" s="107"/>
      <c r="L27" s="90"/>
      <c r="M27" s="74"/>
      <c r="N27" s="22"/>
    </row>
    <row r="28" spans="2:14">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c r="G28" s="106"/>
      <c r="H28" s="22"/>
      <c r="I28" s="22"/>
      <c r="J28" s="107"/>
      <c r="K28" s="107"/>
      <c r="L28" s="90"/>
      <c r="M28" s="74"/>
      <c r="N28" s="22"/>
    </row>
    <row r="29" spans="2:14">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c r="G29" s="106"/>
      <c r="I29" s="22"/>
      <c r="J29" s="107"/>
      <c r="K29" s="107"/>
      <c r="L29" s="90"/>
      <c r="M29" s="74"/>
      <c r="N29" s="22"/>
    </row>
    <row r="30" spans="2:14">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c r="G30" s="106"/>
      <c r="I30" s="22"/>
      <c r="J30" s="107"/>
      <c r="K30" s="107"/>
      <c r="L30" s="90"/>
      <c r="M30" s="74"/>
      <c r="N30" s="22"/>
    </row>
    <row r="31" spans="2:14">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c r="G31" s="106"/>
      <c r="J31" s="107"/>
      <c r="K31" s="107"/>
      <c r="L31" s="90"/>
      <c r="M31" s="74"/>
    </row>
    <row r="32" spans="2:14">
      <c r="B32" s="75"/>
      <c r="C32" s="75"/>
      <c r="D32" s="75"/>
      <c r="E32" s="76"/>
      <c r="J32" s="22"/>
      <c r="K32" s="22"/>
      <c r="L32" s="22"/>
      <c r="M32" s="22"/>
    </row>
    <row r="33" spans="2:16">
      <c r="B33" s="902" t="s">
        <v>196</v>
      </c>
      <c r="C33" s="902"/>
      <c r="D33" s="902"/>
      <c r="E33" s="307">
        <f>SUM(F20:F31)</f>
        <v>0</v>
      </c>
    </row>
    <row r="34" spans="2:16" ht="15" thickBot="1">
      <c r="G34" s="54"/>
    </row>
    <row r="35" spans="2:16" ht="18.5">
      <c r="B35" s="2" t="s">
        <v>144</v>
      </c>
      <c r="C35" s="103"/>
      <c r="D35" s="51"/>
      <c r="E35" s="51"/>
      <c r="F35" s="101" t="s">
        <v>195</v>
      </c>
      <c r="G35" s="836">
        <f>F43</f>
        <v>0</v>
      </c>
      <c r="H35" s="51"/>
      <c r="I35" s="51"/>
      <c r="J35" s="51"/>
      <c r="K35" s="51"/>
      <c r="L35" s="51"/>
      <c r="M35" s="51"/>
      <c r="N35" s="51"/>
      <c r="O35" s="51"/>
      <c r="P35" s="51"/>
    </row>
    <row r="36" spans="2:16" ht="15.5">
      <c r="B36" s="61" t="s">
        <v>529</v>
      </c>
      <c r="C36" s="22"/>
      <c r="D36" s="22"/>
      <c r="E36" s="22"/>
    </row>
    <row r="37" spans="2:16">
      <c r="B37" s="29"/>
      <c r="C37" s="131"/>
      <c r="D37" s="22"/>
      <c r="E37" s="22"/>
      <c r="I37" s="22"/>
      <c r="J37" s="22"/>
      <c r="K37" s="22"/>
      <c r="L37" s="22"/>
      <c r="M37" s="22"/>
      <c r="N37" s="22"/>
    </row>
    <row r="38" spans="2:16" ht="15.75" customHeight="1">
      <c r="C38" s="91" t="s">
        <v>515</v>
      </c>
      <c r="D38" s="91" t="s">
        <v>76</v>
      </c>
      <c r="E38" s="91" t="s">
        <v>620</v>
      </c>
      <c r="F38" s="91" t="s">
        <v>619</v>
      </c>
      <c r="I38" s="22"/>
      <c r="J38" s="107"/>
      <c r="K38" s="90"/>
      <c r="L38" s="114"/>
      <c r="M38" s="22"/>
      <c r="N38" s="908"/>
    </row>
    <row r="39" spans="2:16">
      <c r="B39" s="98" t="str">
        <f>INDEX(Equipment_Utility_Spec_List,2)</f>
        <v>Water</v>
      </c>
      <c r="C39" s="134">
        <f>SUMPRODUCT($F$110:$F$147,$G$110:$G$147,$M$110:$M$147)</f>
        <v>0</v>
      </c>
      <c r="D39" s="133" t="s">
        <v>516</v>
      </c>
      <c r="E39" s="288">
        <f>SUMIF($B$110:$B$147,("&lt;&gt;N/A"),$H$110:$H$147)</f>
        <v>0</v>
      </c>
      <c r="F39" s="288">
        <f>E39*Staff_Days_Operation</f>
        <v>0</v>
      </c>
      <c r="I39" s="22"/>
      <c r="J39" s="107"/>
      <c r="K39" s="90"/>
      <c r="L39" s="114"/>
      <c r="M39" s="22"/>
      <c r="N39" s="908"/>
    </row>
    <row r="40" spans="2:16">
      <c r="B40" s="98" t="str">
        <f>INDEX(Equipment_Utility_Spec_List,3)</f>
        <v>Electricity</v>
      </c>
      <c r="C40" s="134">
        <f>SUMPRODUCT($F$110:$F$147,$I$110:$I$147,$M$110:$M$147)</f>
        <v>0</v>
      </c>
      <c r="D40" s="133" t="s">
        <v>518</v>
      </c>
      <c r="E40" s="288">
        <f>SUMIF($B$110:$B$147,("&lt;&gt;N/A"),$J$110:$J$147)</f>
        <v>0</v>
      </c>
      <c r="F40" s="288">
        <f>E40*Staff_Days_Operation</f>
        <v>0</v>
      </c>
      <c r="I40" s="22"/>
      <c r="J40" s="115"/>
      <c r="K40" s="114"/>
      <c r="L40" s="114"/>
      <c r="M40" s="22"/>
      <c r="N40" s="166"/>
    </row>
    <row r="41" spans="2:16">
      <c r="B41" s="98" t="str">
        <f>INDEX(Equipment_Utility_Spec_List,4)</f>
        <v>Fuel</v>
      </c>
      <c r="C41" s="134">
        <f>SUMPRODUCT($F$110:$F$147,$K$110:$K$147,$M$110:$M$147)</f>
        <v>0</v>
      </c>
      <c r="D41" s="133" t="s">
        <v>517</v>
      </c>
      <c r="E41" s="288">
        <f>SUMIF($B$110:$B$147,("&lt;&gt;N/A"),$L$110:$L$147)</f>
        <v>0</v>
      </c>
      <c r="F41" s="288">
        <f>E41*Staff_Days_Operation</f>
        <v>0</v>
      </c>
      <c r="I41" s="22"/>
      <c r="J41" s="115"/>
      <c r="K41" s="114"/>
      <c r="L41" s="114"/>
      <c r="M41" s="22"/>
      <c r="N41" s="22"/>
    </row>
    <row r="42" spans="2:16">
      <c r="B42" s="8"/>
      <c r="C42" s="115"/>
      <c r="D42" s="22"/>
      <c r="E42" s="132"/>
      <c r="I42" s="22"/>
      <c r="J42" s="22"/>
      <c r="K42" s="22"/>
      <c r="L42" s="261"/>
      <c r="M42" s="22"/>
      <c r="N42" s="22"/>
    </row>
    <row r="43" spans="2:16">
      <c r="B43" s="901" t="s">
        <v>440</v>
      </c>
      <c r="C43" s="901"/>
      <c r="D43" s="901"/>
      <c r="E43" s="288">
        <f>SUM(E39:E41)</f>
        <v>0</v>
      </c>
      <c r="F43" s="288">
        <f>SUM(F39:F41)</f>
        <v>0</v>
      </c>
      <c r="I43" s="910"/>
      <c r="J43" s="910"/>
      <c r="K43" s="910"/>
      <c r="L43" s="114"/>
      <c r="M43" s="22"/>
      <c r="N43" s="22"/>
    </row>
    <row r="44" spans="2:16" ht="15" thickBot="1">
      <c r="F44" s="54"/>
      <c r="G44" s="54"/>
    </row>
    <row r="45" spans="2:16" ht="18.5">
      <c r="B45" s="110" t="s">
        <v>2</v>
      </c>
      <c r="C45" s="111"/>
      <c r="D45" s="79"/>
      <c r="E45" s="79"/>
      <c r="F45" s="141" t="s">
        <v>129</v>
      </c>
      <c r="G45" s="306">
        <f>SUM(G52:G74)</f>
        <v>0</v>
      </c>
      <c r="H45" s="79"/>
      <c r="I45" s="79"/>
      <c r="J45" s="79"/>
      <c r="K45" s="79"/>
      <c r="L45" s="79"/>
      <c r="M45" s="79"/>
      <c r="N45" s="79"/>
      <c r="O45" s="79"/>
      <c r="P45" s="79"/>
    </row>
    <row r="46" spans="2:16" ht="15.5">
      <c r="B46" s="61" t="s">
        <v>78</v>
      </c>
    </row>
    <row r="47" spans="2:16" ht="15.5">
      <c r="B47" s="61" t="s">
        <v>79</v>
      </c>
    </row>
    <row r="48" spans="2:16">
      <c r="B48" s="98" t="s">
        <v>75</v>
      </c>
      <c r="C48" s="900" t="s">
        <v>66</v>
      </c>
      <c r="D48" s="900"/>
      <c r="I48" s="82"/>
    </row>
    <row r="49" spans="2:9">
      <c r="B49" s="98" t="s">
        <v>76</v>
      </c>
      <c r="C49" s="900" t="s">
        <v>522</v>
      </c>
      <c r="D49" s="900"/>
      <c r="I49" s="83"/>
    </row>
    <row r="51" spans="2:9" ht="15.5">
      <c r="B51" s="91" t="s">
        <v>220</v>
      </c>
      <c r="C51" s="91" t="s">
        <v>4</v>
      </c>
      <c r="D51" s="91" t="s">
        <v>77</v>
      </c>
      <c r="E51" s="92" t="s">
        <v>242</v>
      </c>
      <c r="F51" s="91" t="s">
        <v>119</v>
      </c>
      <c r="G51" s="91" t="s">
        <v>120</v>
      </c>
    </row>
    <row r="52" spans="2:9" ht="14.5" customHeight="1">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N/A</v>
      </c>
      <c r="C52" s="71" t="str">
        <f>IF($B52="N/A","N/A",INDEX(Staff_position[],MATCH(B52,Staff_Position_ID,0)))</f>
        <v>N/A</v>
      </c>
      <c r="D52" s="288" t="str">
        <f>IF($B52="N/A","N/A",INDEX(Staff_net_salary[],MATCH(B52,Staff_Position_ID,0)))</f>
        <v>N/A</v>
      </c>
      <c r="E52" s="85" t="str">
        <f t="shared" ref="E52:E74" si="4">IF($B52="N/A","N/A",INDEX(Staff_number_of_employees,MATCH(B52,Staff_Position_ID,0)))</f>
        <v>N/A</v>
      </c>
      <c r="F52" s="86" t="str">
        <f t="shared" ref="F52" si="5">IFERROR(INDEX(Staff_Position_Allocation,MATCH(B52,Staff_Position_ID),MATCH($C$49,Unit_codes,0)),"")</f>
        <v/>
      </c>
      <c r="G52" s="288" t="str">
        <f>IFERROR(D52*E52*F52,"")</f>
        <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si="4"/>
        <v>N/A</v>
      </c>
      <c r="F53" s="86" t="str">
        <f t="shared" ref="F53" si="6">IFERROR(INDEX(Staff_Position_Allocation,MATCH(B53,Staff_Position_ID),MATCH($C$49,Unit_codes,0)),"")</f>
        <v/>
      </c>
      <c r="G53" s="288" t="str">
        <f t="shared" ref="G53:G74" si="7">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4"/>
        <v>N/A</v>
      </c>
      <c r="F54" s="86" t="str">
        <f t="shared" ref="F54" si="8">IFERROR(INDEX(Staff_Position_Allocation,MATCH(B54,Staff_Position_ID),MATCH($C$49,Unit_codes,0)),"")</f>
        <v/>
      </c>
      <c r="G54" s="288" t="str">
        <f t="shared" si="7"/>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4"/>
        <v>N/A</v>
      </c>
      <c r="F55" s="86" t="str">
        <f t="shared" ref="F55" si="9">IFERROR(INDEX(Staff_Position_Allocation,MATCH(B55,Staff_Position_ID),MATCH($C$49,Unit_codes,0)),"")</f>
        <v/>
      </c>
      <c r="G55" s="288" t="str">
        <f t="shared" si="7"/>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4"/>
        <v>N/A</v>
      </c>
      <c r="F56" s="86" t="str">
        <f t="shared" ref="F56" si="10">IFERROR(INDEX(Staff_Position_Allocation,MATCH(B56,Staff_Position_ID),MATCH($C$49,Unit_codes,0)),"")</f>
        <v/>
      </c>
      <c r="G56" s="288" t="str">
        <f t="shared" si="7"/>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4"/>
        <v>N/A</v>
      </c>
      <c r="F57" s="86" t="str">
        <f t="shared" ref="F57" si="11">IFERROR(INDEX(Staff_Position_Allocation,MATCH(B57,Staff_Position_ID),MATCH($C$49,Unit_codes,0)),"")</f>
        <v/>
      </c>
      <c r="G57" s="288" t="str">
        <f t="shared" si="7"/>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4"/>
        <v>N/A</v>
      </c>
      <c r="F58" s="86" t="str">
        <f t="shared" ref="F58" si="12">IFERROR(INDEX(Staff_Position_Allocation,MATCH(B58,Staff_Position_ID),MATCH($C$49,Unit_codes,0)),"")</f>
        <v/>
      </c>
      <c r="G58" s="288" t="str">
        <f t="shared" si="7"/>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4"/>
        <v>N/A</v>
      </c>
      <c r="F59" s="86" t="str">
        <f t="shared" ref="F59" si="13">IFERROR(INDEX(Staff_Position_Allocation,MATCH(B59,Staff_Position_ID),MATCH($C$49,Unit_codes,0)),"")</f>
        <v/>
      </c>
      <c r="G59" s="288" t="str">
        <f t="shared" si="7"/>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4"/>
        <v>N/A</v>
      </c>
      <c r="F60" s="86" t="str">
        <f t="shared" ref="F60" si="14">IFERROR(INDEX(Staff_Position_Allocation,MATCH(B60,Staff_Position_ID),MATCH($C$49,Unit_codes,0)),"")</f>
        <v/>
      </c>
      <c r="G60" s="288" t="str">
        <f t="shared" si="7"/>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4"/>
        <v>N/A</v>
      </c>
      <c r="F61" s="86" t="str">
        <f t="shared" ref="F61" si="15">IFERROR(INDEX(Staff_Position_Allocation,MATCH(B61,Staff_Position_ID),MATCH($C$49,Unit_codes,0)),"")</f>
        <v/>
      </c>
      <c r="G61" s="288" t="str">
        <f t="shared" si="7"/>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4"/>
        <v>N/A</v>
      </c>
      <c r="F62" s="86" t="str">
        <f t="shared" ref="F62" si="16">IFERROR(INDEX(Staff_Position_Allocation,MATCH(B62,Staff_Position_ID),MATCH($C$49,Unit_codes,0)),"")</f>
        <v/>
      </c>
      <c r="G62" s="288" t="str">
        <f t="shared" si="7"/>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4"/>
        <v>N/A</v>
      </c>
      <c r="F63" s="86" t="str">
        <f t="shared" ref="F63" si="17">IFERROR(INDEX(Staff_Position_Allocation,MATCH(B63,Staff_Position_ID),MATCH($C$49,Unit_codes,0)),"")</f>
        <v/>
      </c>
      <c r="G63" s="288" t="str">
        <f t="shared" si="7"/>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4"/>
        <v>N/A</v>
      </c>
      <c r="F64" s="86" t="str">
        <f t="shared" ref="F64" si="18">IFERROR(INDEX(Staff_Position_Allocation,MATCH(B64,Staff_Position_ID),MATCH($C$49,Unit_codes,0)),"")</f>
        <v/>
      </c>
      <c r="G64" s="288" t="str">
        <f t="shared" si="7"/>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4"/>
        <v>N/A</v>
      </c>
      <c r="F65" s="86" t="str">
        <f t="shared" ref="F65" si="19">IFERROR(INDEX(Staff_Position_Allocation,MATCH(B65,Staff_Position_ID),MATCH($C$49,Unit_codes,0)),"")</f>
        <v/>
      </c>
      <c r="G65" s="288" t="str">
        <f t="shared" si="7"/>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4"/>
        <v>N/A</v>
      </c>
      <c r="F66" s="86" t="str">
        <f t="shared" ref="F66" si="20">IFERROR(INDEX(Staff_Position_Allocation,MATCH(B66,Staff_Position_ID),MATCH($C$49,Unit_codes,0)),"")</f>
        <v/>
      </c>
      <c r="G66" s="288" t="str">
        <f t="shared" si="7"/>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4"/>
        <v>N/A</v>
      </c>
      <c r="F67" s="86" t="str">
        <f t="shared" ref="F67" si="21">IFERROR(INDEX(Staff_Position_Allocation,MATCH(B67,Staff_Position_ID),MATCH($C$49,Unit_codes,0)),"")</f>
        <v/>
      </c>
      <c r="G67" s="288" t="str">
        <f t="shared" si="7"/>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4"/>
        <v>N/A</v>
      </c>
      <c r="F68" s="86" t="str">
        <f t="shared" ref="F68" si="22">IFERROR(INDEX(Staff_Position_Allocation,MATCH(B68,Staff_Position_ID),MATCH($C$49,Unit_codes,0)),"")</f>
        <v/>
      </c>
      <c r="G68" s="288" t="str">
        <f t="shared" si="7"/>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4"/>
        <v>N/A</v>
      </c>
      <c r="F69" s="86" t="str">
        <f t="shared" ref="F69" si="23">IFERROR(INDEX(Staff_Position_Allocation,MATCH(B69,Staff_Position_ID),MATCH($C$49,Unit_codes,0)),"")</f>
        <v/>
      </c>
      <c r="G69" s="288" t="str">
        <f t="shared" si="7"/>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4"/>
        <v>N/A</v>
      </c>
      <c r="F70" s="86" t="str">
        <f t="shared" ref="F70" si="24">IFERROR(INDEX(Staff_Position_Allocation,MATCH(B70,Staff_Position_ID),MATCH($C$49,Unit_codes,0)),"")</f>
        <v/>
      </c>
      <c r="G70" s="288" t="str">
        <f t="shared" si="7"/>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4"/>
        <v>N/A</v>
      </c>
      <c r="F71" s="86" t="str">
        <f t="shared" ref="F71" si="25">IFERROR(INDEX(Staff_Position_Allocation,MATCH(B71,Staff_Position_ID),MATCH($C$49,Unit_codes,0)),"")</f>
        <v/>
      </c>
      <c r="G71" s="288" t="str">
        <f t="shared" si="7"/>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4"/>
        <v>N/A</v>
      </c>
      <c r="F72" s="86" t="str">
        <f t="shared" ref="F72" si="26">IFERROR(INDEX(Staff_Position_Allocation,MATCH(B72,Staff_Position_ID),MATCH($C$49,Unit_codes,0)),"")</f>
        <v/>
      </c>
      <c r="G72" s="288" t="str">
        <f t="shared" si="7"/>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4"/>
        <v>N/A</v>
      </c>
      <c r="F73" s="86" t="str">
        <f t="shared" ref="F73" si="27">IFERROR(INDEX(Staff_Position_Allocation,MATCH(B73,Staff_Position_ID),MATCH($C$49,Unit_codes,0)),"")</f>
        <v/>
      </c>
      <c r="G73" s="288" t="str">
        <f t="shared" si="7"/>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4"/>
        <v>N/A</v>
      </c>
      <c r="F74" s="86" t="str">
        <f t="shared" ref="F74" si="28">IFERROR(INDEX(Staff_Position_Allocation,MATCH(B74,Staff_Position_ID),MATCH($C$49,Unit_codes,0)),"")</f>
        <v/>
      </c>
      <c r="G74" s="288" t="str">
        <f t="shared" si="7"/>
        <v/>
      </c>
    </row>
    <row r="75" spans="2:16" ht="15" thickBot="1">
      <c r="F75" s="143"/>
      <c r="G75" s="143"/>
    </row>
    <row r="76" spans="2:16" ht="30">
      <c r="B76" s="104" t="s">
        <v>81</v>
      </c>
      <c r="C76" s="105"/>
      <c r="D76" s="79"/>
      <c r="E76" s="79"/>
      <c r="F76" s="141" t="s">
        <v>121</v>
      </c>
      <c r="G76" s="306">
        <f>SUM(G83:G103)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522</v>
      </c>
      <c r="D80" s="900"/>
    </row>
    <row r="82" spans="2:7" ht="15.5">
      <c r="B82" s="91" t="s">
        <v>220</v>
      </c>
      <c r="C82" s="91" t="s">
        <v>4</v>
      </c>
      <c r="D82" s="91" t="s">
        <v>77</v>
      </c>
      <c r="E82" s="92" t="s">
        <v>242</v>
      </c>
      <c r="F82" s="91" t="s">
        <v>119</v>
      </c>
      <c r="G82" s="91"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N/A</v>
      </c>
      <c r="C83" s="71" t="str">
        <f>IF($B83="N/A","N/A",INDEX(Staff_position[],MATCH(B83,Staff_Position_ID,0)))</f>
        <v>N/A</v>
      </c>
      <c r="D83" s="288" t="str">
        <f>IF($B83="N/A","N/A",INDEX(Staff_net_salary[],MATCH(B83,Staff_Position_ID,0)))</f>
        <v>N/A</v>
      </c>
      <c r="E83" s="85" t="str">
        <f t="shared" ref="E83:E103" si="29">IF($B83="N/A","N/A",INDEX(Staff_number_of_employees,MATCH(B83,Staff_Position_ID,0)))</f>
        <v>N/A</v>
      </c>
      <c r="F83" s="86" t="str">
        <f t="shared" ref="F83" si="30">IFERROR(INDEX(Staff_Position_Allocation,MATCH(B83,Staff_Position_ID),MATCH($C$80,Unit_codes,0)),"")</f>
        <v/>
      </c>
      <c r="G83" s="288" t="str">
        <f>IFERROR(D83*E83*F83,"")</f>
        <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N/A</v>
      </c>
      <c r="C84" s="71" t="str">
        <f>IF($B84="N/A","N/A",INDEX(Staff_position[],MATCH(B84,Staff_Position_ID,0)))</f>
        <v>N/A</v>
      </c>
      <c r="D84" s="288" t="str">
        <f>IF($B84="N/A","N/A",INDEX(Staff_net_salary[],MATCH(B84,Staff_Position_ID,0)))</f>
        <v>N/A</v>
      </c>
      <c r="E84" s="85" t="str">
        <f t="shared" si="29"/>
        <v>N/A</v>
      </c>
      <c r="F84" s="86" t="str">
        <f t="shared" ref="F84" si="31">IFERROR(INDEX(Staff_Position_Allocation,MATCH(B84,Staff_Position_ID),MATCH($C$80,Unit_codes,0)),"")</f>
        <v/>
      </c>
      <c r="G84" s="288" t="str">
        <f t="shared" ref="G84:G103" si="32">IFERROR(D84*E84*F84,"")</f>
        <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29"/>
        <v>N/A</v>
      </c>
      <c r="F85" s="86" t="str">
        <f t="shared" ref="F85" si="33">IFERROR(INDEX(Staff_Position_Allocation,MATCH(B85,Staff_Position_ID),MATCH($C$80,Unit_codes,0)),"")</f>
        <v/>
      </c>
      <c r="G85" s="288" t="str">
        <f t="shared" si="32"/>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29"/>
        <v>N/A</v>
      </c>
      <c r="F86" s="86" t="str">
        <f t="shared" ref="F86" si="34">IFERROR(INDEX(Staff_Position_Allocation,MATCH(B86,Staff_Position_ID),MATCH($C$80,Unit_codes,0)),"")</f>
        <v/>
      </c>
      <c r="G86" s="288" t="str">
        <f t="shared" si="32"/>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29"/>
        <v>N/A</v>
      </c>
      <c r="F87" s="86" t="str">
        <f t="shared" ref="F87" si="35">IFERROR(INDEX(Staff_Position_Allocation,MATCH(B87,Staff_Position_ID),MATCH($C$80,Unit_codes,0)),"")</f>
        <v/>
      </c>
      <c r="G87" s="288" t="str">
        <f t="shared" si="32"/>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29"/>
        <v>N/A</v>
      </c>
      <c r="F88" s="86" t="str">
        <f t="shared" ref="F88" si="36">IFERROR(INDEX(Staff_Position_Allocation,MATCH(B88,Staff_Position_ID),MATCH($C$80,Unit_codes,0)),"")</f>
        <v/>
      </c>
      <c r="G88" s="288" t="str">
        <f t="shared" si="32"/>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29"/>
        <v>N/A</v>
      </c>
      <c r="F89" s="86" t="str">
        <f t="shared" ref="F89" si="37">IFERROR(INDEX(Staff_Position_Allocation,MATCH(B89,Staff_Position_ID),MATCH($C$80,Unit_codes,0)),"")</f>
        <v/>
      </c>
      <c r="G89" s="288" t="str">
        <f t="shared" si="32"/>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29"/>
        <v>N/A</v>
      </c>
      <c r="F90" s="86" t="str">
        <f t="shared" ref="F90" si="38">IFERROR(INDEX(Staff_Position_Allocation,MATCH(B90,Staff_Position_ID),MATCH($C$80,Unit_codes,0)),"")</f>
        <v/>
      </c>
      <c r="G90" s="288" t="str">
        <f t="shared" si="32"/>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29"/>
        <v>N/A</v>
      </c>
      <c r="F91" s="86" t="str">
        <f t="shared" ref="F91" si="39">IFERROR(INDEX(Staff_Position_Allocation,MATCH(B91,Staff_Position_ID),MATCH($C$80,Unit_codes,0)),"")</f>
        <v/>
      </c>
      <c r="G91" s="288" t="str">
        <f t="shared" si="32"/>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29"/>
        <v>N/A</v>
      </c>
      <c r="F92" s="86" t="str">
        <f t="shared" ref="F92" si="40">IFERROR(INDEX(Staff_Position_Allocation,MATCH(B92,Staff_Position_ID),MATCH($C$80,Unit_codes,0)),"")</f>
        <v/>
      </c>
      <c r="G92" s="288" t="str">
        <f t="shared" si="32"/>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29"/>
        <v>N/A</v>
      </c>
      <c r="F93" s="86" t="str">
        <f t="shared" ref="F93" si="41">IFERROR(INDEX(Staff_Position_Allocation,MATCH(B93,Staff_Position_ID),MATCH($C$80,Unit_codes,0)),"")</f>
        <v/>
      </c>
      <c r="G93" s="288" t="str">
        <f t="shared" si="32"/>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29"/>
        <v>N/A</v>
      </c>
      <c r="F94" s="86" t="str">
        <f t="shared" ref="F94" si="42">IFERROR(INDEX(Staff_Position_Allocation,MATCH(B94,Staff_Position_ID),MATCH($C$80,Unit_codes,0)),"")</f>
        <v/>
      </c>
      <c r="G94" s="288" t="str">
        <f t="shared" si="32"/>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29"/>
        <v>N/A</v>
      </c>
      <c r="F95" s="86" t="str">
        <f t="shared" ref="F95" si="43">IFERROR(INDEX(Staff_Position_Allocation,MATCH(B95,Staff_Position_ID),MATCH($C$80,Unit_codes,0)),"")</f>
        <v/>
      </c>
      <c r="G95" s="288" t="str">
        <f t="shared" si="32"/>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29"/>
        <v>N/A</v>
      </c>
      <c r="F96" s="86" t="str">
        <f t="shared" ref="F96" si="44">IFERROR(INDEX(Staff_Position_Allocation,MATCH(B96,Staff_Position_ID),MATCH($C$80,Unit_codes,0)),"")</f>
        <v/>
      </c>
      <c r="G96" s="288" t="str">
        <f t="shared" si="32"/>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29"/>
        <v>N/A</v>
      </c>
      <c r="F97" s="86" t="str">
        <f t="shared" ref="F97" si="45">IFERROR(INDEX(Staff_Position_Allocation,MATCH(B97,Staff_Position_ID),MATCH($C$80,Unit_codes,0)),"")</f>
        <v/>
      </c>
      <c r="G97" s="288" t="str">
        <f t="shared" si="32"/>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29"/>
        <v>N/A</v>
      </c>
      <c r="F98" s="86" t="str">
        <f t="shared" ref="F98" si="46">IFERROR(INDEX(Staff_Position_Allocation,MATCH(B98,Staff_Position_ID),MATCH($C$80,Unit_codes,0)),"")</f>
        <v/>
      </c>
      <c r="G98" s="288" t="str">
        <f t="shared" si="32"/>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29"/>
        <v>N/A</v>
      </c>
      <c r="F99" s="86" t="str">
        <f t="shared" ref="F99" si="47">IFERROR(INDEX(Staff_Position_Allocation,MATCH(B99,Staff_Position_ID),MATCH($C$80,Unit_codes,0)),"")</f>
        <v/>
      </c>
      <c r="G99" s="288" t="str">
        <f t="shared" si="32"/>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29"/>
        <v>N/A</v>
      </c>
      <c r="F100" s="86" t="str">
        <f t="shared" ref="F100" si="48">IFERROR(INDEX(Staff_Position_Allocation,MATCH(B100,Staff_Position_ID),MATCH($C$80,Unit_codes,0)),"")</f>
        <v/>
      </c>
      <c r="G100" s="288" t="str">
        <f t="shared" si="32"/>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29"/>
        <v>N/A</v>
      </c>
      <c r="F101" s="86" t="str">
        <f t="shared" ref="F101" si="49">IFERROR(INDEX(Staff_Position_Allocation,MATCH(B101,Staff_Position_ID),MATCH($C$80,Unit_codes,0)),"")</f>
        <v/>
      </c>
      <c r="G101" s="288" t="str">
        <f t="shared" si="32"/>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29"/>
        <v>N/A</v>
      </c>
      <c r="F102" s="86" t="str">
        <f t="shared" ref="F102" si="50">IFERROR(INDEX(Staff_Position_Allocation,MATCH(B102,Staff_Position_ID),MATCH($C$80,Unit_codes,0)),"")</f>
        <v/>
      </c>
      <c r="G102" s="288" t="str">
        <f t="shared" si="32"/>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29"/>
        <v>N/A</v>
      </c>
      <c r="F103" s="86" t="str">
        <f t="shared" ref="F103" si="51">IFERROR(INDEX(Staff_Position_Allocation,MATCH(B103,Staff_Position_ID),MATCH($C$80,Unit_codes,0)),"")</f>
        <v/>
      </c>
      <c r="G103" s="288" t="str">
        <f t="shared" si="32"/>
        <v/>
      </c>
    </row>
    <row r="104" spans="2:16" ht="15" thickBot="1">
      <c r="E104" s="143"/>
      <c r="F104" s="143"/>
      <c r="G104" s="143"/>
    </row>
    <row r="105" spans="2:16" ht="29">
      <c r="B105" s="2" t="s">
        <v>1</v>
      </c>
      <c r="C105" s="103"/>
      <c r="D105" s="51"/>
      <c r="F105" s="145" t="s">
        <v>151</v>
      </c>
      <c r="G105" s="306">
        <f>SUMIF(B110:B147,("&lt;&gt;N/A"),N110:N147)</f>
        <v>0</v>
      </c>
      <c r="H105" s="51"/>
      <c r="I105" s="51"/>
      <c r="J105" s="51"/>
      <c r="K105" s="51"/>
      <c r="L105" s="51"/>
      <c r="M105" s="51"/>
      <c r="N105" s="51"/>
      <c r="O105" s="51"/>
      <c r="P105" s="51"/>
    </row>
    <row r="106" spans="2:16" ht="15.5">
      <c r="B106" s="61" t="s">
        <v>80</v>
      </c>
    </row>
    <row r="107" spans="2:16">
      <c r="B107" s="98" t="s">
        <v>76</v>
      </c>
      <c r="C107" s="80" t="s">
        <v>522</v>
      </c>
    </row>
    <row r="109" spans="2:16" ht="43.5">
      <c r="B109" s="91" t="s">
        <v>82</v>
      </c>
      <c r="C109" s="91" t="s">
        <v>51</v>
      </c>
      <c r="D109" s="93" t="s">
        <v>150</v>
      </c>
      <c r="E109" s="91" t="s">
        <v>48</v>
      </c>
      <c r="F109" s="93" t="s">
        <v>502</v>
      </c>
      <c r="G109" s="93" t="s">
        <v>439</v>
      </c>
      <c r="H109" s="93" t="s">
        <v>503</v>
      </c>
      <c r="I109" s="93" t="s">
        <v>507</v>
      </c>
      <c r="J109" s="93" t="s">
        <v>504</v>
      </c>
      <c r="K109" s="93" t="s">
        <v>506</v>
      </c>
      <c r="L109" s="93" t="s">
        <v>505</v>
      </c>
      <c r="M109" s="94" t="s">
        <v>191</v>
      </c>
      <c r="N109" s="95" t="s">
        <v>152</v>
      </c>
      <c r="O109" s="95"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N/A</v>
      </c>
      <c r="C110" s="70" t="str">
        <f>IF($B110="N/A","N/A",INDEX(Equipment_name[],MATCH(B110,equipment_ID,0)))</f>
        <v>N/A</v>
      </c>
      <c r="D110" s="288" t="str">
        <f t="shared" ref="D110:D147" si="52">IF($B110="N/A","N/A",INDEX(Equipment_Depreciation,MATCH(B110,equipment_ID,0)))</f>
        <v>N/A</v>
      </c>
      <c r="E110" s="88" t="str">
        <f t="shared" ref="E110:E147" si="53">IF($B110="N/A","N/A",INDEX(Equipment_Quantity_New,MATCH(B110,equipment_ID,0)))</f>
        <v>N/A</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54">IFERROR($E110*$F110*G110*$M110*General_Water_Price,"")</f>
        <v/>
      </c>
      <c r="I110" s="130" t="str">
        <f>IF($B110="N/A","",IF(INDEX(Equipment_Utility_Decision,MATCH($B110,equipment_ID,0))='4.2-Settings Internal'!$B$30,INDEX(Equipment_Utility_Electricity,MATCH($B110,equipment_ID,0)),""))</f>
        <v/>
      </c>
      <c r="J110" s="288" t="str">
        <f t="shared" ref="J110:J147" si="55">IFERROR($E110*$F110*I110*$M110*General_Electricity_Price,"")</f>
        <v/>
      </c>
      <c r="K110" s="130" t="str">
        <f>IF($B110="N/A","",IF(INDEX(Equipment_Utility_Decision,MATCH($B110,equipment_ID,0))=INDEX(Yes_No_Choice[],1),INDEX(Equipment_Utility_Fuel,MATCH($B110,equipment_ID,0)),""))</f>
        <v/>
      </c>
      <c r="L110" s="288" t="str">
        <f t="shared" ref="L110:L147" si="56">IFERROR($E110*$F110*$K110*$M110*INDEX(General_Utilities,MATCH(INDEX(Equipment_Utility_Fuel_Selection,MATCH($B110,equipment_ID,0)),General_Utilities_Type,0),4),"")</f>
        <v/>
      </c>
      <c r="M110" s="89" t="str">
        <f t="shared" ref="M110:M147" si="57">IFERROR(INDEX(Equipment_Allocation_New,MATCH(B110,equipment_ID,0),MATCH($C$107,Unit_codes,0)),"")</f>
        <v/>
      </c>
      <c r="N110" s="288" t="str">
        <f t="shared" ref="N110:N147" si="58">IFERROR($D110*E110*M110,"")</f>
        <v/>
      </c>
      <c r="O110" s="130" t="str">
        <f t="shared" ref="O110:O147" si="59">IF($B110="N/A","",IF(INDEX(Equipment_Space_Selection,MATCH(B110,equipment_ID,0))="Yes",INDEX(Equipment_Space_Footprint,MATCH(B110,equipment_ID,0))*INDEX(Equipment_Quantity_New,MATCH(B110,equipment_ID,0))*M110,""))</f>
        <v/>
      </c>
    </row>
    <row r="111" spans="2:16">
      <c r="B111" s="70" t="str">
        <f t="array" ref="B111">IF(COUNTIFS(INDEX(Equipment_Allocation_New,0,MATCH($C$107,Unit_codes,0)),"&gt;0")&lt;ROWS('2.2-Equipment input'!$X$8:$X9),"N/A",INDEX('2.2-Equipment input'!B:B,SMALL(IF(INDEX(Equipment_Allocation_New,0,MATCH($C$107,Unit_codes,0))&gt;0,ROW(equipment_ID)),ROW('2.2-Equipment input'!B2))))</f>
        <v>N/A</v>
      </c>
      <c r="C111" s="70" t="str">
        <f>IF($B111="N/A","N/A",INDEX(Equipment_name[],MATCH(B111,equipment_ID,0)))</f>
        <v>N/A</v>
      </c>
      <c r="D111" s="288" t="str">
        <f t="shared" si="52"/>
        <v>N/A</v>
      </c>
      <c r="E111" s="88" t="str">
        <f t="shared" si="53"/>
        <v>N/A</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54"/>
        <v/>
      </c>
      <c r="I111" s="130" t="str">
        <f>IF($B111="N/A","",IF(INDEX(Equipment_Utility_Decision,MATCH($B111,equipment_ID,0))='4.2-Settings Internal'!$B$30,INDEX(Equipment_Utility_Electricity,MATCH($B111,equipment_ID,0)),""))</f>
        <v/>
      </c>
      <c r="J111" s="288" t="str">
        <f t="shared" si="55"/>
        <v/>
      </c>
      <c r="K111" s="130" t="str">
        <f>IF($B111="N/A","",IF(INDEX(Equipment_Utility_Decision,MATCH($B111,equipment_ID,0))=INDEX(Yes_No_Choice[],1),INDEX(Equipment_Utility_Fuel,MATCH($B111,equipment_ID,0)),""))</f>
        <v/>
      </c>
      <c r="L111" s="288" t="str">
        <f t="shared" si="56"/>
        <v/>
      </c>
      <c r="M111" s="89" t="str">
        <f t="shared" si="57"/>
        <v/>
      </c>
      <c r="N111" s="288" t="str">
        <f t="shared" si="58"/>
        <v/>
      </c>
      <c r="O111" s="130" t="str">
        <f t="shared" si="59"/>
        <v/>
      </c>
    </row>
    <row r="112" spans="2:16">
      <c r="B112" s="70" t="str">
        <f t="array" ref="B112">IF(COUNTIFS(INDEX(Equipment_Allocation_New,0,MATCH($C$107,Unit_codes,0)),"&gt;0")&lt;ROWS('2.2-Equipment input'!$X$8:$X10),"N/A",INDEX('2.2-Equipment input'!B:B,SMALL(IF(INDEX(Equipment_Allocation_New,0,MATCH($C$107,Unit_codes,0))&gt;0,ROW(equipment_ID)),ROW('2.2-Equipment input'!B3))))</f>
        <v>N/A</v>
      </c>
      <c r="C112" s="70" t="str">
        <f>IF($B112="N/A","N/A",INDEX(Equipment_name[],MATCH(B112,equipment_ID,0)))</f>
        <v>N/A</v>
      </c>
      <c r="D112" s="288" t="str">
        <f t="shared" si="52"/>
        <v>N/A</v>
      </c>
      <c r="E112" s="88" t="str">
        <f t="shared" si="53"/>
        <v>N/A</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54"/>
        <v/>
      </c>
      <c r="I112" s="130" t="str">
        <f>IF($B112="N/A","",IF(INDEX(Equipment_Utility_Decision,MATCH($B112,equipment_ID,0))='4.2-Settings Internal'!$B$30,INDEX(Equipment_Utility_Electricity,MATCH($B112,equipment_ID,0)),""))</f>
        <v/>
      </c>
      <c r="J112" s="288" t="str">
        <f t="shared" si="55"/>
        <v/>
      </c>
      <c r="K112" s="130" t="str">
        <f>IF($B112="N/A","",IF(INDEX(Equipment_Utility_Decision,MATCH($B112,equipment_ID,0))=INDEX(Yes_No_Choice[],1),INDEX(Equipment_Utility_Fuel,MATCH($B112,equipment_ID,0)),""))</f>
        <v/>
      </c>
      <c r="L112" s="288" t="str">
        <f t="shared" si="56"/>
        <v/>
      </c>
      <c r="M112" s="89" t="str">
        <f t="shared" si="57"/>
        <v/>
      </c>
      <c r="N112" s="288" t="str">
        <f t="shared" si="58"/>
        <v/>
      </c>
      <c r="O112" s="130" t="str">
        <f t="shared" si="59"/>
        <v/>
      </c>
    </row>
    <row r="113" spans="2:15">
      <c r="B113" s="70" t="str">
        <f t="array" ref="B113">IF(COUNTIFS(INDEX(Equipment_Allocation_New,0,MATCH($C$107,Unit_codes,0)),"&gt;0")&lt;ROWS('2.2-Equipment input'!$X$8:$X11),"N/A",INDEX('2.2-Equipment input'!B:B,SMALL(IF(INDEX(Equipment_Allocation_New,0,MATCH($C$107,Unit_codes,0))&gt;0,ROW(equipment_ID)),ROW('2.2-Equipment input'!B4))))</f>
        <v>N/A</v>
      </c>
      <c r="C113" s="70" t="str">
        <f>IF($B113="N/A","N/A",INDEX(Equipment_name[],MATCH(B113,equipment_ID,0)))</f>
        <v>N/A</v>
      </c>
      <c r="D113" s="288" t="str">
        <f t="shared" si="52"/>
        <v>N/A</v>
      </c>
      <c r="E113" s="88" t="str">
        <f t="shared" si="53"/>
        <v>N/A</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54"/>
        <v/>
      </c>
      <c r="I113" s="130" t="str">
        <f>IF($B113="N/A","",IF(INDEX(Equipment_Utility_Decision,MATCH($B113,equipment_ID,0))='4.2-Settings Internal'!$B$30,INDEX(Equipment_Utility_Electricity,MATCH($B113,equipment_ID,0)),""))</f>
        <v/>
      </c>
      <c r="J113" s="288" t="str">
        <f t="shared" si="55"/>
        <v/>
      </c>
      <c r="K113" s="130" t="str">
        <f>IF($B113="N/A","",IF(INDEX(Equipment_Utility_Decision,MATCH($B113,equipment_ID,0))=INDEX(Yes_No_Choice[],1),INDEX(Equipment_Utility_Fuel,MATCH($B113,equipment_ID,0)),""))</f>
        <v/>
      </c>
      <c r="L113" s="288" t="str">
        <f t="shared" si="56"/>
        <v/>
      </c>
      <c r="M113" s="89" t="str">
        <f t="shared" si="57"/>
        <v/>
      </c>
      <c r="N113" s="288" t="str">
        <f t="shared" si="58"/>
        <v/>
      </c>
      <c r="O113" s="130" t="str">
        <f t="shared" si="59"/>
        <v/>
      </c>
    </row>
    <row r="114" spans="2:15">
      <c r="B114" s="70" t="str">
        <f t="array" ref="B114">IF(COUNTIFS(INDEX(Equipment_Allocation_New,0,MATCH($C$107,Unit_codes,0)),"&gt;0")&lt;ROWS('2.2-Equipment input'!$X$8:$X12),"N/A",INDEX('2.2-Equipment input'!B:B,SMALL(IF(INDEX(Equipment_Allocation_New,0,MATCH($C$107,Unit_codes,0))&gt;0,ROW(equipment_ID)),ROW('2.2-Equipment input'!B5))))</f>
        <v>N/A</v>
      </c>
      <c r="C114" s="70" t="str">
        <f>IF($B114="N/A","N/A",INDEX(Equipment_name[],MATCH(B114,equipment_ID,0)))</f>
        <v>N/A</v>
      </c>
      <c r="D114" s="288" t="str">
        <f t="shared" si="52"/>
        <v>N/A</v>
      </c>
      <c r="E114" s="88" t="str">
        <f t="shared" si="53"/>
        <v>N/A</v>
      </c>
      <c r="F114" s="130" t="str">
        <f>IF($B114="N/A","",IF(INDEX(Equipment_Utility_Decision,MATCH($B114,equipment_ID,0))='4.2-Settings Internal'!$B$30,INDEX(Equipment_Utility_Run,MATCH($B114,equipment_ID,0)),""))</f>
        <v/>
      </c>
      <c r="G114" s="130" t="str">
        <f>IF($B114="N/A","",IF(INDEX(Equipment_Utility_Decision,MATCH($B114,equipment_ID,0))='4.2-Settings Internal'!$B$30,INDEX(Equipment_Utility_Water,MATCH($B114,equipment_ID,0)),""))</f>
        <v/>
      </c>
      <c r="H114" s="288" t="str">
        <f t="shared" si="54"/>
        <v/>
      </c>
      <c r="I114" s="130" t="str">
        <f>IF($B114="N/A","",IF(INDEX(Equipment_Utility_Decision,MATCH($B114,equipment_ID,0))='4.2-Settings Internal'!$B$30,INDEX(Equipment_Utility_Electricity,MATCH($B114,equipment_ID,0)),""))</f>
        <v/>
      </c>
      <c r="J114" s="288" t="str">
        <f t="shared" si="55"/>
        <v/>
      </c>
      <c r="K114" s="130" t="str">
        <f>IF($B114="N/A","",IF(INDEX(Equipment_Utility_Decision,MATCH($B114,equipment_ID,0))=INDEX(Yes_No_Choice[],1),INDEX(Equipment_Utility_Fuel,MATCH($B114,equipment_ID,0)),""))</f>
        <v/>
      </c>
      <c r="L114" s="288" t="str">
        <f t="shared" si="56"/>
        <v/>
      </c>
      <c r="M114" s="89" t="str">
        <f t="shared" si="57"/>
        <v/>
      </c>
      <c r="N114" s="288" t="str">
        <f t="shared" si="58"/>
        <v/>
      </c>
      <c r="O114" s="130" t="str">
        <f t="shared" si="59"/>
        <v/>
      </c>
    </row>
    <row r="115" spans="2:15">
      <c r="B115" s="70" t="str">
        <f t="array" ref="B115">IF(COUNTIFS(INDEX(Equipment_Allocation_New,0,MATCH($C$107,Unit_codes,0)),"&gt;0")&lt;ROWS('2.2-Equipment input'!$X$8:$X13),"N/A",INDEX('2.2-Equipment input'!B:B,SMALL(IF(INDEX(Equipment_Allocation_New,0,MATCH($C$107,Unit_codes,0))&gt;0,ROW(equipment_ID)),ROW('2.2-Equipment input'!B6))))</f>
        <v>N/A</v>
      </c>
      <c r="C115" s="70" t="str">
        <f>IF($B115="N/A","N/A",INDEX(Equipment_name[],MATCH(B115,equipment_ID,0)))</f>
        <v>N/A</v>
      </c>
      <c r="D115" s="288" t="str">
        <f t="shared" si="52"/>
        <v>N/A</v>
      </c>
      <c r="E115" s="88" t="str">
        <f t="shared" si="53"/>
        <v>N/A</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54"/>
        <v/>
      </c>
      <c r="I115" s="130" t="str">
        <f>IF($B115="N/A","",IF(INDEX(Equipment_Utility_Decision,MATCH($B115,equipment_ID,0))='4.2-Settings Internal'!$B$30,INDEX(Equipment_Utility_Electricity,MATCH($B115,equipment_ID,0)),""))</f>
        <v/>
      </c>
      <c r="J115" s="288" t="str">
        <f t="shared" si="55"/>
        <v/>
      </c>
      <c r="K115" s="130" t="str">
        <f>IF($B115="N/A","",IF(INDEX(Equipment_Utility_Decision,MATCH($B115,equipment_ID,0))=INDEX(Yes_No_Choice[],1),INDEX(Equipment_Utility_Fuel,MATCH($B115,equipment_ID,0)),""))</f>
        <v/>
      </c>
      <c r="L115" s="288" t="str">
        <f t="shared" si="56"/>
        <v/>
      </c>
      <c r="M115" s="89" t="str">
        <f t="shared" si="57"/>
        <v/>
      </c>
      <c r="N115" s="288" t="str">
        <f t="shared" si="58"/>
        <v/>
      </c>
      <c r="O115" s="130" t="str">
        <f t="shared" si="59"/>
        <v/>
      </c>
    </row>
    <row r="116" spans="2:15">
      <c r="B116" s="70" t="str">
        <f t="array" ref="B116">IF(COUNTIFS(INDEX(Equipment_Allocation_New,0,MATCH($C$107,Unit_codes,0)),"&gt;0")&lt;ROWS('2.2-Equipment input'!$X$8:$X14),"N/A",INDEX('2.2-Equipment input'!B:B,SMALL(IF(INDEX(Equipment_Allocation_New,0,MATCH($C$107,Unit_codes,0))&gt;0,ROW(equipment_ID)),ROW('2.2-Equipment input'!B7))))</f>
        <v>N/A</v>
      </c>
      <c r="C116" s="70" t="str">
        <f>IF($B116="N/A","N/A",INDEX(Equipment_name[],MATCH(B116,equipment_ID,0)))</f>
        <v>N/A</v>
      </c>
      <c r="D116" s="288" t="str">
        <f t="shared" si="52"/>
        <v>N/A</v>
      </c>
      <c r="E116" s="88" t="str">
        <f t="shared" si="53"/>
        <v>N/A</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54"/>
        <v/>
      </c>
      <c r="I116" s="130" t="str">
        <f>IF($B116="N/A","",IF(INDEX(Equipment_Utility_Decision,MATCH($B116,equipment_ID,0))='4.2-Settings Internal'!$B$30,INDEX(Equipment_Utility_Electricity,MATCH($B116,equipment_ID,0)),""))</f>
        <v/>
      </c>
      <c r="J116" s="288" t="str">
        <f t="shared" si="55"/>
        <v/>
      </c>
      <c r="K116" s="130" t="str">
        <f>IF($B116="N/A","",IF(INDEX(Equipment_Utility_Decision,MATCH($B116,equipment_ID,0))=INDEX(Yes_No_Choice[],1),INDEX(Equipment_Utility_Fuel,MATCH($B116,equipment_ID,0)),""))</f>
        <v/>
      </c>
      <c r="L116" s="288" t="str">
        <f t="shared" si="56"/>
        <v/>
      </c>
      <c r="M116" s="89" t="str">
        <f t="shared" si="57"/>
        <v/>
      </c>
      <c r="N116" s="288" t="str">
        <f t="shared" si="58"/>
        <v/>
      </c>
      <c r="O116" s="130" t="str">
        <f t="shared" si="59"/>
        <v/>
      </c>
    </row>
    <row r="117" spans="2:15">
      <c r="B117" s="70" t="str">
        <f t="array" ref="B117">IF(COUNTIFS(INDEX(Equipment_Allocation_New,0,MATCH($C$107,Unit_codes,0)),"&gt;0")&lt;ROWS('2.2-Equipment input'!$X$8:$X15),"N/A",INDEX('2.2-Equipment input'!B:B,SMALL(IF(INDEX(Equipment_Allocation_New,0,MATCH($C$107,Unit_codes,0))&gt;0,ROW(equipment_ID)),ROW('2.2-Equipment input'!B8))))</f>
        <v>N/A</v>
      </c>
      <c r="C117" s="70" t="str">
        <f>IF($B117="N/A","N/A",INDEX(Equipment_name[],MATCH(B117,equipment_ID,0)))</f>
        <v>N/A</v>
      </c>
      <c r="D117" s="288" t="str">
        <f t="shared" si="52"/>
        <v>N/A</v>
      </c>
      <c r="E117" s="88" t="str">
        <f t="shared" si="53"/>
        <v>N/A</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54"/>
        <v/>
      </c>
      <c r="I117" s="130" t="str">
        <f>IF($B117="N/A","",IF(INDEX(Equipment_Utility_Decision,MATCH($B117,equipment_ID,0))='4.2-Settings Internal'!$B$30,INDEX(Equipment_Utility_Electricity,MATCH($B117,equipment_ID,0)),""))</f>
        <v/>
      </c>
      <c r="J117" s="288" t="str">
        <f t="shared" si="55"/>
        <v/>
      </c>
      <c r="K117" s="130" t="str">
        <f>IF($B117="N/A","",IF(INDEX(Equipment_Utility_Decision,MATCH($B117,equipment_ID,0))=INDEX(Yes_No_Choice[],1),INDEX(Equipment_Utility_Fuel,MATCH($B117,equipment_ID,0)),""))</f>
        <v/>
      </c>
      <c r="L117" s="288" t="str">
        <f t="shared" si="56"/>
        <v/>
      </c>
      <c r="M117" s="89" t="str">
        <f t="shared" si="57"/>
        <v/>
      </c>
      <c r="N117" s="288" t="str">
        <f t="shared" si="58"/>
        <v/>
      </c>
      <c r="O117" s="130" t="str">
        <f t="shared" si="59"/>
        <v/>
      </c>
    </row>
    <row r="118" spans="2:15">
      <c r="B118" s="70" t="str">
        <f t="array" ref="B118">IF(COUNTIFS(INDEX(Equipment_Allocation_New,0,MATCH($C$107,Unit_codes,0)),"&gt;0")&lt;ROWS('2.2-Equipment input'!$X$8:$X16),"N/A",INDEX('2.2-Equipment input'!B:B,SMALL(IF(INDEX(Equipment_Allocation_New,0,MATCH($C$107,Unit_codes,0))&gt;0,ROW(equipment_ID)),ROW('2.2-Equipment input'!B9))))</f>
        <v>N/A</v>
      </c>
      <c r="C118" s="70" t="str">
        <f>IF($B118="N/A","N/A",INDEX(Equipment_name[],MATCH(B118,equipment_ID,0)))</f>
        <v>N/A</v>
      </c>
      <c r="D118" s="288" t="str">
        <f t="shared" si="52"/>
        <v>N/A</v>
      </c>
      <c r="E118" s="88" t="str">
        <f t="shared" si="53"/>
        <v>N/A</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54"/>
        <v/>
      </c>
      <c r="I118" s="130" t="str">
        <f>IF($B118="N/A","",IF(INDEX(Equipment_Utility_Decision,MATCH($B118,equipment_ID,0))='4.2-Settings Internal'!$B$30,INDEX(Equipment_Utility_Electricity,MATCH($B118,equipment_ID,0)),""))</f>
        <v/>
      </c>
      <c r="J118" s="288" t="str">
        <f t="shared" si="55"/>
        <v/>
      </c>
      <c r="K118" s="130" t="str">
        <f>IF($B118="N/A","",IF(INDEX(Equipment_Utility_Decision,MATCH($B118,equipment_ID,0))=INDEX(Yes_No_Choice[],1),INDEX(Equipment_Utility_Fuel,MATCH($B118,equipment_ID,0)),""))</f>
        <v/>
      </c>
      <c r="L118" s="288" t="str">
        <f t="shared" si="56"/>
        <v/>
      </c>
      <c r="M118" s="89" t="str">
        <f t="shared" si="57"/>
        <v/>
      </c>
      <c r="N118" s="288" t="str">
        <f t="shared" si="58"/>
        <v/>
      </c>
      <c r="O118" s="130" t="str">
        <f t="shared" si="59"/>
        <v/>
      </c>
    </row>
    <row r="119" spans="2:15">
      <c r="B119" s="70" t="str">
        <f t="array" ref="B119">IF(COUNTIFS(INDEX(Equipment_Allocation_New,0,MATCH($C$107,Unit_codes,0)),"&gt;0")&lt;ROWS('2.2-Equipment input'!$X$8:$X17),"N/A",INDEX('2.2-Equipment input'!B:B,SMALL(IF(INDEX(Equipment_Allocation_New,0,MATCH($C$107,Unit_codes,0))&gt;0,ROW(equipment_ID)),ROW('2.2-Equipment input'!B10))))</f>
        <v>N/A</v>
      </c>
      <c r="C119" s="70" t="str">
        <f>IF($B119="N/A","N/A",INDEX(Equipment_name[],MATCH(B119,equipment_ID,0)))</f>
        <v>N/A</v>
      </c>
      <c r="D119" s="288" t="str">
        <f t="shared" si="52"/>
        <v>N/A</v>
      </c>
      <c r="E119" s="88" t="str">
        <f t="shared" si="53"/>
        <v>N/A</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54"/>
        <v/>
      </c>
      <c r="I119" s="130" t="str">
        <f>IF($B119="N/A","",IF(INDEX(Equipment_Utility_Decision,MATCH($B119,equipment_ID,0))='4.2-Settings Internal'!$B$30,INDEX(Equipment_Utility_Electricity,MATCH($B119,equipment_ID,0)),""))</f>
        <v/>
      </c>
      <c r="J119" s="288" t="str">
        <f t="shared" si="55"/>
        <v/>
      </c>
      <c r="K119" s="130" t="str">
        <f>IF($B119="N/A","",IF(INDEX(Equipment_Utility_Decision,MATCH($B119,equipment_ID,0))=INDEX(Yes_No_Choice[],1),INDEX(Equipment_Utility_Fuel,MATCH($B119,equipment_ID,0)),""))</f>
        <v/>
      </c>
      <c r="L119" s="288" t="str">
        <f t="shared" si="56"/>
        <v/>
      </c>
      <c r="M119" s="89" t="str">
        <f t="shared" si="57"/>
        <v/>
      </c>
      <c r="N119" s="288" t="str">
        <f t="shared" si="58"/>
        <v/>
      </c>
      <c r="O119" s="130" t="str">
        <f t="shared" si="59"/>
        <v/>
      </c>
    </row>
    <row r="120" spans="2:15">
      <c r="B120" s="70" t="str">
        <f t="array" ref="B120">IF(COUNTIFS(INDEX(Equipment_Allocation_New,0,MATCH($C$107,Unit_codes,0)),"&gt;0")&lt;ROWS('2.2-Equipment input'!$X$8:$X18),"N/A",INDEX('2.2-Equipment input'!B:B,SMALL(IF(INDEX(Equipment_Allocation_New,0,MATCH($C$107,Unit_codes,0))&gt;0,ROW(equipment_ID)),ROW('2.2-Equipment input'!B11))))</f>
        <v>N/A</v>
      </c>
      <c r="C120" s="70" t="str">
        <f>IF($B120="N/A","N/A",INDEX(Equipment_name[],MATCH(B120,equipment_ID,0)))</f>
        <v>N/A</v>
      </c>
      <c r="D120" s="288" t="str">
        <f t="shared" si="52"/>
        <v>N/A</v>
      </c>
      <c r="E120" s="88" t="str">
        <f t="shared" si="53"/>
        <v>N/A</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54"/>
        <v/>
      </c>
      <c r="I120" s="130" t="str">
        <f>IF($B120="N/A","",IF(INDEX(Equipment_Utility_Decision,MATCH($B120,equipment_ID,0))='4.2-Settings Internal'!$B$30,INDEX(Equipment_Utility_Electricity,MATCH($B120,equipment_ID,0)),""))</f>
        <v/>
      </c>
      <c r="J120" s="288" t="str">
        <f t="shared" si="55"/>
        <v/>
      </c>
      <c r="K120" s="130" t="str">
        <f>IF($B120="N/A","",IF(INDEX(Equipment_Utility_Decision,MATCH($B120,equipment_ID,0))=INDEX(Yes_No_Choice[],1),INDEX(Equipment_Utility_Fuel,MATCH($B120,equipment_ID,0)),""))</f>
        <v/>
      </c>
      <c r="L120" s="288" t="str">
        <f t="shared" si="56"/>
        <v/>
      </c>
      <c r="M120" s="89" t="str">
        <f t="shared" si="57"/>
        <v/>
      </c>
      <c r="N120" s="288" t="str">
        <f t="shared" si="58"/>
        <v/>
      </c>
      <c r="O120" s="130" t="str">
        <f t="shared" si="59"/>
        <v/>
      </c>
    </row>
    <row r="121" spans="2:15">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52"/>
        <v>N/A</v>
      </c>
      <c r="E121" s="88" t="str">
        <f t="shared" si="53"/>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54"/>
        <v/>
      </c>
      <c r="I121" s="130" t="str">
        <f>IF($B121="N/A","",IF(INDEX(Equipment_Utility_Decision,MATCH($B121,equipment_ID,0))='4.2-Settings Internal'!$B$30,INDEX(Equipment_Utility_Electricity,MATCH($B121,equipment_ID,0)),""))</f>
        <v/>
      </c>
      <c r="J121" s="288" t="str">
        <f t="shared" si="55"/>
        <v/>
      </c>
      <c r="K121" s="130" t="str">
        <f>IF($B121="N/A","",IF(INDEX(Equipment_Utility_Decision,MATCH($B121,equipment_ID,0))=INDEX(Yes_No_Choice[],1),INDEX(Equipment_Utility_Fuel,MATCH($B121,equipment_ID,0)),""))</f>
        <v/>
      </c>
      <c r="L121" s="288" t="str">
        <f t="shared" si="56"/>
        <v/>
      </c>
      <c r="M121" s="89" t="str">
        <f t="shared" si="57"/>
        <v/>
      </c>
      <c r="N121" s="288" t="str">
        <f t="shared" si="58"/>
        <v/>
      </c>
      <c r="O121" s="130" t="str">
        <f t="shared" si="59"/>
        <v/>
      </c>
    </row>
    <row r="122" spans="2:15">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52"/>
        <v>N/A</v>
      </c>
      <c r="E122" s="88" t="str">
        <f t="shared" si="53"/>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54"/>
        <v/>
      </c>
      <c r="I122" s="130" t="str">
        <f>IF($B122="N/A","",IF(INDEX(Equipment_Utility_Decision,MATCH($B122,equipment_ID,0))='4.2-Settings Internal'!$B$30,INDEX(Equipment_Utility_Electricity,MATCH($B122,equipment_ID,0)),""))</f>
        <v/>
      </c>
      <c r="J122" s="288" t="str">
        <f t="shared" si="55"/>
        <v/>
      </c>
      <c r="K122" s="130" t="str">
        <f>IF($B122="N/A","",IF(INDEX(Equipment_Utility_Decision,MATCH($B122,equipment_ID,0))=INDEX(Yes_No_Choice[],1),INDEX(Equipment_Utility_Fuel,MATCH($B122,equipment_ID,0)),""))</f>
        <v/>
      </c>
      <c r="L122" s="288" t="str">
        <f t="shared" si="56"/>
        <v/>
      </c>
      <c r="M122" s="89" t="str">
        <f t="shared" si="57"/>
        <v/>
      </c>
      <c r="N122" s="288" t="str">
        <f t="shared" si="58"/>
        <v/>
      </c>
      <c r="O122" s="130" t="str">
        <f t="shared" si="59"/>
        <v/>
      </c>
    </row>
    <row r="123" spans="2:15">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52"/>
        <v>N/A</v>
      </c>
      <c r="E123" s="88" t="str">
        <f t="shared" si="53"/>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54"/>
        <v/>
      </c>
      <c r="I123" s="130" t="str">
        <f>IF($B123="N/A","",IF(INDEX(Equipment_Utility_Decision,MATCH($B123,equipment_ID,0))='4.2-Settings Internal'!$B$30,INDEX(Equipment_Utility_Electricity,MATCH($B123,equipment_ID,0)),""))</f>
        <v/>
      </c>
      <c r="J123" s="288" t="str">
        <f t="shared" si="55"/>
        <v/>
      </c>
      <c r="K123" s="130" t="str">
        <f>IF($B123="N/A","",IF(INDEX(Equipment_Utility_Decision,MATCH($B123,equipment_ID,0))=INDEX(Yes_No_Choice[],1),INDEX(Equipment_Utility_Fuel,MATCH($B123,equipment_ID,0)),""))</f>
        <v/>
      </c>
      <c r="L123" s="288" t="str">
        <f t="shared" si="56"/>
        <v/>
      </c>
      <c r="M123" s="89" t="str">
        <f t="shared" si="57"/>
        <v/>
      </c>
      <c r="N123" s="288" t="str">
        <f t="shared" si="58"/>
        <v/>
      </c>
      <c r="O123" s="130" t="str">
        <f t="shared" si="59"/>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52"/>
        <v>N/A</v>
      </c>
      <c r="E124" s="88" t="str">
        <f t="shared" si="53"/>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54"/>
        <v/>
      </c>
      <c r="I124" s="130" t="str">
        <f>IF($B124="N/A","",IF(INDEX(Equipment_Utility_Decision,MATCH($B124,equipment_ID,0))='4.2-Settings Internal'!$B$30,INDEX(Equipment_Utility_Electricity,MATCH($B124,equipment_ID,0)),""))</f>
        <v/>
      </c>
      <c r="J124" s="288" t="str">
        <f t="shared" si="55"/>
        <v/>
      </c>
      <c r="K124" s="130" t="str">
        <f>IF($B124="N/A","",IF(INDEX(Equipment_Utility_Decision,MATCH($B124,equipment_ID,0))=INDEX(Yes_No_Choice[],1),INDEX(Equipment_Utility_Fuel,MATCH($B124,equipment_ID,0)),""))</f>
        <v/>
      </c>
      <c r="L124" s="288" t="str">
        <f t="shared" si="56"/>
        <v/>
      </c>
      <c r="M124" s="89" t="str">
        <f t="shared" si="57"/>
        <v/>
      </c>
      <c r="N124" s="288" t="str">
        <f t="shared" si="58"/>
        <v/>
      </c>
      <c r="O124" s="130" t="str">
        <f t="shared" si="59"/>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52"/>
        <v>N/A</v>
      </c>
      <c r="E125" s="88" t="str">
        <f t="shared" si="53"/>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54"/>
        <v/>
      </c>
      <c r="I125" s="130" t="str">
        <f>IF($B125="N/A","",IF(INDEX(Equipment_Utility_Decision,MATCH($B125,equipment_ID,0))='4.2-Settings Internal'!$B$30,INDEX(Equipment_Utility_Electricity,MATCH($B125,equipment_ID,0)),""))</f>
        <v/>
      </c>
      <c r="J125" s="288" t="str">
        <f t="shared" si="55"/>
        <v/>
      </c>
      <c r="K125" s="130" t="str">
        <f>IF($B125="N/A","",IF(INDEX(Equipment_Utility_Decision,MATCH($B125,equipment_ID,0))=INDEX(Yes_No_Choice[],1),INDEX(Equipment_Utility_Fuel,MATCH($B125,equipment_ID,0)),""))</f>
        <v/>
      </c>
      <c r="L125" s="288" t="str">
        <f t="shared" si="56"/>
        <v/>
      </c>
      <c r="M125" s="89" t="str">
        <f t="shared" si="57"/>
        <v/>
      </c>
      <c r="N125" s="288" t="str">
        <f t="shared" si="58"/>
        <v/>
      </c>
      <c r="O125" s="130" t="str">
        <f t="shared" si="59"/>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52"/>
        <v>N/A</v>
      </c>
      <c r="E126" s="88" t="str">
        <f t="shared" si="53"/>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54"/>
        <v/>
      </c>
      <c r="I126" s="130" t="str">
        <f>IF($B126="N/A","",IF(INDEX(Equipment_Utility_Decision,MATCH($B126,equipment_ID,0))='4.2-Settings Internal'!$B$30,INDEX(Equipment_Utility_Electricity,MATCH($B126,equipment_ID,0)),""))</f>
        <v/>
      </c>
      <c r="J126" s="288" t="str">
        <f t="shared" si="55"/>
        <v/>
      </c>
      <c r="K126" s="130" t="str">
        <f>IF($B126="N/A","",IF(INDEX(Equipment_Utility_Decision,MATCH($B126,equipment_ID,0))=INDEX(Yes_No_Choice[],1),INDEX(Equipment_Utility_Fuel,MATCH($B126,equipment_ID,0)),""))</f>
        <v/>
      </c>
      <c r="L126" s="288" t="str">
        <f t="shared" si="56"/>
        <v/>
      </c>
      <c r="M126" s="89" t="str">
        <f t="shared" si="57"/>
        <v/>
      </c>
      <c r="N126" s="288" t="str">
        <f t="shared" si="58"/>
        <v/>
      </c>
      <c r="O126" s="130" t="str">
        <f t="shared" si="59"/>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52"/>
        <v>N/A</v>
      </c>
      <c r="E127" s="88" t="str">
        <f t="shared" si="53"/>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54"/>
        <v/>
      </c>
      <c r="I127" s="130" t="str">
        <f>IF($B127="N/A","",IF(INDEX(Equipment_Utility_Decision,MATCH($B127,equipment_ID,0))='4.2-Settings Internal'!$B$30,INDEX(Equipment_Utility_Electricity,MATCH($B127,equipment_ID,0)),""))</f>
        <v/>
      </c>
      <c r="J127" s="288" t="str">
        <f t="shared" si="55"/>
        <v/>
      </c>
      <c r="K127" s="130" t="str">
        <f>IF($B127="N/A","",IF(INDEX(Equipment_Utility_Decision,MATCH($B127,equipment_ID,0))=INDEX(Yes_No_Choice[],1),INDEX(Equipment_Utility_Fuel,MATCH($B127,equipment_ID,0)),""))</f>
        <v/>
      </c>
      <c r="L127" s="288" t="str">
        <f t="shared" si="56"/>
        <v/>
      </c>
      <c r="M127" s="89" t="str">
        <f t="shared" si="57"/>
        <v/>
      </c>
      <c r="N127" s="288" t="str">
        <f t="shared" si="58"/>
        <v/>
      </c>
      <c r="O127" s="130" t="str">
        <f t="shared" si="59"/>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52"/>
        <v>N/A</v>
      </c>
      <c r="E128" s="88" t="str">
        <f t="shared" si="53"/>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54"/>
        <v/>
      </c>
      <c r="I128" s="130" t="str">
        <f>IF($B128="N/A","",IF(INDEX(Equipment_Utility_Decision,MATCH($B128,equipment_ID,0))='4.2-Settings Internal'!$B$30,INDEX(Equipment_Utility_Electricity,MATCH($B128,equipment_ID,0)),""))</f>
        <v/>
      </c>
      <c r="J128" s="288" t="str">
        <f t="shared" si="55"/>
        <v/>
      </c>
      <c r="K128" s="130" t="str">
        <f>IF($B128="N/A","",IF(INDEX(Equipment_Utility_Decision,MATCH($B128,equipment_ID,0))=INDEX(Yes_No_Choice[],1),INDEX(Equipment_Utility_Fuel,MATCH($B128,equipment_ID,0)),""))</f>
        <v/>
      </c>
      <c r="L128" s="288" t="str">
        <f t="shared" si="56"/>
        <v/>
      </c>
      <c r="M128" s="89" t="str">
        <f t="shared" si="57"/>
        <v/>
      </c>
      <c r="N128" s="288" t="str">
        <f t="shared" si="58"/>
        <v/>
      </c>
      <c r="O128" s="130" t="str">
        <f t="shared" si="59"/>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52"/>
        <v>N/A</v>
      </c>
      <c r="E129" s="88" t="str">
        <f t="shared" si="53"/>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54"/>
        <v/>
      </c>
      <c r="I129" s="130" t="str">
        <f>IF($B129="N/A","",IF(INDEX(Equipment_Utility_Decision,MATCH($B129,equipment_ID,0))='4.2-Settings Internal'!$B$30,INDEX(Equipment_Utility_Electricity,MATCH($B129,equipment_ID,0)),""))</f>
        <v/>
      </c>
      <c r="J129" s="288" t="str">
        <f t="shared" si="55"/>
        <v/>
      </c>
      <c r="K129" s="130" t="str">
        <f>IF($B129="N/A","",IF(INDEX(Equipment_Utility_Decision,MATCH($B129,equipment_ID,0))=INDEX(Yes_No_Choice[],1),INDEX(Equipment_Utility_Fuel,MATCH($B129,equipment_ID,0)),""))</f>
        <v/>
      </c>
      <c r="L129" s="288" t="str">
        <f t="shared" si="56"/>
        <v/>
      </c>
      <c r="M129" s="89" t="str">
        <f t="shared" si="57"/>
        <v/>
      </c>
      <c r="N129" s="288" t="str">
        <f t="shared" si="58"/>
        <v/>
      </c>
      <c r="O129" s="130" t="str">
        <f t="shared" si="59"/>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52"/>
        <v>N/A</v>
      </c>
      <c r="E130" s="88" t="str">
        <f t="shared" si="53"/>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54"/>
        <v/>
      </c>
      <c r="I130" s="130" t="str">
        <f>IF($B130="N/A","",IF(INDEX(Equipment_Utility_Decision,MATCH($B130,equipment_ID,0))='4.2-Settings Internal'!$B$30,INDEX(Equipment_Utility_Electricity,MATCH($B130,equipment_ID,0)),""))</f>
        <v/>
      </c>
      <c r="J130" s="288" t="str">
        <f t="shared" si="55"/>
        <v/>
      </c>
      <c r="K130" s="130" t="str">
        <f>IF($B130="N/A","",IF(INDEX(Equipment_Utility_Decision,MATCH($B130,equipment_ID,0))=INDEX(Yes_No_Choice[],1),INDEX(Equipment_Utility_Fuel,MATCH($B130,equipment_ID,0)),""))</f>
        <v/>
      </c>
      <c r="L130" s="288" t="str">
        <f t="shared" si="56"/>
        <v/>
      </c>
      <c r="M130" s="89" t="str">
        <f t="shared" si="57"/>
        <v/>
      </c>
      <c r="N130" s="288" t="str">
        <f t="shared" si="58"/>
        <v/>
      </c>
      <c r="O130" s="130" t="str">
        <f t="shared" si="59"/>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52"/>
        <v>N/A</v>
      </c>
      <c r="E131" s="88" t="str">
        <f t="shared" si="53"/>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54"/>
        <v/>
      </c>
      <c r="I131" s="130" t="str">
        <f>IF($B131="N/A","",IF(INDEX(Equipment_Utility_Decision,MATCH($B131,equipment_ID,0))='4.2-Settings Internal'!$B$30,INDEX(Equipment_Utility_Electricity,MATCH($B131,equipment_ID,0)),""))</f>
        <v/>
      </c>
      <c r="J131" s="288" t="str">
        <f t="shared" si="55"/>
        <v/>
      </c>
      <c r="K131" s="130" t="str">
        <f>IF($B131="N/A","",IF(INDEX(Equipment_Utility_Decision,MATCH($B131,equipment_ID,0))=INDEX(Yes_No_Choice[],1),INDEX(Equipment_Utility_Fuel,MATCH($B131,equipment_ID,0)),""))</f>
        <v/>
      </c>
      <c r="L131" s="288" t="str">
        <f t="shared" si="56"/>
        <v/>
      </c>
      <c r="M131" s="89" t="str">
        <f t="shared" si="57"/>
        <v/>
      </c>
      <c r="N131" s="288" t="str">
        <f t="shared" si="58"/>
        <v/>
      </c>
      <c r="O131" s="130" t="str">
        <f t="shared" si="59"/>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52"/>
        <v>N/A</v>
      </c>
      <c r="E132" s="88" t="str">
        <f t="shared" si="53"/>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54"/>
        <v/>
      </c>
      <c r="I132" s="130" t="str">
        <f>IF($B132="N/A","",IF(INDEX(Equipment_Utility_Decision,MATCH($B132,equipment_ID,0))='4.2-Settings Internal'!$B$30,INDEX(Equipment_Utility_Electricity,MATCH($B132,equipment_ID,0)),""))</f>
        <v/>
      </c>
      <c r="J132" s="288" t="str">
        <f t="shared" si="55"/>
        <v/>
      </c>
      <c r="K132" s="130" t="str">
        <f>IF($B132="N/A","",IF(INDEX(Equipment_Utility_Decision,MATCH($B132,equipment_ID,0))=INDEX(Yes_No_Choice[],1),INDEX(Equipment_Utility_Fuel,MATCH($B132,equipment_ID,0)),""))</f>
        <v/>
      </c>
      <c r="L132" s="288" t="str">
        <f t="shared" si="56"/>
        <v/>
      </c>
      <c r="M132" s="89" t="str">
        <f t="shared" si="57"/>
        <v/>
      </c>
      <c r="N132" s="288" t="str">
        <f t="shared" si="58"/>
        <v/>
      </c>
      <c r="O132" s="130" t="str">
        <f t="shared" si="59"/>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52"/>
        <v>N/A</v>
      </c>
      <c r="E133" s="88" t="str">
        <f t="shared" si="53"/>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54"/>
        <v/>
      </c>
      <c r="I133" s="130" t="str">
        <f>IF($B133="N/A","",IF(INDEX(Equipment_Utility_Decision,MATCH($B133,equipment_ID,0))='4.2-Settings Internal'!$B$30,INDEX(Equipment_Utility_Electricity,MATCH($B133,equipment_ID,0)),""))</f>
        <v/>
      </c>
      <c r="J133" s="288" t="str">
        <f t="shared" si="55"/>
        <v/>
      </c>
      <c r="K133" s="130" t="str">
        <f>IF($B133="N/A","",IF(INDEX(Equipment_Utility_Decision,MATCH($B133,equipment_ID,0))=INDEX(Yes_No_Choice[],1),INDEX(Equipment_Utility_Fuel,MATCH($B133,equipment_ID,0)),""))</f>
        <v/>
      </c>
      <c r="L133" s="288" t="str">
        <f t="shared" si="56"/>
        <v/>
      </c>
      <c r="M133" s="89" t="str">
        <f t="shared" si="57"/>
        <v/>
      </c>
      <c r="N133" s="288" t="str">
        <f t="shared" si="58"/>
        <v/>
      </c>
      <c r="O133" s="130" t="str">
        <f t="shared" si="59"/>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52"/>
        <v>N/A</v>
      </c>
      <c r="E134" s="88" t="str">
        <f t="shared" si="53"/>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54"/>
        <v/>
      </c>
      <c r="I134" s="130" t="str">
        <f>IF($B134="N/A","",IF(INDEX(Equipment_Utility_Decision,MATCH($B134,equipment_ID,0))='4.2-Settings Internal'!$B$30,INDEX(Equipment_Utility_Electricity,MATCH($B134,equipment_ID,0)),""))</f>
        <v/>
      </c>
      <c r="J134" s="288" t="str">
        <f t="shared" si="55"/>
        <v/>
      </c>
      <c r="K134" s="130" t="str">
        <f>IF($B134="N/A","",IF(INDEX(Equipment_Utility_Decision,MATCH($B134,equipment_ID,0))=INDEX(Yes_No_Choice[],1),INDEX(Equipment_Utility_Fuel,MATCH($B134,equipment_ID,0)),""))</f>
        <v/>
      </c>
      <c r="L134" s="288" t="str">
        <f t="shared" si="56"/>
        <v/>
      </c>
      <c r="M134" s="89" t="str">
        <f t="shared" si="57"/>
        <v/>
      </c>
      <c r="N134" s="288" t="str">
        <f t="shared" si="58"/>
        <v/>
      </c>
      <c r="O134" s="130" t="str">
        <f t="shared" si="59"/>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52"/>
        <v>N/A</v>
      </c>
      <c r="E135" s="88" t="str">
        <f t="shared" si="53"/>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54"/>
        <v/>
      </c>
      <c r="I135" s="130" t="str">
        <f>IF($B135="N/A","",IF(INDEX(Equipment_Utility_Decision,MATCH($B135,equipment_ID,0))='4.2-Settings Internal'!$B$30,INDEX(Equipment_Utility_Electricity,MATCH($B135,equipment_ID,0)),""))</f>
        <v/>
      </c>
      <c r="J135" s="288" t="str">
        <f t="shared" si="55"/>
        <v/>
      </c>
      <c r="K135" s="130" t="str">
        <f>IF($B135="N/A","",IF(INDEX(Equipment_Utility_Decision,MATCH($B135,equipment_ID,0))=INDEX(Yes_No_Choice[],1),INDEX(Equipment_Utility_Fuel,MATCH($B135,equipment_ID,0)),""))</f>
        <v/>
      </c>
      <c r="L135" s="288" t="str">
        <f t="shared" si="56"/>
        <v/>
      </c>
      <c r="M135" s="89" t="str">
        <f t="shared" si="57"/>
        <v/>
      </c>
      <c r="N135" s="288" t="str">
        <f t="shared" si="58"/>
        <v/>
      </c>
      <c r="O135" s="130" t="str">
        <f t="shared" si="59"/>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52"/>
        <v>N/A</v>
      </c>
      <c r="E136" s="88" t="str">
        <f t="shared" si="53"/>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54"/>
        <v/>
      </c>
      <c r="I136" s="130" t="str">
        <f>IF($B136="N/A","",IF(INDEX(Equipment_Utility_Decision,MATCH($B136,equipment_ID,0))='4.2-Settings Internal'!$B$30,INDEX(Equipment_Utility_Electricity,MATCH($B136,equipment_ID,0)),""))</f>
        <v/>
      </c>
      <c r="J136" s="288" t="str">
        <f t="shared" si="55"/>
        <v/>
      </c>
      <c r="K136" s="130" t="str">
        <f>IF($B136="N/A","",IF(INDEX(Equipment_Utility_Decision,MATCH($B136,equipment_ID,0))=INDEX(Yes_No_Choice[],1),INDEX(Equipment_Utility_Fuel,MATCH($B136,equipment_ID,0)),""))</f>
        <v/>
      </c>
      <c r="L136" s="288" t="str">
        <f t="shared" si="56"/>
        <v/>
      </c>
      <c r="M136" s="89" t="str">
        <f t="shared" si="57"/>
        <v/>
      </c>
      <c r="N136" s="288" t="str">
        <f t="shared" si="58"/>
        <v/>
      </c>
      <c r="O136" s="130" t="str">
        <f t="shared" si="59"/>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52"/>
        <v>N/A</v>
      </c>
      <c r="E137" s="88" t="str">
        <f t="shared" si="53"/>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54"/>
        <v/>
      </c>
      <c r="I137" s="130" t="str">
        <f>IF($B137="N/A","",IF(INDEX(Equipment_Utility_Decision,MATCH($B137,equipment_ID,0))='4.2-Settings Internal'!$B$30,INDEX(Equipment_Utility_Electricity,MATCH($B137,equipment_ID,0)),""))</f>
        <v/>
      </c>
      <c r="J137" s="288" t="str">
        <f t="shared" si="55"/>
        <v/>
      </c>
      <c r="K137" s="130" t="str">
        <f>IF($B137="N/A","",IF(INDEX(Equipment_Utility_Decision,MATCH($B137,equipment_ID,0))=INDEX(Yes_No_Choice[],1),INDEX(Equipment_Utility_Fuel,MATCH($B137,equipment_ID,0)),""))</f>
        <v/>
      </c>
      <c r="L137" s="288" t="str">
        <f t="shared" si="56"/>
        <v/>
      </c>
      <c r="M137" s="89" t="str">
        <f t="shared" si="57"/>
        <v/>
      </c>
      <c r="N137" s="288" t="str">
        <f t="shared" si="58"/>
        <v/>
      </c>
      <c r="O137" s="130" t="str">
        <f t="shared" si="59"/>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52"/>
        <v>N/A</v>
      </c>
      <c r="E138" s="88" t="str">
        <f t="shared" si="53"/>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54"/>
        <v/>
      </c>
      <c r="I138" s="130" t="str">
        <f>IF($B138="N/A","",IF(INDEX(Equipment_Utility_Decision,MATCH($B138,equipment_ID,0))='4.2-Settings Internal'!$B$30,INDEX(Equipment_Utility_Electricity,MATCH($B138,equipment_ID,0)),""))</f>
        <v/>
      </c>
      <c r="J138" s="288" t="str">
        <f t="shared" si="55"/>
        <v/>
      </c>
      <c r="K138" s="130" t="str">
        <f>IF($B138="N/A","",IF(INDEX(Equipment_Utility_Decision,MATCH($B138,equipment_ID,0))=INDEX(Yes_No_Choice[],1),INDEX(Equipment_Utility_Fuel,MATCH($B138,equipment_ID,0)),""))</f>
        <v/>
      </c>
      <c r="L138" s="288" t="str">
        <f t="shared" si="56"/>
        <v/>
      </c>
      <c r="M138" s="89" t="str">
        <f t="shared" si="57"/>
        <v/>
      </c>
      <c r="N138" s="288" t="str">
        <f t="shared" si="58"/>
        <v/>
      </c>
      <c r="O138" s="130" t="str">
        <f t="shared" si="59"/>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52"/>
        <v>N/A</v>
      </c>
      <c r="E139" s="88" t="str">
        <f t="shared" si="53"/>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54"/>
        <v/>
      </c>
      <c r="I139" s="130" t="str">
        <f>IF($B139="N/A","",IF(INDEX(Equipment_Utility_Decision,MATCH($B139,equipment_ID,0))='4.2-Settings Internal'!$B$30,INDEX(Equipment_Utility_Electricity,MATCH($B139,equipment_ID,0)),""))</f>
        <v/>
      </c>
      <c r="J139" s="288" t="str">
        <f t="shared" si="55"/>
        <v/>
      </c>
      <c r="K139" s="130" t="str">
        <f>IF($B139="N/A","",IF(INDEX(Equipment_Utility_Decision,MATCH($B139,equipment_ID,0))=INDEX(Yes_No_Choice[],1),INDEX(Equipment_Utility_Fuel,MATCH($B139,equipment_ID,0)),""))</f>
        <v/>
      </c>
      <c r="L139" s="288" t="str">
        <f t="shared" si="56"/>
        <v/>
      </c>
      <c r="M139" s="89" t="str">
        <f t="shared" si="57"/>
        <v/>
      </c>
      <c r="N139" s="288" t="str">
        <f t="shared" si="58"/>
        <v/>
      </c>
      <c r="O139" s="130" t="str">
        <f t="shared" si="59"/>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52"/>
        <v>N/A</v>
      </c>
      <c r="E140" s="88" t="str">
        <f t="shared" si="53"/>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54"/>
        <v/>
      </c>
      <c r="I140" s="130" t="str">
        <f>IF($B140="N/A","",IF(INDEX(Equipment_Utility_Decision,MATCH($B140,equipment_ID,0))='4.2-Settings Internal'!$B$30,INDEX(Equipment_Utility_Electricity,MATCH($B140,equipment_ID,0)),""))</f>
        <v/>
      </c>
      <c r="J140" s="288" t="str">
        <f t="shared" si="55"/>
        <v/>
      </c>
      <c r="K140" s="130" t="str">
        <f>IF($B140="N/A","",IF(INDEX(Equipment_Utility_Decision,MATCH($B140,equipment_ID,0))=INDEX(Yes_No_Choice[],1),INDEX(Equipment_Utility_Fuel,MATCH($B140,equipment_ID,0)),""))</f>
        <v/>
      </c>
      <c r="L140" s="288" t="str">
        <f t="shared" si="56"/>
        <v/>
      </c>
      <c r="M140" s="89" t="str">
        <f t="shared" si="57"/>
        <v/>
      </c>
      <c r="N140" s="288" t="str">
        <f t="shared" si="58"/>
        <v/>
      </c>
      <c r="O140" s="130" t="str">
        <f t="shared" si="59"/>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52"/>
        <v>N/A</v>
      </c>
      <c r="E141" s="88" t="str">
        <f t="shared" si="53"/>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54"/>
        <v/>
      </c>
      <c r="I141" s="130" t="str">
        <f>IF($B141="N/A","",IF(INDEX(Equipment_Utility_Decision,MATCH($B141,equipment_ID,0))='4.2-Settings Internal'!$B$30,INDEX(Equipment_Utility_Electricity,MATCH($B141,equipment_ID,0)),""))</f>
        <v/>
      </c>
      <c r="J141" s="288" t="str">
        <f t="shared" si="55"/>
        <v/>
      </c>
      <c r="K141" s="130" t="str">
        <f>IF($B141="N/A","",IF(INDEX(Equipment_Utility_Decision,MATCH($B141,equipment_ID,0))=INDEX(Yes_No_Choice[],1),INDEX(Equipment_Utility_Fuel,MATCH($B141,equipment_ID,0)),""))</f>
        <v/>
      </c>
      <c r="L141" s="288" t="str">
        <f t="shared" si="56"/>
        <v/>
      </c>
      <c r="M141" s="89" t="str">
        <f t="shared" si="57"/>
        <v/>
      </c>
      <c r="N141" s="288" t="str">
        <f t="shared" si="58"/>
        <v/>
      </c>
      <c r="O141" s="130" t="str">
        <f t="shared" si="59"/>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52"/>
        <v>N/A</v>
      </c>
      <c r="E142" s="88" t="str">
        <f t="shared" si="53"/>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54"/>
        <v/>
      </c>
      <c r="I142" s="130" t="str">
        <f>IF($B142="N/A","",IF(INDEX(Equipment_Utility_Decision,MATCH($B142,equipment_ID,0))='4.2-Settings Internal'!$B$30,INDEX(Equipment_Utility_Electricity,MATCH($B142,equipment_ID,0)),""))</f>
        <v/>
      </c>
      <c r="J142" s="288" t="str">
        <f t="shared" si="55"/>
        <v/>
      </c>
      <c r="K142" s="130" t="str">
        <f>IF($B142="N/A","",IF(INDEX(Equipment_Utility_Decision,MATCH($B142,equipment_ID,0))=INDEX(Yes_No_Choice[],1),INDEX(Equipment_Utility_Fuel,MATCH($B142,equipment_ID,0)),""))</f>
        <v/>
      </c>
      <c r="L142" s="288" t="str">
        <f t="shared" si="56"/>
        <v/>
      </c>
      <c r="M142" s="89" t="str">
        <f t="shared" si="57"/>
        <v/>
      </c>
      <c r="N142" s="288" t="str">
        <f t="shared" si="58"/>
        <v/>
      </c>
      <c r="O142" s="130" t="str">
        <f t="shared" si="59"/>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52"/>
        <v>N/A</v>
      </c>
      <c r="E143" s="88" t="str">
        <f t="shared" si="53"/>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54"/>
        <v/>
      </c>
      <c r="I143" s="130" t="str">
        <f>IF($B143="N/A","",IF(INDEX(Equipment_Utility_Decision,MATCH($B143,equipment_ID,0))='4.2-Settings Internal'!$B$30,INDEX(Equipment_Utility_Electricity,MATCH($B143,equipment_ID,0)),""))</f>
        <v/>
      </c>
      <c r="J143" s="288" t="str">
        <f t="shared" si="55"/>
        <v/>
      </c>
      <c r="K143" s="130" t="str">
        <f>IF($B143="N/A","",IF(INDEX(Equipment_Utility_Decision,MATCH($B143,equipment_ID,0))=INDEX(Yes_No_Choice[],1),INDEX(Equipment_Utility_Fuel,MATCH($B143,equipment_ID,0)),""))</f>
        <v/>
      </c>
      <c r="L143" s="288" t="str">
        <f t="shared" si="56"/>
        <v/>
      </c>
      <c r="M143" s="89" t="str">
        <f t="shared" si="57"/>
        <v/>
      </c>
      <c r="N143" s="288" t="str">
        <f t="shared" si="58"/>
        <v/>
      </c>
      <c r="O143" s="130" t="str">
        <f t="shared" si="59"/>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52"/>
        <v>N/A</v>
      </c>
      <c r="E144" s="88" t="str">
        <f t="shared" si="53"/>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54"/>
        <v/>
      </c>
      <c r="I144" s="130" t="str">
        <f>IF($B144="N/A","",IF(INDEX(Equipment_Utility_Decision,MATCH($B144,equipment_ID,0))='4.2-Settings Internal'!$B$30,INDEX(Equipment_Utility_Electricity,MATCH($B144,equipment_ID,0)),""))</f>
        <v/>
      </c>
      <c r="J144" s="288" t="str">
        <f t="shared" si="55"/>
        <v/>
      </c>
      <c r="K144" s="130" t="str">
        <f>IF($B144="N/A","",IF(INDEX(Equipment_Utility_Decision,MATCH($B144,equipment_ID,0))=INDEX(Yes_No_Choice[],1),INDEX(Equipment_Utility_Fuel,MATCH($B144,equipment_ID,0)),""))</f>
        <v/>
      </c>
      <c r="L144" s="288" t="str">
        <f t="shared" si="56"/>
        <v/>
      </c>
      <c r="M144" s="89" t="str">
        <f t="shared" si="57"/>
        <v/>
      </c>
      <c r="N144" s="288" t="str">
        <f t="shared" si="58"/>
        <v/>
      </c>
      <c r="O144" s="130" t="str">
        <f t="shared" si="59"/>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52"/>
        <v>N/A</v>
      </c>
      <c r="E145" s="88" t="str">
        <f t="shared" si="53"/>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54"/>
        <v/>
      </c>
      <c r="I145" s="130" t="str">
        <f>IF($B145="N/A","",IF(INDEX(Equipment_Utility_Decision,MATCH($B145,equipment_ID,0))='4.2-Settings Internal'!$B$30,INDEX(Equipment_Utility_Electricity,MATCH($B145,equipment_ID,0)),""))</f>
        <v/>
      </c>
      <c r="J145" s="288" t="str">
        <f t="shared" si="55"/>
        <v/>
      </c>
      <c r="K145" s="130" t="str">
        <f>IF($B145="N/A","",IF(INDEX(Equipment_Utility_Decision,MATCH($B145,equipment_ID,0))=INDEX(Yes_No_Choice[],1),INDEX(Equipment_Utility_Fuel,MATCH($B145,equipment_ID,0)),""))</f>
        <v/>
      </c>
      <c r="L145" s="288" t="str">
        <f t="shared" si="56"/>
        <v/>
      </c>
      <c r="M145" s="89" t="str">
        <f t="shared" si="57"/>
        <v/>
      </c>
      <c r="N145" s="288" t="str">
        <f t="shared" si="58"/>
        <v/>
      </c>
      <c r="O145" s="130" t="str">
        <f t="shared" si="59"/>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52"/>
        <v>N/A</v>
      </c>
      <c r="E146" s="88" t="str">
        <f t="shared" si="53"/>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54"/>
        <v/>
      </c>
      <c r="I146" s="130" t="str">
        <f>IF($B146="N/A","",IF(INDEX(Equipment_Utility_Decision,MATCH($B146,equipment_ID,0))='4.2-Settings Internal'!$B$30,INDEX(Equipment_Utility_Electricity,MATCH($B146,equipment_ID,0)),""))</f>
        <v/>
      </c>
      <c r="J146" s="288" t="str">
        <f t="shared" si="55"/>
        <v/>
      </c>
      <c r="K146" s="130" t="str">
        <f>IF($B146="N/A","",IF(INDEX(Equipment_Utility_Decision,MATCH($B146,equipment_ID,0))=INDEX(Yes_No_Choice[],1),INDEX(Equipment_Utility_Fuel,MATCH($B146,equipment_ID,0)),""))</f>
        <v/>
      </c>
      <c r="L146" s="288" t="str">
        <f t="shared" si="56"/>
        <v/>
      </c>
      <c r="M146" s="89" t="str">
        <f t="shared" si="57"/>
        <v/>
      </c>
      <c r="N146" s="288" t="str">
        <f t="shared" si="58"/>
        <v/>
      </c>
      <c r="O146" s="130" t="str">
        <f t="shared" si="59"/>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52"/>
        <v>N/A</v>
      </c>
      <c r="E147" s="88" t="str">
        <f t="shared" si="53"/>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54"/>
        <v/>
      </c>
      <c r="I147" s="130" t="str">
        <f>IF($B147="N/A","",IF(INDEX(Equipment_Utility_Decision,MATCH($B147,equipment_ID,0))='4.2-Settings Internal'!$B$30,INDEX(Equipment_Utility_Electricity,MATCH($B147,equipment_ID,0)),""))</f>
        <v/>
      </c>
      <c r="J147" s="288" t="str">
        <f t="shared" si="55"/>
        <v/>
      </c>
      <c r="K147" s="130" t="str">
        <f>IF($B147="N/A","",IF(INDEX(Equipment_Utility_Decision,MATCH($B147,equipment_ID,0))=INDEX(Yes_No_Choice[],1),INDEX(Equipment_Utility_Fuel,MATCH($B147,equipment_ID,0)),""))</f>
        <v/>
      </c>
      <c r="L147" s="288" t="str">
        <f t="shared" si="56"/>
        <v/>
      </c>
      <c r="M147" s="89" t="str">
        <f t="shared" si="57"/>
        <v/>
      </c>
      <c r="N147" s="288" t="str">
        <f t="shared" si="58"/>
        <v/>
      </c>
      <c r="O147" s="130" t="str">
        <f t="shared" si="59"/>
        <v/>
      </c>
    </row>
    <row r="148" spans="2:23" ht="33" customHeight="1"/>
    <row r="149" spans="2:23" ht="33" customHeight="1">
      <c r="G149" s="201" t="s">
        <v>594</v>
      </c>
      <c r="H149" s="306">
        <f>SUM(H152:H189)</f>
        <v>0</v>
      </c>
      <c r="I149" s="306">
        <f t="shared" ref="I149:W149" si="60">SUM(I152:I189)</f>
        <v>0</v>
      </c>
      <c r="J149" s="306">
        <f t="shared" si="60"/>
        <v>0</v>
      </c>
      <c r="K149" s="306">
        <f t="shared" si="60"/>
        <v>0</v>
      </c>
      <c r="L149" s="306">
        <f t="shared" si="60"/>
        <v>0</v>
      </c>
      <c r="M149" s="306">
        <f t="shared" si="60"/>
        <v>0</v>
      </c>
      <c r="N149" s="306">
        <f t="shared" si="60"/>
        <v>0</v>
      </c>
      <c r="O149" s="306">
        <f t="shared" si="60"/>
        <v>0</v>
      </c>
      <c r="P149" s="306">
        <f t="shared" si="60"/>
        <v>0</v>
      </c>
      <c r="Q149" s="306">
        <f t="shared" si="60"/>
        <v>0</v>
      </c>
      <c r="R149" s="306">
        <f t="shared" si="60"/>
        <v>0</v>
      </c>
      <c r="S149" s="306">
        <f t="shared" si="60"/>
        <v>0</v>
      </c>
      <c r="T149" s="306">
        <f t="shared" si="60"/>
        <v>0</v>
      </c>
      <c r="U149" s="306">
        <f t="shared" si="60"/>
        <v>0</v>
      </c>
      <c r="V149" s="306">
        <f t="shared" si="60"/>
        <v>0</v>
      </c>
      <c r="W149" s="306">
        <f t="shared" si="60"/>
        <v>0</v>
      </c>
    </row>
    <row r="150" spans="2:23">
      <c r="G150" s="82"/>
    </row>
    <row r="151" spans="2:23" ht="31">
      <c r="B151" s="91" t="s">
        <v>82</v>
      </c>
      <c r="C151" s="91" t="s">
        <v>51</v>
      </c>
      <c r="D151" s="91" t="s">
        <v>50</v>
      </c>
      <c r="E151" s="197" t="s">
        <v>147</v>
      </c>
      <c r="F151" s="91" t="s">
        <v>48</v>
      </c>
      <c r="G151" s="91" t="s">
        <v>119</v>
      </c>
      <c r="H151" s="91" t="s">
        <v>591</v>
      </c>
      <c r="I151" s="91" t="s">
        <v>568</v>
      </c>
      <c r="J151" s="91" t="s">
        <v>569</v>
      </c>
      <c r="K151" s="91" t="s">
        <v>570</v>
      </c>
      <c r="L151" s="91" t="s">
        <v>571</v>
      </c>
      <c r="M151" s="91" t="s">
        <v>572</v>
      </c>
      <c r="N151" s="91" t="s">
        <v>573</v>
      </c>
      <c r="O151" s="91" t="s">
        <v>574</v>
      </c>
      <c r="P151" s="91" t="s">
        <v>575</v>
      </c>
      <c r="Q151" s="91" t="s">
        <v>576</v>
      </c>
      <c r="R151" s="91" t="s">
        <v>577</v>
      </c>
      <c r="S151" s="91" t="s">
        <v>578</v>
      </c>
      <c r="T151" s="91" t="s">
        <v>579</v>
      </c>
      <c r="U151" s="91" t="s">
        <v>580</v>
      </c>
      <c r="V151" s="91" t="s">
        <v>581</v>
      </c>
      <c r="W151" s="91"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N/A</v>
      </c>
      <c r="C152" s="70" t="str">
        <f>IF($B152="N/A","N/A",INDEX(Equipment_name[],MATCH(B152,equipment_ID,0)))</f>
        <v>N/A</v>
      </c>
      <c r="D152" s="288" t="str">
        <f t="shared" ref="D152:D189" si="61">IF($B152="N/A","N/A",INDEX(Equipment_Capital_Cost,MATCH($B152,equipment_ID,0)))</f>
        <v>N/A</v>
      </c>
      <c r="E152" s="88" t="str">
        <f t="shared" ref="E152:E189" si="62">IF($B152="N/A","N/A",INDEX(Equipment_Lifetime,MATCH($B152,equipment_ID,0)))</f>
        <v>N/A</v>
      </c>
      <c r="F152" s="88" t="str">
        <f t="shared" ref="F152:F189" si="63">IF($B152="N/A","N/A",INDEX(Equipment_Quantity_New,MATCH($B152,equipment_ID,0)))</f>
        <v>N/A</v>
      </c>
      <c r="G152" s="86" t="str">
        <f t="shared" ref="G152:G189" si="64">IF($B152="N/A","N/A",INDEX(Equipment_Allocation_New,MATCH($B152,equipment_ID,0),MATCH($C$107,Unit_codes,0)))</f>
        <v>N/A</v>
      </c>
      <c r="H152" s="288" t="str">
        <f>IFERROR(IF($B152="N/A","N/A",IF(MOD(COLUMNS(H$151:$H$151)-1,$E152)=0,$F152*$D152*$G152,)),)</f>
        <v>N/A</v>
      </c>
      <c r="I152" s="288" t="str">
        <f>IFERROR(IF($B152="N/A","N/A",IF(MOD(COLUMNS($H$151:I$151)-1,$E152)=0,$F152*$D152*$G152,)),)</f>
        <v>N/A</v>
      </c>
      <c r="J152" s="288" t="str">
        <f>IFERROR(IF($B152="N/A","N/A",IF(MOD(COLUMNS($H$151:J$151)-1,$E152)=0,$F152*$D152*$G152,)),)</f>
        <v>N/A</v>
      </c>
      <c r="K152" s="288" t="str">
        <f>IFERROR(IF($B152="N/A","N/A",IF(MOD(COLUMNS($H$151:K$151)-1,$E152)=0,$F152*$D152*$G152,)),)</f>
        <v>N/A</v>
      </c>
      <c r="L152" s="288" t="str">
        <f>IFERROR(IF($B152="N/A","N/A",IF(MOD(COLUMNS($H$151:L$151)-1,$E152)=0,$F152*$D152*$G152,)),)</f>
        <v>N/A</v>
      </c>
      <c r="M152" s="288" t="str">
        <f>IFERROR(IF($B152="N/A","N/A",IF(MOD(COLUMNS($H$151:M$151)-1,$E152)=0,$F152*$D152*$G152,)),)</f>
        <v>N/A</v>
      </c>
      <c r="N152" s="288" t="str">
        <f>IFERROR(IF($B152="N/A","N/A",IF(MOD(COLUMNS($H$151:N$151)-1,$E152)=0,$F152*$D152*$G152,)),)</f>
        <v>N/A</v>
      </c>
      <c r="O152" s="288" t="str">
        <f>IFERROR(IF($B152="N/A","N/A",IF(MOD(COLUMNS($H$151:O$151)-1,$E152)=0,$F152*$D152*$G152,)),)</f>
        <v>N/A</v>
      </c>
      <c r="P152" s="288" t="str">
        <f>IFERROR(IF($B152="N/A","N/A",IF(MOD(COLUMNS($H$151:P$151)-1,$E152)=0,$F152*$D152*$G152,)),)</f>
        <v>N/A</v>
      </c>
      <c r="Q152" s="288" t="str">
        <f>IFERROR(IF($B152="N/A","N/A",IF(MOD(COLUMNS($H$151:Q$151)-1,$E152)=0,$F152*$D152*$G152,)),)</f>
        <v>N/A</v>
      </c>
      <c r="R152" s="288" t="str">
        <f>IFERROR(IF($B152="N/A","N/A",IF(MOD(COLUMNS($H$151:R$151)-1,$E152)=0,$F152*$D152*$G152,)),)</f>
        <v>N/A</v>
      </c>
      <c r="S152" s="288" t="str">
        <f>IFERROR(IF($B152="N/A","N/A",IF(MOD(COLUMNS($H$151:S$151)-1,$E152)=0,$F152*$D152*$G152,)),)</f>
        <v>N/A</v>
      </c>
      <c r="T152" s="288" t="str">
        <f>IFERROR(IF($B152="N/A","N/A",IF(MOD(COLUMNS($H$151:T$151)-1,$E152)=0,$F152*$D152*$G152,)),)</f>
        <v>N/A</v>
      </c>
      <c r="U152" s="288" t="str">
        <f>IFERROR(IF($B152="N/A","N/A",IF(MOD(COLUMNS($H$151:U$151)-1,$E152)=0,$F152*$D152*$G152,)),)</f>
        <v>N/A</v>
      </c>
      <c r="V152" s="288" t="str">
        <f>IFERROR(IF($B152="N/A","N/A",IF(MOD(COLUMNS($H$151:V$151)-1,$E152)=0,$F152*$D152*$G152,)),)</f>
        <v>N/A</v>
      </c>
      <c r="W152" s="288" t="str">
        <f>IFERROR(IF($B152="N/A","N/A",IF(MOD(COLUMNS($H$151:W$151)-1,$E152)=0,$F152*$D152*$G152,)),)</f>
        <v>N/A</v>
      </c>
    </row>
    <row r="153" spans="2:23">
      <c r="B153" s="70" t="str">
        <f t="array" ref="B153">IF(COUNTIFS(INDEX(Equipment_Allocation_New,0,MATCH($C$107,Unit_codes,0)),"&gt;0")&lt;ROWS('2.2-Equipment input'!$X$8:$X9),"N/A",INDEX('2.2-Equipment input'!B:B,SMALL(IF(INDEX(Equipment_Allocation_New,0,MATCH($C$107,Unit_codes,0))&gt;0,ROW(equipment_ID)),ROW('2.2-Equipment input'!B2))))</f>
        <v>N/A</v>
      </c>
      <c r="C153" s="70" t="str">
        <f>IF($B153="N/A","N/A",INDEX(Equipment_name[],MATCH(B153,equipment_ID,0)))</f>
        <v>N/A</v>
      </c>
      <c r="D153" s="288" t="str">
        <f t="shared" si="61"/>
        <v>N/A</v>
      </c>
      <c r="E153" s="88" t="str">
        <f t="shared" si="62"/>
        <v>N/A</v>
      </c>
      <c r="F153" s="88" t="str">
        <f t="shared" si="63"/>
        <v>N/A</v>
      </c>
      <c r="G153" s="86" t="str">
        <f t="shared" si="64"/>
        <v>N/A</v>
      </c>
      <c r="H153" s="288" t="str">
        <f>IFERROR(IF($B153="N/A","N/A",IF(MOD(COLUMNS(H$151:$H$151)-1,$E153)=0,$F153*$D153*$G153,)),)</f>
        <v>N/A</v>
      </c>
      <c r="I153" s="288" t="str">
        <f>IFERROR(IF($B153="N/A","N/A",IF(MOD(COLUMNS($H$151:I$151)-1,$E153)=0,$F153*$D153*$G153,)),)</f>
        <v>N/A</v>
      </c>
      <c r="J153" s="288" t="str">
        <f>IFERROR(IF($B153="N/A","N/A",IF(MOD(COLUMNS($H$151:J$151)-1,$E153)=0,$F153*$D153*$G153,)),)</f>
        <v>N/A</v>
      </c>
      <c r="K153" s="288" t="str">
        <f>IFERROR(IF($B153="N/A","N/A",IF(MOD(COLUMNS($H$151:K$151)-1,$E153)=0,$F153*$D153*$G153,)),)</f>
        <v>N/A</v>
      </c>
      <c r="L153" s="288" t="str">
        <f>IFERROR(IF($B153="N/A","N/A",IF(MOD(COLUMNS($H$151:L$151)-1,$E153)=0,$F153*$D153*$G153,)),)</f>
        <v>N/A</v>
      </c>
      <c r="M153" s="288" t="str">
        <f>IFERROR(IF($B153="N/A","N/A",IF(MOD(COLUMNS($H$151:M$151)-1,$E153)=0,$F153*$D153*$G153,)),)</f>
        <v>N/A</v>
      </c>
      <c r="N153" s="288" t="str">
        <f>IFERROR(IF($B153="N/A","N/A",IF(MOD(COLUMNS($H$151:N$151)-1,$E153)=0,$F153*$D153*$G153,)),)</f>
        <v>N/A</v>
      </c>
      <c r="O153" s="288" t="str">
        <f>IFERROR(IF($B153="N/A","N/A",IF(MOD(COLUMNS($H$151:O$151)-1,$E153)=0,$F153*$D153*$G153,)),)</f>
        <v>N/A</v>
      </c>
      <c r="P153" s="288" t="str">
        <f>IFERROR(IF($B153="N/A","N/A",IF(MOD(COLUMNS($H$151:P$151)-1,$E153)=0,$F153*$D153*$G153,)),)</f>
        <v>N/A</v>
      </c>
      <c r="Q153" s="288" t="str">
        <f>IFERROR(IF($B153="N/A","N/A",IF(MOD(COLUMNS($H$151:Q$151)-1,$E153)=0,$F153*$D153*$G153,)),)</f>
        <v>N/A</v>
      </c>
      <c r="R153" s="288" t="str">
        <f>IFERROR(IF($B153="N/A","N/A",IF(MOD(COLUMNS($H$151:R$151)-1,$E153)=0,$F153*$D153*$G153,)),)</f>
        <v>N/A</v>
      </c>
      <c r="S153" s="288" t="str">
        <f>IFERROR(IF($B153="N/A","N/A",IF(MOD(COLUMNS($H$151:S$151)-1,$E153)=0,$F153*$D153*$G153,)),)</f>
        <v>N/A</v>
      </c>
      <c r="T153" s="288" t="str">
        <f>IFERROR(IF($B153="N/A","N/A",IF(MOD(COLUMNS($H$151:T$151)-1,$E153)=0,$F153*$D153*$G153,)),)</f>
        <v>N/A</v>
      </c>
      <c r="U153" s="288" t="str">
        <f>IFERROR(IF($B153="N/A","N/A",IF(MOD(COLUMNS($H$151:U$151)-1,$E153)=0,$F153*$D153*$G153,)),)</f>
        <v>N/A</v>
      </c>
      <c r="V153" s="288" t="str">
        <f>IFERROR(IF($B153="N/A","N/A",IF(MOD(COLUMNS($H$151:V$151)-1,$E153)=0,$F153*$D153*$G153,)),)</f>
        <v>N/A</v>
      </c>
      <c r="W153" s="288" t="str">
        <f>IFERROR(IF($B153="N/A","N/A",IF(MOD(COLUMNS($H$151:W$151)-1,$E153)=0,$F153*$D153*$G153,)),)</f>
        <v>N/A</v>
      </c>
    </row>
    <row r="154" spans="2:23">
      <c r="B154" s="70" t="str">
        <f t="array" ref="B154">IF(COUNTIFS(INDEX(Equipment_Allocation_New,0,MATCH($C$107,Unit_codes,0)),"&gt;0")&lt;ROWS('2.2-Equipment input'!$X$8:$X10),"N/A",INDEX('2.2-Equipment input'!B:B,SMALL(IF(INDEX(Equipment_Allocation_New,0,MATCH($C$107,Unit_codes,0))&gt;0,ROW(equipment_ID)),ROW('2.2-Equipment input'!B3))))</f>
        <v>N/A</v>
      </c>
      <c r="C154" s="70" t="str">
        <f>IF($B154="N/A","N/A",INDEX(Equipment_name[],MATCH(B154,equipment_ID,0)))</f>
        <v>N/A</v>
      </c>
      <c r="D154" s="288" t="str">
        <f t="shared" si="61"/>
        <v>N/A</v>
      </c>
      <c r="E154" s="88" t="str">
        <f t="shared" si="62"/>
        <v>N/A</v>
      </c>
      <c r="F154" s="88" t="str">
        <f t="shared" si="63"/>
        <v>N/A</v>
      </c>
      <c r="G154" s="86" t="str">
        <f t="shared" si="64"/>
        <v>N/A</v>
      </c>
      <c r="H154" s="288" t="str">
        <f>IFERROR(IF($B154="N/A","N/A",IF(MOD(COLUMNS(H$151:$H$151)-1,$E154)=0,$F154*$D154*$G154,)),)</f>
        <v>N/A</v>
      </c>
      <c r="I154" s="288" t="str">
        <f>IFERROR(IF($B154="N/A","N/A",IF(MOD(COLUMNS($H$151:I$151)-1,$E154)=0,$F154*$D154*$G154,)),)</f>
        <v>N/A</v>
      </c>
      <c r="J154" s="288" t="str">
        <f>IFERROR(IF($B154="N/A","N/A",IF(MOD(COLUMNS($H$151:J$151)-1,$E154)=0,$F154*$D154*$G154,)),)</f>
        <v>N/A</v>
      </c>
      <c r="K154" s="288" t="str">
        <f>IFERROR(IF($B154="N/A","N/A",IF(MOD(COLUMNS($H$151:K$151)-1,$E154)=0,$F154*$D154*$G154,)),)</f>
        <v>N/A</v>
      </c>
      <c r="L154" s="288" t="str">
        <f>IFERROR(IF($B154="N/A","N/A",IF(MOD(COLUMNS($H$151:L$151)-1,$E154)=0,$F154*$D154*$G154,)),)</f>
        <v>N/A</v>
      </c>
      <c r="M154" s="288" t="str">
        <f>IFERROR(IF($B154="N/A","N/A",IF(MOD(COLUMNS($H$151:M$151)-1,$E154)=0,$F154*$D154*$G154,)),)</f>
        <v>N/A</v>
      </c>
      <c r="N154" s="288" t="str">
        <f>IFERROR(IF($B154="N/A","N/A",IF(MOD(COLUMNS($H$151:N$151)-1,$E154)=0,$F154*$D154*$G154,)),)</f>
        <v>N/A</v>
      </c>
      <c r="O154" s="288" t="str">
        <f>IFERROR(IF($B154="N/A","N/A",IF(MOD(COLUMNS($H$151:O$151)-1,$E154)=0,$F154*$D154*$G154,)),)</f>
        <v>N/A</v>
      </c>
      <c r="P154" s="288" t="str">
        <f>IFERROR(IF($B154="N/A","N/A",IF(MOD(COLUMNS($H$151:P$151)-1,$E154)=0,$F154*$D154*$G154,)),)</f>
        <v>N/A</v>
      </c>
      <c r="Q154" s="288" t="str">
        <f>IFERROR(IF($B154="N/A","N/A",IF(MOD(COLUMNS($H$151:Q$151)-1,$E154)=0,$F154*$D154*$G154,)),)</f>
        <v>N/A</v>
      </c>
      <c r="R154" s="288" t="str">
        <f>IFERROR(IF($B154="N/A","N/A",IF(MOD(COLUMNS($H$151:R$151)-1,$E154)=0,$F154*$D154*$G154,)),)</f>
        <v>N/A</v>
      </c>
      <c r="S154" s="288" t="str">
        <f>IFERROR(IF($B154="N/A","N/A",IF(MOD(COLUMNS($H$151:S$151)-1,$E154)=0,$F154*$D154*$G154,)),)</f>
        <v>N/A</v>
      </c>
      <c r="T154" s="288" t="str">
        <f>IFERROR(IF($B154="N/A","N/A",IF(MOD(COLUMNS($H$151:T$151)-1,$E154)=0,$F154*$D154*$G154,)),)</f>
        <v>N/A</v>
      </c>
      <c r="U154" s="288" t="str">
        <f>IFERROR(IF($B154="N/A","N/A",IF(MOD(COLUMNS($H$151:U$151)-1,$E154)=0,$F154*$D154*$G154,)),)</f>
        <v>N/A</v>
      </c>
      <c r="V154" s="288" t="str">
        <f>IFERROR(IF($B154="N/A","N/A",IF(MOD(COLUMNS($H$151:V$151)-1,$E154)=0,$F154*$D154*$G154,)),)</f>
        <v>N/A</v>
      </c>
      <c r="W154" s="288" t="str">
        <f>IFERROR(IF($B154="N/A","N/A",IF(MOD(COLUMNS($H$151:W$151)-1,$E154)=0,$F154*$D154*$G154,)),)</f>
        <v>N/A</v>
      </c>
    </row>
    <row r="155" spans="2:23">
      <c r="B155" s="70" t="str">
        <f t="array" ref="B155">IF(COUNTIFS(INDEX(Equipment_Allocation_New,0,MATCH($C$107,Unit_codes,0)),"&gt;0")&lt;ROWS('2.2-Equipment input'!$X$8:$X11),"N/A",INDEX('2.2-Equipment input'!B:B,SMALL(IF(INDEX(Equipment_Allocation_New,0,MATCH($C$107,Unit_codes,0))&gt;0,ROW(equipment_ID)),ROW('2.2-Equipment input'!B4))))</f>
        <v>N/A</v>
      </c>
      <c r="C155" s="70" t="str">
        <f>IF($B155="N/A","N/A",INDEX(Equipment_name[],MATCH(B155,equipment_ID,0)))</f>
        <v>N/A</v>
      </c>
      <c r="D155" s="288" t="str">
        <f t="shared" si="61"/>
        <v>N/A</v>
      </c>
      <c r="E155" s="88" t="str">
        <f t="shared" si="62"/>
        <v>N/A</v>
      </c>
      <c r="F155" s="88" t="str">
        <f t="shared" si="63"/>
        <v>N/A</v>
      </c>
      <c r="G155" s="86" t="str">
        <f t="shared" si="64"/>
        <v>N/A</v>
      </c>
      <c r="H155" s="288" t="str">
        <f>IFERROR(IF($B155="N/A","N/A",IF(MOD(COLUMNS(H$151:$H$151)-1,$E155)=0,$F155*$D155*$G155,)),)</f>
        <v>N/A</v>
      </c>
      <c r="I155" s="288" t="str">
        <f>IFERROR(IF($B155="N/A","N/A",IF(MOD(COLUMNS($H$151:I$151)-1,$E155)=0,$F155*$D155*$G155,)),)</f>
        <v>N/A</v>
      </c>
      <c r="J155" s="288" t="str">
        <f>IFERROR(IF($B155="N/A","N/A",IF(MOD(COLUMNS($H$151:J$151)-1,$E155)=0,$F155*$D155*$G155,)),)</f>
        <v>N/A</v>
      </c>
      <c r="K155" s="288" t="str">
        <f>IFERROR(IF($B155="N/A","N/A",IF(MOD(COLUMNS($H$151:K$151)-1,$E155)=0,$F155*$D155*$G155,)),)</f>
        <v>N/A</v>
      </c>
      <c r="L155" s="288" t="str">
        <f>IFERROR(IF($B155="N/A","N/A",IF(MOD(COLUMNS($H$151:L$151)-1,$E155)=0,$F155*$D155*$G155,)),)</f>
        <v>N/A</v>
      </c>
      <c r="M155" s="288" t="str">
        <f>IFERROR(IF($B155="N/A","N/A",IF(MOD(COLUMNS($H$151:M$151)-1,$E155)=0,$F155*$D155*$G155,)),)</f>
        <v>N/A</v>
      </c>
      <c r="N155" s="288" t="str">
        <f>IFERROR(IF($B155="N/A","N/A",IF(MOD(COLUMNS($H$151:N$151)-1,$E155)=0,$F155*$D155*$G155,)),)</f>
        <v>N/A</v>
      </c>
      <c r="O155" s="288" t="str">
        <f>IFERROR(IF($B155="N/A","N/A",IF(MOD(COLUMNS($H$151:O$151)-1,$E155)=0,$F155*$D155*$G155,)),)</f>
        <v>N/A</v>
      </c>
      <c r="P155" s="288" t="str">
        <f>IFERROR(IF($B155="N/A","N/A",IF(MOD(COLUMNS($H$151:P$151)-1,$E155)=0,$F155*$D155*$G155,)),)</f>
        <v>N/A</v>
      </c>
      <c r="Q155" s="288" t="str">
        <f>IFERROR(IF($B155="N/A","N/A",IF(MOD(COLUMNS($H$151:Q$151)-1,$E155)=0,$F155*$D155*$G155,)),)</f>
        <v>N/A</v>
      </c>
      <c r="R155" s="288" t="str">
        <f>IFERROR(IF($B155="N/A","N/A",IF(MOD(COLUMNS($H$151:R$151)-1,$E155)=0,$F155*$D155*$G155,)),)</f>
        <v>N/A</v>
      </c>
      <c r="S155" s="288" t="str">
        <f>IFERROR(IF($B155="N/A","N/A",IF(MOD(COLUMNS($H$151:S$151)-1,$E155)=0,$F155*$D155*$G155,)),)</f>
        <v>N/A</v>
      </c>
      <c r="T155" s="288" t="str">
        <f>IFERROR(IF($B155="N/A","N/A",IF(MOD(COLUMNS($H$151:T$151)-1,$E155)=0,$F155*$D155*$G155,)),)</f>
        <v>N/A</v>
      </c>
      <c r="U155" s="288" t="str">
        <f>IFERROR(IF($B155="N/A","N/A",IF(MOD(COLUMNS($H$151:U$151)-1,$E155)=0,$F155*$D155*$G155,)),)</f>
        <v>N/A</v>
      </c>
      <c r="V155" s="288" t="str">
        <f>IFERROR(IF($B155="N/A","N/A",IF(MOD(COLUMNS($H$151:V$151)-1,$E155)=0,$F155*$D155*$G155,)),)</f>
        <v>N/A</v>
      </c>
      <c r="W155" s="288" t="str">
        <f>IFERROR(IF($B155="N/A","N/A",IF(MOD(COLUMNS($H$151:W$151)-1,$E155)=0,$F155*$D155*$G155,)),)</f>
        <v>N/A</v>
      </c>
    </row>
    <row r="156" spans="2:23">
      <c r="B156" s="70" t="str">
        <f t="array" ref="B156">IF(COUNTIFS(INDEX(Equipment_Allocation_New,0,MATCH($C$107,Unit_codes,0)),"&gt;0")&lt;ROWS('2.2-Equipment input'!$X$8:$X12),"N/A",INDEX('2.2-Equipment input'!B:B,SMALL(IF(INDEX(Equipment_Allocation_New,0,MATCH($C$107,Unit_codes,0))&gt;0,ROW(equipment_ID)),ROW('2.2-Equipment input'!B5))))</f>
        <v>N/A</v>
      </c>
      <c r="C156" s="70" t="str">
        <f>IF($B156="N/A","N/A",INDEX(Equipment_name[],MATCH(B156,equipment_ID,0)))</f>
        <v>N/A</v>
      </c>
      <c r="D156" s="288" t="str">
        <f t="shared" si="61"/>
        <v>N/A</v>
      </c>
      <c r="E156" s="88" t="str">
        <f t="shared" si="62"/>
        <v>N/A</v>
      </c>
      <c r="F156" s="88" t="str">
        <f t="shared" si="63"/>
        <v>N/A</v>
      </c>
      <c r="G156" s="86" t="str">
        <f t="shared" si="64"/>
        <v>N/A</v>
      </c>
      <c r="H156" s="288" t="str">
        <f>IFERROR(IF($B156="N/A","N/A",IF(MOD(COLUMNS(H$151:$H$151)-1,$E156)=0,$F156*$D156*$G156,)),)</f>
        <v>N/A</v>
      </c>
      <c r="I156" s="288" t="str">
        <f>IFERROR(IF($B156="N/A","N/A",IF(MOD(COLUMNS($H$151:I$151)-1,$E156)=0,$F156*$D156*$G156,)),)</f>
        <v>N/A</v>
      </c>
      <c r="J156" s="288" t="str">
        <f>IFERROR(IF($B156="N/A","N/A",IF(MOD(COLUMNS($H$151:J$151)-1,$E156)=0,$F156*$D156*$G156,)),)</f>
        <v>N/A</v>
      </c>
      <c r="K156" s="288" t="str">
        <f>IFERROR(IF($B156="N/A","N/A",IF(MOD(COLUMNS($H$151:K$151)-1,$E156)=0,$F156*$D156*$G156,)),)</f>
        <v>N/A</v>
      </c>
      <c r="L156" s="288" t="str">
        <f>IFERROR(IF($B156="N/A","N/A",IF(MOD(COLUMNS($H$151:L$151)-1,$E156)=0,$F156*$D156*$G156,)),)</f>
        <v>N/A</v>
      </c>
      <c r="M156" s="288" t="str">
        <f>IFERROR(IF($B156="N/A","N/A",IF(MOD(COLUMNS($H$151:M$151)-1,$E156)=0,$F156*$D156*$G156,)),)</f>
        <v>N/A</v>
      </c>
      <c r="N156" s="288" t="str">
        <f>IFERROR(IF($B156="N/A","N/A",IF(MOD(COLUMNS($H$151:N$151)-1,$E156)=0,$F156*$D156*$G156,)),)</f>
        <v>N/A</v>
      </c>
      <c r="O156" s="288" t="str">
        <f>IFERROR(IF($B156="N/A","N/A",IF(MOD(COLUMNS($H$151:O$151)-1,$E156)=0,$F156*$D156*$G156,)),)</f>
        <v>N/A</v>
      </c>
      <c r="P156" s="288" t="str">
        <f>IFERROR(IF($B156="N/A","N/A",IF(MOD(COLUMNS($H$151:P$151)-1,$E156)=0,$F156*$D156*$G156,)),)</f>
        <v>N/A</v>
      </c>
      <c r="Q156" s="288" t="str">
        <f>IFERROR(IF($B156="N/A","N/A",IF(MOD(COLUMNS($H$151:Q$151)-1,$E156)=0,$F156*$D156*$G156,)),)</f>
        <v>N/A</v>
      </c>
      <c r="R156" s="288" t="str">
        <f>IFERROR(IF($B156="N/A","N/A",IF(MOD(COLUMNS($H$151:R$151)-1,$E156)=0,$F156*$D156*$G156,)),)</f>
        <v>N/A</v>
      </c>
      <c r="S156" s="288" t="str">
        <f>IFERROR(IF($B156="N/A","N/A",IF(MOD(COLUMNS($H$151:S$151)-1,$E156)=0,$F156*$D156*$G156,)),)</f>
        <v>N/A</v>
      </c>
      <c r="T156" s="288" t="str">
        <f>IFERROR(IF($B156="N/A","N/A",IF(MOD(COLUMNS($H$151:T$151)-1,$E156)=0,$F156*$D156*$G156,)),)</f>
        <v>N/A</v>
      </c>
      <c r="U156" s="288" t="str">
        <f>IFERROR(IF($B156="N/A","N/A",IF(MOD(COLUMNS($H$151:U$151)-1,$E156)=0,$F156*$D156*$G156,)),)</f>
        <v>N/A</v>
      </c>
      <c r="V156" s="288" t="str">
        <f>IFERROR(IF($B156="N/A","N/A",IF(MOD(COLUMNS($H$151:V$151)-1,$E156)=0,$F156*$D156*$G156,)),)</f>
        <v>N/A</v>
      </c>
      <c r="W156" s="288" t="str">
        <f>IFERROR(IF($B156="N/A","N/A",IF(MOD(COLUMNS($H$151:W$151)-1,$E156)=0,$F156*$D156*$G156,)),)</f>
        <v>N/A</v>
      </c>
    </row>
    <row r="157" spans="2:23">
      <c r="B157" s="70" t="str">
        <f t="array" ref="B157">IF(COUNTIFS(INDEX(Equipment_Allocation_New,0,MATCH($C$107,Unit_codes,0)),"&gt;0")&lt;ROWS('2.2-Equipment input'!$X$8:$X13),"N/A",INDEX('2.2-Equipment input'!B:B,SMALL(IF(INDEX(Equipment_Allocation_New,0,MATCH($C$107,Unit_codes,0))&gt;0,ROW(equipment_ID)),ROW('2.2-Equipment input'!B6))))</f>
        <v>N/A</v>
      </c>
      <c r="C157" s="70" t="str">
        <f>IF($B157="N/A","N/A",INDEX(Equipment_name[],MATCH(B157,equipment_ID,0)))</f>
        <v>N/A</v>
      </c>
      <c r="D157" s="288" t="str">
        <f t="shared" si="61"/>
        <v>N/A</v>
      </c>
      <c r="E157" s="88" t="str">
        <f t="shared" si="62"/>
        <v>N/A</v>
      </c>
      <c r="F157" s="88" t="str">
        <f t="shared" si="63"/>
        <v>N/A</v>
      </c>
      <c r="G157" s="86" t="str">
        <f t="shared" si="64"/>
        <v>N/A</v>
      </c>
      <c r="H157" s="288" t="str">
        <f>IFERROR(IF($B157="N/A","N/A",IF(MOD(COLUMNS(H$151:$H$151)-1,$E157)=0,$F157*$D157*$G157,)),)</f>
        <v>N/A</v>
      </c>
      <c r="I157" s="288" t="str">
        <f>IFERROR(IF($B157="N/A","N/A",IF(MOD(COLUMNS($H$151:I$151)-1,$E157)=0,$F157*$D157*$G157,)),)</f>
        <v>N/A</v>
      </c>
      <c r="J157" s="288" t="str">
        <f>IFERROR(IF($B157="N/A","N/A",IF(MOD(COLUMNS($H$151:J$151)-1,$E157)=0,$F157*$D157*$G157,)),)</f>
        <v>N/A</v>
      </c>
      <c r="K157" s="288" t="str">
        <f>IFERROR(IF($B157="N/A","N/A",IF(MOD(COLUMNS($H$151:K$151)-1,$E157)=0,$F157*$D157*$G157,)),)</f>
        <v>N/A</v>
      </c>
      <c r="L157" s="288" t="str">
        <f>IFERROR(IF($B157="N/A","N/A",IF(MOD(COLUMNS($H$151:L$151)-1,$E157)=0,$F157*$D157*$G157,)),)</f>
        <v>N/A</v>
      </c>
      <c r="M157" s="288" t="str">
        <f>IFERROR(IF($B157="N/A","N/A",IF(MOD(COLUMNS($H$151:M$151)-1,$E157)=0,$F157*$D157*$G157,)),)</f>
        <v>N/A</v>
      </c>
      <c r="N157" s="288" t="str">
        <f>IFERROR(IF($B157="N/A","N/A",IF(MOD(COLUMNS($H$151:N$151)-1,$E157)=0,$F157*$D157*$G157,)),)</f>
        <v>N/A</v>
      </c>
      <c r="O157" s="288" t="str">
        <f>IFERROR(IF($B157="N/A","N/A",IF(MOD(COLUMNS($H$151:O$151)-1,$E157)=0,$F157*$D157*$G157,)),)</f>
        <v>N/A</v>
      </c>
      <c r="P157" s="288" t="str">
        <f>IFERROR(IF($B157="N/A","N/A",IF(MOD(COLUMNS($H$151:P$151)-1,$E157)=0,$F157*$D157*$G157,)),)</f>
        <v>N/A</v>
      </c>
      <c r="Q157" s="288" t="str">
        <f>IFERROR(IF($B157="N/A","N/A",IF(MOD(COLUMNS($H$151:Q$151)-1,$E157)=0,$F157*$D157*$G157,)),)</f>
        <v>N/A</v>
      </c>
      <c r="R157" s="288" t="str">
        <f>IFERROR(IF($B157="N/A","N/A",IF(MOD(COLUMNS($H$151:R$151)-1,$E157)=0,$F157*$D157*$G157,)),)</f>
        <v>N/A</v>
      </c>
      <c r="S157" s="288" t="str">
        <f>IFERROR(IF($B157="N/A","N/A",IF(MOD(COLUMNS($H$151:S$151)-1,$E157)=0,$F157*$D157*$G157,)),)</f>
        <v>N/A</v>
      </c>
      <c r="T157" s="288" t="str">
        <f>IFERROR(IF($B157="N/A","N/A",IF(MOD(COLUMNS($H$151:T$151)-1,$E157)=0,$F157*$D157*$G157,)),)</f>
        <v>N/A</v>
      </c>
      <c r="U157" s="288" t="str">
        <f>IFERROR(IF($B157="N/A","N/A",IF(MOD(COLUMNS($H$151:U$151)-1,$E157)=0,$F157*$D157*$G157,)),)</f>
        <v>N/A</v>
      </c>
      <c r="V157" s="288" t="str">
        <f>IFERROR(IF($B157="N/A","N/A",IF(MOD(COLUMNS($H$151:V$151)-1,$E157)=0,$F157*$D157*$G157,)),)</f>
        <v>N/A</v>
      </c>
      <c r="W157" s="288" t="str">
        <f>IFERROR(IF($B157="N/A","N/A",IF(MOD(COLUMNS($H$151:W$151)-1,$E157)=0,$F157*$D157*$G157,)),)</f>
        <v>N/A</v>
      </c>
    </row>
    <row r="158" spans="2:23">
      <c r="B158" s="70" t="str">
        <f t="array" ref="B158">IF(COUNTIFS(INDEX(Equipment_Allocation_New,0,MATCH($C$107,Unit_codes,0)),"&gt;0")&lt;ROWS('2.2-Equipment input'!$X$8:$X14),"N/A",INDEX('2.2-Equipment input'!B:B,SMALL(IF(INDEX(Equipment_Allocation_New,0,MATCH($C$107,Unit_codes,0))&gt;0,ROW(equipment_ID)),ROW('2.2-Equipment input'!B7))))</f>
        <v>N/A</v>
      </c>
      <c r="C158" s="70" t="str">
        <f>IF($B158="N/A","N/A",INDEX(Equipment_name[],MATCH(B158,equipment_ID,0)))</f>
        <v>N/A</v>
      </c>
      <c r="D158" s="288" t="str">
        <f t="shared" si="61"/>
        <v>N/A</v>
      </c>
      <c r="E158" s="88" t="str">
        <f t="shared" si="62"/>
        <v>N/A</v>
      </c>
      <c r="F158" s="88" t="str">
        <f t="shared" si="63"/>
        <v>N/A</v>
      </c>
      <c r="G158" s="86" t="str">
        <f t="shared" si="64"/>
        <v>N/A</v>
      </c>
      <c r="H158" s="288" t="str">
        <f>IFERROR(IF($B158="N/A","N/A",IF(MOD(COLUMNS(H$151:$H$151)-1,$E158)=0,$F158*$D158*$G158,)),)</f>
        <v>N/A</v>
      </c>
      <c r="I158" s="288" t="str">
        <f>IFERROR(IF($B158="N/A","N/A",IF(MOD(COLUMNS($H$151:I$151)-1,$E158)=0,$F158*$D158*$G158,)),)</f>
        <v>N/A</v>
      </c>
      <c r="J158" s="288" t="str">
        <f>IFERROR(IF($B158="N/A","N/A",IF(MOD(COLUMNS($H$151:J$151)-1,$E158)=0,$F158*$D158*$G158,)),)</f>
        <v>N/A</v>
      </c>
      <c r="K158" s="288" t="str">
        <f>IFERROR(IF($B158="N/A","N/A",IF(MOD(COLUMNS($H$151:K$151)-1,$E158)=0,$F158*$D158*$G158,)),)</f>
        <v>N/A</v>
      </c>
      <c r="L158" s="288" t="str">
        <f>IFERROR(IF($B158="N/A","N/A",IF(MOD(COLUMNS($H$151:L$151)-1,$E158)=0,$F158*$D158*$G158,)),)</f>
        <v>N/A</v>
      </c>
      <c r="M158" s="288" t="str">
        <f>IFERROR(IF($B158="N/A","N/A",IF(MOD(COLUMNS($H$151:M$151)-1,$E158)=0,$F158*$D158*$G158,)),)</f>
        <v>N/A</v>
      </c>
      <c r="N158" s="288" t="str">
        <f>IFERROR(IF($B158="N/A","N/A",IF(MOD(COLUMNS($H$151:N$151)-1,$E158)=0,$F158*$D158*$G158,)),)</f>
        <v>N/A</v>
      </c>
      <c r="O158" s="288" t="str">
        <f>IFERROR(IF($B158="N/A","N/A",IF(MOD(COLUMNS($H$151:O$151)-1,$E158)=0,$F158*$D158*$G158,)),)</f>
        <v>N/A</v>
      </c>
      <c r="P158" s="288" t="str">
        <f>IFERROR(IF($B158="N/A","N/A",IF(MOD(COLUMNS($H$151:P$151)-1,$E158)=0,$F158*$D158*$G158,)),)</f>
        <v>N/A</v>
      </c>
      <c r="Q158" s="288" t="str">
        <f>IFERROR(IF($B158="N/A","N/A",IF(MOD(COLUMNS($H$151:Q$151)-1,$E158)=0,$F158*$D158*$G158,)),)</f>
        <v>N/A</v>
      </c>
      <c r="R158" s="288" t="str">
        <f>IFERROR(IF($B158="N/A","N/A",IF(MOD(COLUMNS($H$151:R$151)-1,$E158)=0,$F158*$D158*$G158,)),)</f>
        <v>N/A</v>
      </c>
      <c r="S158" s="288" t="str">
        <f>IFERROR(IF($B158="N/A","N/A",IF(MOD(COLUMNS($H$151:S$151)-1,$E158)=0,$F158*$D158*$G158,)),)</f>
        <v>N/A</v>
      </c>
      <c r="T158" s="288" t="str">
        <f>IFERROR(IF($B158="N/A","N/A",IF(MOD(COLUMNS($H$151:T$151)-1,$E158)=0,$F158*$D158*$G158,)),)</f>
        <v>N/A</v>
      </c>
      <c r="U158" s="288" t="str">
        <f>IFERROR(IF($B158="N/A","N/A",IF(MOD(COLUMNS($H$151:U$151)-1,$E158)=0,$F158*$D158*$G158,)),)</f>
        <v>N/A</v>
      </c>
      <c r="V158" s="288" t="str">
        <f>IFERROR(IF($B158="N/A","N/A",IF(MOD(COLUMNS($H$151:V$151)-1,$E158)=0,$F158*$D158*$G158,)),)</f>
        <v>N/A</v>
      </c>
      <c r="W158" s="288" t="str">
        <f>IFERROR(IF($B158="N/A","N/A",IF(MOD(COLUMNS($H$151:W$151)-1,$E158)=0,$F158*$D158*$G158,)),)</f>
        <v>N/A</v>
      </c>
    </row>
    <row r="159" spans="2:23">
      <c r="B159" s="70" t="str">
        <f t="array" ref="B159">IF(COUNTIFS(INDEX(Equipment_Allocation_New,0,MATCH($C$107,Unit_codes,0)),"&gt;0")&lt;ROWS('2.2-Equipment input'!$X$8:$X15),"N/A",INDEX('2.2-Equipment input'!B:B,SMALL(IF(INDEX(Equipment_Allocation_New,0,MATCH($C$107,Unit_codes,0))&gt;0,ROW(equipment_ID)),ROW('2.2-Equipment input'!B8))))</f>
        <v>N/A</v>
      </c>
      <c r="C159" s="70" t="str">
        <f>IF($B159="N/A","N/A",INDEX(Equipment_name[],MATCH(B159,equipment_ID,0)))</f>
        <v>N/A</v>
      </c>
      <c r="D159" s="288" t="str">
        <f t="shared" si="61"/>
        <v>N/A</v>
      </c>
      <c r="E159" s="88" t="str">
        <f t="shared" si="62"/>
        <v>N/A</v>
      </c>
      <c r="F159" s="88" t="str">
        <f t="shared" si="63"/>
        <v>N/A</v>
      </c>
      <c r="G159" s="86" t="str">
        <f t="shared" si="64"/>
        <v>N/A</v>
      </c>
      <c r="H159" s="288" t="str">
        <f>IFERROR(IF($B159="N/A","N/A",IF(MOD(COLUMNS(H$151:$H$151)-1,$E159)=0,$F159*$D159*$G159,)),)</f>
        <v>N/A</v>
      </c>
      <c r="I159" s="288" t="str">
        <f>IFERROR(IF($B159="N/A","N/A",IF(MOD(COLUMNS($H$151:I$151)-1,$E159)=0,$F159*$D159*$G159,)),)</f>
        <v>N/A</v>
      </c>
      <c r="J159" s="288" t="str">
        <f>IFERROR(IF($B159="N/A","N/A",IF(MOD(COLUMNS($H$151:J$151)-1,$E159)=0,$F159*$D159*$G159,)),)</f>
        <v>N/A</v>
      </c>
      <c r="K159" s="288" t="str">
        <f>IFERROR(IF($B159="N/A","N/A",IF(MOD(COLUMNS($H$151:K$151)-1,$E159)=0,$F159*$D159*$G159,)),)</f>
        <v>N/A</v>
      </c>
      <c r="L159" s="288" t="str">
        <f>IFERROR(IF($B159="N/A","N/A",IF(MOD(COLUMNS($H$151:L$151)-1,$E159)=0,$F159*$D159*$G159,)),)</f>
        <v>N/A</v>
      </c>
      <c r="M159" s="288" t="str">
        <f>IFERROR(IF($B159="N/A","N/A",IF(MOD(COLUMNS($H$151:M$151)-1,$E159)=0,$F159*$D159*$G159,)),)</f>
        <v>N/A</v>
      </c>
      <c r="N159" s="288" t="str">
        <f>IFERROR(IF($B159="N/A","N/A",IF(MOD(COLUMNS($H$151:N$151)-1,$E159)=0,$F159*$D159*$G159,)),)</f>
        <v>N/A</v>
      </c>
      <c r="O159" s="288" t="str">
        <f>IFERROR(IF($B159="N/A","N/A",IF(MOD(COLUMNS($H$151:O$151)-1,$E159)=0,$F159*$D159*$G159,)),)</f>
        <v>N/A</v>
      </c>
      <c r="P159" s="288" t="str">
        <f>IFERROR(IF($B159="N/A","N/A",IF(MOD(COLUMNS($H$151:P$151)-1,$E159)=0,$F159*$D159*$G159,)),)</f>
        <v>N/A</v>
      </c>
      <c r="Q159" s="288" t="str">
        <f>IFERROR(IF($B159="N/A","N/A",IF(MOD(COLUMNS($H$151:Q$151)-1,$E159)=0,$F159*$D159*$G159,)),)</f>
        <v>N/A</v>
      </c>
      <c r="R159" s="288" t="str">
        <f>IFERROR(IF($B159="N/A","N/A",IF(MOD(COLUMNS($H$151:R$151)-1,$E159)=0,$F159*$D159*$G159,)),)</f>
        <v>N/A</v>
      </c>
      <c r="S159" s="288" t="str">
        <f>IFERROR(IF($B159="N/A","N/A",IF(MOD(COLUMNS($H$151:S$151)-1,$E159)=0,$F159*$D159*$G159,)),)</f>
        <v>N/A</v>
      </c>
      <c r="T159" s="288" t="str">
        <f>IFERROR(IF($B159="N/A","N/A",IF(MOD(COLUMNS($H$151:T$151)-1,$E159)=0,$F159*$D159*$G159,)),)</f>
        <v>N/A</v>
      </c>
      <c r="U159" s="288" t="str">
        <f>IFERROR(IF($B159="N/A","N/A",IF(MOD(COLUMNS($H$151:U$151)-1,$E159)=0,$F159*$D159*$G159,)),)</f>
        <v>N/A</v>
      </c>
      <c r="V159" s="288" t="str">
        <f>IFERROR(IF($B159="N/A","N/A",IF(MOD(COLUMNS($H$151:V$151)-1,$E159)=0,$F159*$D159*$G159,)),)</f>
        <v>N/A</v>
      </c>
      <c r="W159" s="288" t="str">
        <f>IFERROR(IF($B159="N/A","N/A",IF(MOD(COLUMNS($H$151:W$151)-1,$E159)=0,$F159*$D159*$G159,)),)</f>
        <v>N/A</v>
      </c>
    </row>
    <row r="160" spans="2:23">
      <c r="B160" s="70" t="str">
        <f t="array" ref="B160">IF(COUNTIFS(INDEX(Equipment_Allocation_New,0,MATCH($C$107,Unit_codes,0)),"&gt;0")&lt;ROWS('2.2-Equipment input'!$X$8:$X16),"N/A",INDEX('2.2-Equipment input'!B:B,SMALL(IF(INDEX(Equipment_Allocation_New,0,MATCH($C$107,Unit_codes,0))&gt;0,ROW(equipment_ID)),ROW('2.2-Equipment input'!B9))))</f>
        <v>N/A</v>
      </c>
      <c r="C160" s="70" t="str">
        <f>IF($B160="N/A","N/A",INDEX(Equipment_name[],MATCH(B160,equipment_ID,0)))</f>
        <v>N/A</v>
      </c>
      <c r="D160" s="288" t="str">
        <f t="shared" si="61"/>
        <v>N/A</v>
      </c>
      <c r="E160" s="88" t="str">
        <f t="shared" si="62"/>
        <v>N/A</v>
      </c>
      <c r="F160" s="88" t="str">
        <f t="shared" si="63"/>
        <v>N/A</v>
      </c>
      <c r="G160" s="86" t="str">
        <f t="shared" si="64"/>
        <v>N/A</v>
      </c>
      <c r="H160" s="288" t="str">
        <f>IFERROR(IF($B160="N/A","N/A",IF(MOD(COLUMNS(H$151:$H$151)-1,$E160)=0,$F160*$D160*$G160,)),)</f>
        <v>N/A</v>
      </c>
      <c r="I160" s="288" t="str">
        <f>IFERROR(IF($B160="N/A","N/A",IF(MOD(COLUMNS($H$151:I$151)-1,$E160)=0,$F160*$D160*$G160,)),)</f>
        <v>N/A</v>
      </c>
      <c r="J160" s="288" t="str">
        <f>IFERROR(IF($B160="N/A","N/A",IF(MOD(COLUMNS($H$151:J$151)-1,$E160)=0,$F160*$D160*$G160,)),)</f>
        <v>N/A</v>
      </c>
      <c r="K160" s="288" t="str">
        <f>IFERROR(IF($B160="N/A","N/A",IF(MOD(COLUMNS($H$151:K$151)-1,$E160)=0,$F160*$D160*$G160,)),)</f>
        <v>N/A</v>
      </c>
      <c r="L160" s="288" t="str">
        <f>IFERROR(IF($B160="N/A","N/A",IF(MOD(COLUMNS($H$151:L$151)-1,$E160)=0,$F160*$D160*$G160,)),)</f>
        <v>N/A</v>
      </c>
      <c r="M160" s="288" t="str">
        <f>IFERROR(IF($B160="N/A","N/A",IF(MOD(COLUMNS($H$151:M$151)-1,$E160)=0,$F160*$D160*$G160,)),)</f>
        <v>N/A</v>
      </c>
      <c r="N160" s="288" t="str">
        <f>IFERROR(IF($B160="N/A","N/A",IF(MOD(COLUMNS($H$151:N$151)-1,$E160)=0,$F160*$D160*$G160,)),)</f>
        <v>N/A</v>
      </c>
      <c r="O160" s="288" t="str">
        <f>IFERROR(IF($B160="N/A","N/A",IF(MOD(COLUMNS($H$151:O$151)-1,$E160)=0,$F160*$D160*$G160,)),)</f>
        <v>N/A</v>
      </c>
      <c r="P160" s="288" t="str">
        <f>IFERROR(IF($B160="N/A","N/A",IF(MOD(COLUMNS($H$151:P$151)-1,$E160)=0,$F160*$D160*$G160,)),)</f>
        <v>N/A</v>
      </c>
      <c r="Q160" s="288" t="str">
        <f>IFERROR(IF($B160="N/A","N/A",IF(MOD(COLUMNS($H$151:Q$151)-1,$E160)=0,$F160*$D160*$G160,)),)</f>
        <v>N/A</v>
      </c>
      <c r="R160" s="288" t="str">
        <f>IFERROR(IF($B160="N/A","N/A",IF(MOD(COLUMNS($H$151:R$151)-1,$E160)=0,$F160*$D160*$G160,)),)</f>
        <v>N/A</v>
      </c>
      <c r="S160" s="288" t="str">
        <f>IFERROR(IF($B160="N/A","N/A",IF(MOD(COLUMNS($H$151:S$151)-1,$E160)=0,$F160*$D160*$G160,)),)</f>
        <v>N/A</v>
      </c>
      <c r="T160" s="288" t="str">
        <f>IFERROR(IF($B160="N/A","N/A",IF(MOD(COLUMNS($H$151:T$151)-1,$E160)=0,$F160*$D160*$G160,)),)</f>
        <v>N/A</v>
      </c>
      <c r="U160" s="288" t="str">
        <f>IFERROR(IF($B160="N/A","N/A",IF(MOD(COLUMNS($H$151:U$151)-1,$E160)=0,$F160*$D160*$G160,)),)</f>
        <v>N/A</v>
      </c>
      <c r="V160" s="288" t="str">
        <f>IFERROR(IF($B160="N/A","N/A",IF(MOD(COLUMNS($H$151:V$151)-1,$E160)=0,$F160*$D160*$G160,)),)</f>
        <v>N/A</v>
      </c>
      <c r="W160" s="288" t="str">
        <f>IFERROR(IF($B160="N/A","N/A",IF(MOD(COLUMNS($H$151:W$151)-1,$E160)=0,$F160*$D160*$G160,)),)</f>
        <v>N/A</v>
      </c>
    </row>
    <row r="161" spans="2:23">
      <c r="B161" s="70" t="str">
        <f t="array" ref="B161">IF(COUNTIFS(INDEX(Equipment_Allocation_New,0,MATCH($C$107,Unit_codes,0)),"&gt;0")&lt;ROWS('2.2-Equipment input'!$X$8:$X17),"N/A",INDEX('2.2-Equipment input'!B:B,SMALL(IF(INDEX(Equipment_Allocation_New,0,MATCH($C$107,Unit_codes,0))&gt;0,ROW(equipment_ID)),ROW('2.2-Equipment input'!B10))))</f>
        <v>N/A</v>
      </c>
      <c r="C161" s="70" t="str">
        <f>IF($B161="N/A","N/A",INDEX(Equipment_name[],MATCH(B161,equipment_ID,0)))</f>
        <v>N/A</v>
      </c>
      <c r="D161" s="288" t="str">
        <f t="shared" si="61"/>
        <v>N/A</v>
      </c>
      <c r="E161" s="88" t="str">
        <f t="shared" si="62"/>
        <v>N/A</v>
      </c>
      <c r="F161" s="88" t="str">
        <f t="shared" si="63"/>
        <v>N/A</v>
      </c>
      <c r="G161" s="88" t="str">
        <f t="shared" si="64"/>
        <v>N/A</v>
      </c>
      <c r="H161" s="288" t="str">
        <f>IFERROR(IF($B161="N/A","N/A",IF(MOD(COLUMNS(H$151:$H$151)-1,$E161)=0,$F161*$D161*$G161,)),)</f>
        <v>N/A</v>
      </c>
      <c r="I161" s="288" t="str">
        <f>IFERROR(IF($B161="N/A","N/A",IF(MOD(COLUMNS($H$151:I$151)-1,$E161)=0,$F161*$D161*$G161,)),)</f>
        <v>N/A</v>
      </c>
      <c r="J161" s="288" t="str">
        <f>IFERROR(IF($B161="N/A","N/A",IF(MOD(COLUMNS($H$151:J$151)-1,$E161)=0,$F161*$D161*$G161,)),)</f>
        <v>N/A</v>
      </c>
      <c r="K161" s="288" t="str">
        <f>IFERROR(IF($B161="N/A","N/A",IF(MOD(COLUMNS($H$151:K$151)-1,$E161)=0,$F161*$D161*$G161,)),)</f>
        <v>N/A</v>
      </c>
      <c r="L161" s="288" t="str">
        <f>IFERROR(IF($B161="N/A","N/A",IF(MOD(COLUMNS($H$151:L$151)-1,$E161)=0,$F161*$D161*$G161,)),)</f>
        <v>N/A</v>
      </c>
      <c r="M161" s="288" t="str">
        <f>IFERROR(IF($B161="N/A","N/A",IF(MOD(COLUMNS($H$151:M$151)-1,$E161)=0,$F161*$D161*$G161,)),)</f>
        <v>N/A</v>
      </c>
      <c r="N161" s="288" t="str">
        <f>IFERROR(IF($B161="N/A","N/A",IF(MOD(COLUMNS($H$151:N$151)-1,$E161)=0,$F161*$D161*$G161,)),)</f>
        <v>N/A</v>
      </c>
      <c r="O161" s="288" t="str">
        <f>IFERROR(IF($B161="N/A","N/A",IF(MOD(COLUMNS($H$151:O$151)-1,$E161)=0,$F161*$D161*$G161,)),)</f>
        <v>N/A</v>
      </c>
      <c r="P161" s="288" t="str">
        <f>IFERROR(IF($B161="N/A","N/A",IF(MOD(COLUMNS($H$151:P$151)-1,$E161)=0,$F161*$D161*$G161,)),)</f>
        <v>N/A</v>
      </c>
      <c r="Q161" s="288" t="str">
        <f>IFERROR(IF($B161="N/A","N/A",IF(MOD(COLUMNS($H$151:Q$151)-1,$E161)=0,$F161*$D161*$G161,)),)</f>
        <v>N/A</v>
      </c>
      <c r="R161" s="288" t="str">
        <f>IFERROR(IF($B161="N/A","N/A",IF(MOD(COLUMNS($H$151:R$151)-1,$E161)=0,$F161*$D161*$G161,)),)</f>
        <v>N/A</v>
      </c>
      <c r="S161" s="288" t="str">
        <f>IFERROR(IF($B161="N/A","N/A",IF(MOD(COLUMNS($H$151:S$151)-1,$E161)=0,$F161*$D161*$G161,)),)</f>
        <v>N/A</v>
      </c>
      <c r="T161" s="288" t="str">
        <f>IFERROR(IF($B161="N/A","N/A",IF(MOD(COLUMNS($H$151:T$151)-1,$E161)=0,$F161*$D161*$G161,)),)</f>
        <v>N/A</v>
      </c>
      <c r="U161" s="288" t="str">
        <f>IFERROR(IF($B161="N/A","N/A",IF(MOD(COLUMNS($H$151:U$151)-1,$E161)=0,$F161*$D161*$G161,)),)</f>
        <v>N/A</v>
      </c>
      <c r="V161" s="288" t="str">
        <f>IFERROR(IF($B161="N/A","N/A",IF(MOD(COLUMNS($H$151:V$151)-1,$E161)=0,$F161*$D161*$G161,)),)</f>
        <v>N/A</v>
      </c>
      <c r="W161" s="288" t="str">
        <f>IFERROR(IF($B161="N/A","N/A",IF(MOD(COLUMNS($H$151:W$151)-1,$E161)=0,$F161*$D161*$G161,)),)</f>
        <v>N/A</v>
      </c>
    </row>
    <row r="162" spans="2:23">
      <c r="B162" s="70" t="str">
        <f t="array" ref="B162">IF(COUNTIFS(INDEX(Equipment_Allocation_New,0,MATCH($C$107,Unit_codes,0)),"&gt;0")&lt;ROWS('2.2-Equipment input'!$X$8:$X18),"N/A",INDEX('2.2-Equipment input'!B:B,SMALL(IF(INDEX(Equipment_Allocation_New,0,MATCH($C$107,Unit_codes,0))&gt;0,ROW(equipment_ID)),ROW('2.2-Equipment input'!B11))))</f>
        <v>N/A</v>
      </c>
      <c r="C162" s="70" t="str">
        <f>IF($B162="N/A","N/A",INDEX(Equipment_name[],MATCH(B162,equipment_ID,0)))</f>
        <v>N/A</v>
      </c>
      <c r="D162" s="288" t="str">
        <f t="shared" si="61"/>
        <v>N/A</v>
      </c>
      <c r="E162" s="88" t="str">
        <f t="shared" si="62"/>
        <v>N/A</v>
      </c>
      <c r="F162" s="88" t="str">
        <f t="shared" si="63"/>
        <v>N/A</v>
      </c>
      <c r="G162" s="88" t="str">
        <f t="shared" si="64"/>
        <v>N/A</v>
      </c>
      <c r="H162" s="288" t="str">
        <f>IFERROR(IF($B162="N/A","N/A",IF(MOD(COLUMNS(H$151:$H$151)-1,$E162)=0,$F162*$D162*$G162,)),)</f>
        <v>N/A</v>
      </c>
      <c r="I162" s="288" t="str">
        <f>IFERROR(IF($B162="N/A","N/A",IF(MOD(COLUMNS($H$151:I$151)-1,$E162)=0,$F162*$D162*$G162,)),)</f>
        <v>N/A</v>
      </c>
      <c r="J162" s="288" t="str">
        <f>IFERROR(IF($B162="N/A","N/A",IF(MOD(COLUMNS($H$151:J$151)-1,$E162)=0,$F162*$D162*$G162,)),)</f>
        <v>N/A</v>
      </c>
      <c r="K162" s="288" t="str">
        <f>IFERROR(IF($B162="N/A","N/A",IF(MOD(COLUMNS($H$151:K$151)-1,$E162)=0,$F162*$D162*$G162,)),)</f>
        <v>N/A</v>
      </c>
      <c r="L162" s="288" t="str">
        <f>IFERROR(IF($B162="N/A","N/A",IF(MOD(COLUMNS($H$151:L$151)-1,$E162)=0,$F162*$D162*$G162,)),)</f>
        <v>N/A</v>
      </c>
      <c r="M162" s="288" t="str">
        <f>IFERROR(IF($B162="N/A","N/A",IF(MOD(COLUMNS($H$151:M$151)-1,$E162)=0,$F162*$D162*$G162,)),)</f>
        <v>N/A</v>
      </c>
      <c r="N162" s="288" t="str">
        <f>IFERROR(IF($B162="N/A","N/A",IF(MOD(COLUMNS($H$151:N$151)-1,$E162)=0,$F162*$D162*$G162,)),)</f>
        <v>N/A</v>
      </c>
      <c r="O162" s="288" t="str">
        <f>IFERROR(IF($B162="N/A","N/A",IF(MOD(COLUMNS($H$151:O$151)-1,$E162)=0,$F162*$D162*$G162,)),)</f>
        <v>N/A</v>
      </c>
      <c r="P162" s="288" t="str">
        <f>IFERROR(IF($B162="N/A","N/A",IF(MOD(COLUMNS($H$151:P$151)-1,$E162)=0,$F162*$D162*$G162,)),)</f>
        <v>N/A</v>
      </c>
      <c r="Q162" s="288" t="str">
        <f>IFERROR(IF($B162="N/A","N/A",IF(MOD(COLUMNS($H$151:Q$151)-1,$E162)=0,$F162*$D162*$G162,)),)</f>
        <v>N/A</v>
      </c>
      <c r="R162" s="288" t="str">
        <f>IFERROR(IF($B162="N/A","N/A",IF(MOD(COLUMNS($H$151:R$151)-1,$E162)=0,$F162*$D162*$G162,)),)</f>
        <v>N/A</v>
      </c>
      <c r="S162" s="288" t="str">
        <f>IFERROR(IF($B162="N/A","N/A",IF(MOD(COLUMNS($H$151:S$151)-1,$E162)=0,$F162*$D162*$G162,)),)</f>
        <v>N/A</v>
      </c>
      <c r="T162" s="288" t="str">
        <f>IFERROR(IF($B162="N/A","N/A",IF(MOD(COLUMNS($H$151:T$151)-1,$E162)=0,$F162*$D162*$G162,)),)</f>
        <v>N/A</v>
      </c>
      <c r="U162" s="288" t="str">
        <f>IFERROR(IF($B162="N/A","N/A",IF(MOD(COLUMNS($H$151:U$151)-1,$E162)=0,$F162*$D162*$G162,)),)</f>
        <v>N/A</v>
      </c>
      <c r="V162" s="288" t="str">
        <f>IFERROR(IF($B162="N/A","N/A",IF(MOD(COLUMNS($H$151:V$151)-1,$E162)=0,$F162*$D162*$G162,)),)</f>
        <v>N/A</v>
      </c>
      <c r="W162" s="288" t="str">
        <f>IFERROR(IF($B162="N/A","N/A",IF(MOD(COLUMNS($H$151:W$151)-1,$E162)=0,$F162*$D162*$G162,)),)</f>
        <v>N/A</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61"/>
        <v>N/A</v>
      </c>
      <c r="E163" s="88" t="str">
        <f t="shared" si="62"/>
        <v>N/A</v>
      </c>
      <c r="F163" s="88" t="str">
        <f t="shared" si="63"/>
        <v>N/A</v>
      </c>
      <c r="G163" s="88" t="str">
        <f t="shared" si="64"/>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61"/>
        <v>N/A</v>
      </c>
      <c r="E164" s="88" t="str">
        <f t="shared" si="62"/>
        <v>N/A</v>
      </c>
      <c r="F164" s="88" t="str">
        <f t="shared" si="63"/>
        <v>N/A</v>
      </c>
      <c r="G164" s="88" t="str">
        <f t="shared" si="64"/>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61"/>
        <v>N/A</v>
      </c>
      <c r="E165" s="88" t="str">
        <f t="shared" si="62"/>
        <v>N/A</v>
      </c>
      <c r="F165" s="88" t="str">
        <f t="shared" si="63"/>
        <v>N/A</v>
      </c>
      <c r="G165" s="88" t="str">
        <f t="shared" si="64"/>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61"/>
        <v>N/A</v>
      </c>
      <c r="E166" s="88" t="str">
        <f t="shared" si="62"/>
        <v>N/A</v>
      </c>
      <c r="F166" s="88" t="str">
        <f t="shared" si="63"/>
        <v>N/A</v>
      </c>
      <c r="G166" s="88" t="str">
        <f t="shared" si="64"/>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61"/>
        <v>N/A</v>
      </c>
      <c r="E167" s="88" t="str">
        <f t="shared" si="62"/>
        <v>N/A</v>
      </c>
      <c r="F167" s="88" t="str">
        <f t="shared" si="63"/>
        <v>N/A</v>
      </c>
      <c r="G167" s="88" t="str">
        <f t="shared" si="64"/>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61"/>
        <v>N/A</v>
      </c>
      <c r="E168" s="88" t="str">
        <f t="shared" si="62"/>
        <v>N/A</v>
      </c>
      <c r="F168" s="88" t="str">
        <f t="shared" si="63"/>
        <v>N/A</v>
      </c>
      <c r="G168" s="88" t="str">
        <f t="shared" si="64"/>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61"/>
        <v>N/A</v>
      </c>
      <c r="E169" s="88" t="str">
        <f t="shared" si="62"/>
        <v>N/A</v>
      </c>
      <c r="F169" s="88" t="str">
        <f t="shared" si="63"/>
        <v>N/A</v>
      </c>
      <c r="G169" s="88" t="str">
        <f t="shared" si="64"/>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61"/>
        <v>N/A</v>
      </c>
      <c r="E170" s="88" t="str">
        <f t="shared" si="62"/>
        <v>N/A</v>
      </c>
      <c r="F170" s="88" t="str">
        <f t="shared" si="63"/>
        <v>N/A</v>
      </c>
      <c r="G170" s="88" t="str">
        <f t="shared" si="64"/>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61"/>
        <v>N/A</v>
      </c>
      <c r="E171" s="88" t="str">
        <f t="shared" si="62"/>
        <v>N/A</v>
      </c>
      <c r="F171" s="88" t="str">
        <f t="shared" si="63"/>
        <v>N/A</v>
      </c>
      <c r="G171" s="88" t="str">
        <f t="shared" si="64"/>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61"/>
        <v>N/A</v>
      </c>
      <c r="E172" s="88" t="str">
        <f t="shared" si="62"/>
        <v>N/A</v>
      </c>
      <c r="F172" s="88" t="str">
        <f t="shared" si="63"/>
        <v>N/A</v>
      </c>
      <c r="G172" s="88" t="str">
        <f t="shared" si="64"/>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61"/>
        <v>N/A</v>
      </c>
      <c r="E173" s="88" t="str">
        <f t="shared" si="62"/>
        <v>N/A</v>
      </c>
      <c r="F173" s="88" t="str">
        <f t="shared" si="63"/>
        <v>N/A</v>
      </c>
      <c r="G173" s="88" t="str">
        <f t="shared" si="64"/>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61"/>
        <v>N/A</v>
      </c>
      <c r="E174" s="88" t="str">
        <f t="shared" si="62"/>
        <v>N/A</v>
      </c>
      <c r="F174" s="88" t="str">
        <f t="shared" si="63"/>
        <v>N/A</v>
      </c>
      <c r="G174" s="88" t="str">
        <f t="shared" si="64"/>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61"/>
        <v>N/A</v>
      </c>
      <c r="E175" s="88" t="str">
        <f t="shared" si="62"/>
        <v>N/A</v>
      </c>
      <c r="F175" s="88" t="str">
        <f t="shared" si="63"/>
        <v>N/A</v>
      </c>
      <c r="G175" s="88" t="str">
        <f t="shared" si="64"/>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61"/>
        <v>N/A</v>
      </c>
      <c r="E176" s="88" t="str">
        <f t="shared" si="62"/>
        <v>N/A</v>
      </c>
      <c r="F176" s="88" t="str">
        <f t="shared" si="63"/>
        <v>N/A</v>
      </c>
      <c r="G176" s="88" t="str">
        <f t="shared" si="64"/>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61"/>
        <v>N/A</v>
      </c>
      <c r="E177" s="88" t="str">
        <f t="shared" si="62"/>
        <v>N/A</v>
      </c>
      <c r="F177" s="88" t="str">
        <f t="shared" si="63"/>
        <v>N/A</v>
      </c>
      <c r="G177" s="88" t="str">
        <f t="shared" si="64"/>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61"/>
        <v>N/A</v>
      </c>
      <c r="E178" s="88" t="str">
        <f t="shared" si="62"/>
        <v>N/A</v>
      </c>
      <c r="F178" s="88" t="str">
        <f t="shared" si="63"/>
        <v>N/A</v>
      </c>
      <c r="G178" s="88" t="str">
        <f t="shared" si="64"/>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61"/>
        <v>N/A</v>
      </c>
      <c r="E179" s="88" t="str">
        <f t="shared" si="62"/>
        <v>N/A</v>
      </c>
      <c r="F179" s="88" t="str">
        <f t="shared" si="63"/>
        <v>N/A</v>
      </c>
      <c r="G179" s="88" t="str">
        <f t="shared" si="64"/>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61"/>
        <v>N/A</v>
      </c>
      <c r="E180" s="88" t="str">
        <f t="shared" si="62"/>
        <v>N/A</v>
      </c>
      <c r="F180" s="88" t="str">
        <f t="shared" si="63"/>
        <v>N/A</v>
      </c>
      <c r="G180" s="88" t="str">
        <f t="shared" si="64"/>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61"/>
        <v>N/A</v>
      </c>
      <c r="E181" s="88" t="str">
        <f t="shared" si="62"/>
        <v>N/A</v>
      </c>
      <c r="F181" s="88" t="str">
        <f t="shared" si="63"/>
        <v>N/A</v>
      </c>
      <c r="G181" s="88" t="str">
        <f t="shared" si="64"/>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61"/>
        <v>N/A</v>
      </c>
      <c r="E182" s="88" t="str">
        <f t="shared" si="62"/>
        <v>N/A</v>
      </c>
      <c r="F182" s="88" t="str">
        <f t="shared" si="63"/>
        <v>N/A</v>
      </c>
      <c r="G182" s="88" t="str">
        <f t="shared" si="64"/>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61"/>
        <v>N/A</v>
      </c>
      <c r="E183" s="88" t="str">
        <f t="shared" si="62"/>
        <v>N/A</v>
      </c>
      <c r="F183" s="88" t="str">
        <f t="shared" si="63"/>
        <v>N/A</v>
      </c>
      <c r="G183" s="88" t="str">
        <f t="shared" si="64"/>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61"/>
        <v>N/A</v>
      </c>
      <c r="E184" s="88" t="str">
        <f t="shared" si="62"/>
        <v>N/A</v>
      </c>
      <c r="F184" s="88" t="str">
        <f t="shared" si="63"/>
        <v>N/A</v>
      </c>
      <c r="G184" s="88" t="str">
        <f t="shared" si="64"/>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61"/>
        <v>N/A</v>
      </c>
      <c r="E185" s="88" t="str">
        <f t="shared" si="62"/>
        <v>N/A</v>
      </c>
      <c r="F185" s="88" t="str">
        <f t="shared" si="63"/>
        <v>N/A</v>
      </c>
      <c r="G185" s="88" t="str">
        <f t="shared" si="64"/>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61"/>
        <v>N/A</v>
      </c>
      <c r="E186" s="88" t="str">
        <f t="shared" si="62"/>
        <v>N/A</v>
      </c>
      <c r="F186" s="88" t="str">
        <f t="shared" si="63"/>
        <v>N/A</v>
      </c>
      <c r="G186" s="88" t="str">
        <f t="shared" si="64"/>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61"/>
        <v>N/A</v>
      </c>
      <c r="E187" s="88" t="str">
        <f t="shared" si="62"/>
        <v>N/A</v>
      </c>
      <c r="F187" s="88" t="str">
        <f t="shared" si="63"/>
        <v>N/A</v>
      </c>
      <c r="G187" s="88" t="str">
        <f t="shared" si="64"/>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61"/>
        <v>N/A</v>
      </c>
      <c r="E188" s="88" t="str">
        <f t="shared" si="62"/>
        <v>N/A</v>
      </c>
      <c r="F188" s="88" t="str">
        <f t="shared" si="63"/>
        <v>N/A</v>
      </c>
      <c r="G188" s="88" t="str">
        <f t="shared" si="64"/>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61"/>
        <v>N/A</v>
      </c>
      <c r="E189" s="88" t="str">
        <f t="shared" si="62"/>
        <v>N/A</v>
      </c>
      <c r="F189" s="88" t="str">
        <f t="shared" si="63"/>
        <v>N/A</v>
      </c>
      <c r="G189" s="88" t="str">
        <f t="shared" si="64"/>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KopmwBKzzcbHfdU1ilAPhmfaaurdLEz2i9wOr6b8u5ZyGKgUC+gruYU0fV4awR/Sxc4QTefBrcLIYZUG/9l2UA==" saltValue="By+0RsSbMmGy2xn4sdag8A==" spinCount="100000" sheet="1" objects="1" scenarios="1" selectLockedCells="1" selectUnlockedCells="1"/>
  <mergeCells count="9">
    <mergeCell ref="C80:D80"/>
    <mergeCell ref="N38:N39"/>
    <mergeCell ref="B2:F2"/>
    <mergeCell ref="B33:D33"/>
    <mergeCell ref="I43:K43"/>
    <mergeCell ref="C48:D48"/>
    <mergeCell ref="C49:D49"/>
    <mergeCell ref="C79:D79"/>
    <mergeCell ref="B43:D43"/>
  </mergeCells>
  <conditionalFormatting sqref="B110:C147">
    <cfRule type="containsText" dxfId="304" priority="101" operator="containsText" text="N/A">
      <formula>NOT(ISERROR(SEARCH("N/A",B110)))</formula>
    </cfRule>
  </conditionalFormatting>
  <conditionalFormatting sqref="E110:E147">
    <cfRule type="containsText" dxfId="303" priority="100" operator="containsText" text="N/A">
      <formula>NOT(ISERROR(SEARCH("N/A",E110)))</formula>
    </cfRule>
  </conditionalFormatting>
  <conditionalFormatting sqref="E52:E74 B52:B74">
    <cfRule type="containsText" dxfId="302" priority="99" operator="containsText" text="N/A">
      <formula>NOT(ISERROR(SEARCH("N/A",B52)))</formula>
    </cfRule>
  </conditionalFormatting>
  <conditionalFormatting sqref="C52:C74">
    <cfRule type="containsText" dxfId="301" priority="98" operator="containsText" text="N/A">
      <formula>NOT(ISERROR(SEARCH("N/A",C52)))</formula>
    </cfRule>
  </conditionalFormatting>
  <conditionalFormatting sqref="F52:F74">
    <cfRule type="containsText" dxfId="300" priority="96" operator="containsText" text="N/A">
      <formula>NOT(ISERROR(SEARCH("N/A",F52)))</formula>
    </cfRule>
  </conditionalFormatting>
  <conditionalFormatting sqref="E83:E103 B83:B103">
    <cfRule type="containsText" dxfId="299" priority="95" operator="containsText" text="N/A">
      <formula>NOT(ISERROR(SEARCH("N/A",B83)))</formula>
    </cfRule>
  </conditionalFormatting>
  <conditionalFormatting sqref="C83:C103">
    <cfRule type="containsText" dxfId="298" priority="94" operator="containsText" text="N/A">
      <formula>NOT(ISERROR(SEARCH("N/A",C83)))</formula>
    </cfRule>
  </conditionalFormatting>
  <conditionalFormatting sqref="E20:E31">
    <cfRule type="containsText" dxfId="297" priority="73" operator="containsText" text="N/A">
      <formula>NOT(ISERROR(SEARCH("N/A",E20)))</formula>
    </cfRule>
  </conditionalFormatting>
  <conditionalFormatting sqref="F83:F103">
    <cfRule type="containsText" dxfId="296" priority="92" operator="containsText" text="N/A">
      <formula>NOT(ISERROR(SEARCH("N/A",F83)))</formula>
    </cfRule>
  </conditionalFormatting>
  <conditionalFormatting sqref="B20:D31">
    <cfRule type="containsText" dxfId="295" priority="91" operator="containsText" text="N/A">
      <formula>NOT(ISERROR(SEARCH("N/A",B20)))</formula>
    </cfRule>
  </conditionalFormatting>
  <conditionalFormatting sqref="G110:G147">
    <cfRule type="containsText" dxfId="294" priority="90" operator="containsText" text="N/A">
      <formula>NOT(ISERROR(SEARCH("N/A",G110)))</formula>
    </cfRule>
  </conditionalFormatting>
  <conditionalFormatting sqref="I110:I147">
    <cfRule type="containsText" dxfId="293" priority="89" operator="containsText" text="N/A">
      <formula>NOT(ISERROR(SEARCH("N/A",I110)))</formula>
    </cfRule>
  </conditionalFormatting>
  <conditionalFormatting sqref="K110:K147">
    <cfRule type="containsText" dxfId="292" priority="88" operator="containsText" text="N/A">
      <formula>NOT(ISERROR(SEARCH("N/A",K110)))</formula>
    </cfRule>
  </conditionalFormatting>
  <conditionalFormatting sqref="F110:F147">
    <cfRule type="containsText" dxfId="291" priority="87" operator="containsText" text="N/A">
      <formula>NOT(ISERROR(SEARCH("N/A",F110)))</formula>
    </cfRule>
  </conditionalFormatting>
  <conditionalFormatting sqref="B152:B189">
    <cfRule type="containsText" dxfId="290" priority="85" operator="containsText" text="N/A">
      <formula>NOT(ISERROR(SEARCH("N/A",B152)))</formula>
    </cfRule>
  </conditionalFormatting>
  <conditionalFormatting sqref="C152:C189">
    <cfRule type="containsText" dxfId="289" priority="84" operator="containsText" text="N/A">
      <formula>NOT(ISERROR(SEARCH("N/A",C152)))</formula>
    </cfRule>
  </conditionalFormatting>
  <conditionalFormatting sqref="F152:F189">
    <cfRule type="containsText" dxfId="288" priority="83" operator="containsText" text="N/A">
      <formula>NOT(ISERROR(SEARCH("N/A",F152)))</formula>
    </cfRule>
  </conditionalFormatting>
  <conditionalFormatting sqref="E152:E189">
    <cfRule type="containsText" dxfId="287" priority="81" operator="containsText" text="N/A">
      <formula>NOT(ISERROR(SEARCH("N/A",E152)))</formula>
    </cfRule>
  </conditionalFormatting>
  <conditionalFormatting sqref="O110:O147">
    <cfRule type="containsText" dxfId="286" priority="72" operator="containsText" text="N/A">
      <formula>NOT(ISERROR(SEARCH("N/A",O110)))</formula>
    </cfRule>
  </conditionalFormatting>
  <conditionalFormatting sqref="H153:W189 I152:W152">
    <cfRule type="containsText" dxfId="285" priority="78" operator="containsText" text="N/A">
      <formula>NOT(ISERROR(SEARCH("N/A",H152)))</formula>
    </cfRule>
  </conditionalFormatting>
  <conditionalFormatting sqref="G152:G189">
    <cfRule type="containsText" dxfId="284" priority="75" operator="containsText" text="N/A">
      <formula>NOT(ISERROR(SEARCH("N/A",G152)))</formula>
    </cfRule>
  </conditionalFormatting>
  <conditionalFormatting sqref="F39:F41">
    <cfRule type="expression" dxfId="283" priority="66">
      <formula>IF(INDIRECT("General_Currency_Selection")="CHF",TRUE)</formula>
    </cfRule>
    <cfRule type="expression" dxfId="282" priority="67">
      <formula>IF(INDIRECT("General_Currency_Selection")="EUR",TRUE)</formula>
    </cfRule>
    <cfRule type="expression" dxfId="281" priority="68">
      <formula>IF(INDIRECT("General_Currency_Selection")="USD",TRUE)</formula>
    </cfRule>
  </conditionalFormatting>
  <conditionalFormatting sqref="E39:E41">
    <cfRule type="expression" dxfId="280" priority="63">
      <formula>IF(INDIRECT("General_Currency_Selection")="CHF",TRUE)</formula>
    </cfRule>
    <cfRule type="expression" dxfId="279" priority="64">
      <formula>IF(INDIRECT("General_Currency_Selection")="EUR",TRUE)</formula>
    </cfRule>
    <cfRule type="expression" dxfId="278" priority="65">
      <formula>IF(INDIRECT("General_Currency_Selection")="USD",TRUE)</formula>
    </cfRule>
  </conditionalFormatting>
  <conditionalFormatting sqref="E43:F43">
    <cfRule type="expression" dxfId="277" priority="60">
      <formula>IF(INDIRECT("General_Currency_Selection")="CHF",TRUE)</formula>
    </cfRule>
    <cfRule type="expression" dxfId="276" priority="61">
      <formula>IF(INDIRECT("General_Currency_Selection")="EUR",TRUE)</formula>
    </cfRule>
    <cfRule type="expression" dxfId="275" priority="62">
      <formula>IF(INDIRECT("General_Currency_Selection")="USD",TRUE)</formula>
    </cfRule>
  </conditionalFormatting>
  <conditionalFormatting sqref="G35">
    <cfRule type="expression" dxfId="274" priority="57">
      <formula>IF(INDIRECT("General_Currency_Selection")="CHF",TRUE)</formula>
    </cfRule>
    <cfRule type="expression" dxfId="273" priority="58">
      <formula>IF(INDIRECT("General_Currency_Selection")="EUR",TRUE)</formula>
    </cfRule>
    <cfRule type="expression" dxfId="272" priority="59">
      <formula>IF(INDIRECT("General_Currency_Selection")="USD",TRUE)</formula>
    </cfRule>
  </conditionalFormatting>
  <conditionalFormatting sqref="G15">
    <cfRule type="expression" dxfId="271" priority="54">
      <formula>IF(INDIRECT("General_Currency_Selection")="CHF",TRUE)</formula>
    </cfRule>
    <cfRule type="expression" dxfId="270" priority="55">
      <formula>IF(INDIRECT("General_Currency_Selection")="EUR",TRUE)</formula>
    </cfRule>
    <cfRule type="expression" dxfId="269" priority="56">
      <formula>IF(INDIRECT("General_Currency_Selection")="USD",TRUE)</formula>
    </cfRule>
  </conditionalFormatting>
  <conditionalFormatting sqref="G45">
    <cfRule type="expression" dxfId="268" priority="51">
      <formula>IF(INDIRECT("General_Currency_Selection")="CHF",TRUE)</formula>
    </cfRule>
    <cfRule type="expression" dxfId="267" priority="52">
      <formula>IF(INDIRECT("General_Currency_Selection")="EUR",TRUE)</formula>
    </cfRule>
    <cfRule type="expression" dxfId="266" priority="53">
      <formula>IF(INDIRECT("General_Currency_Selection")="USD",TRUE)</formula>
    </cfRule>
  </conditionalFormatting>
  <conditionalFormatting sqref="F20:F31">
    <cfRule type="expression" dxfId="265" priority="48">
      <formula>IF(INDIRECT("General_Currency_Selection")="CHF",TRUE)</formula>
    </cfRule>
    <cfRule type="expression" dxfId="264" priority="49">
      <formula>IF(INDIRECT("General_Currency_Selection")="EUR",TRUE)</formula>
    </cfRule>
    <cfRule type="expression" dxfId="263" priority="50">
      <formula>IF(INDIRECT("General_Currency_Selection")="USD",TRUE)</formula>
    </cfRule>
  </conditionalFormatting>
  <conditionalFormatting sqref="E33">
    <cfRule type="expression" dxfId="262" priority="45">
      <formula>IF(INDIRECT("General_Currency_Selection")="CHF",TRUE)</formula>
    </cfRule>
    <cfRule type="expression" dxfId="261" priority="46">
      <formula>IF(INDIRECT("General_Currency_Selection")="EUR",TRUE)</formula>
    </cfRule>
    <cfRule type="expression" dxfId="260" priority="47">
      <formula>IF(INDIRECT("General_Currency_Selection")="USD",TRUE)</formula>
    </cfRule>
  </conditionalFormatting>
  <conditionalFormatting sqref="D52:D74">
    <cfRule type="expression" dxfId="259" priority="42">
      <formula>IF(INDIRECT("General_Currency_Selection")="CHF",TRUE)</formula>
    </cfRule>
    <cfRule type="expression" dxfId="258" priority="43">
      <formula>IF(INDIRECT("General_Currency_Selection")="EUR",TRUE)</formula>
    </cfRule>
    <cfRule type="expression" dxfId="257" priority="44">
      <formula>IF(INDIRECT("General_Currency_Selection")="USD",TRUE)</formula>
    </cfRule>
  </conditionalFormatting>
  <conditionalFormatting sqref="G52:G74">
    <cfRule type="expression" dxfId="256" priority="39">
      <formula>IF(INDIRECT("General_Currency_Selection")="CHF",TRUE)</formula>
    </cfRule>
    <cfRule type="expression" dxfId="255" priority="40">
      <formula>IF(INDIRECT("General_Currency_Selection")="EUR",TRUE)</formula>
    </cfRule>
    <cfRule type="expression" dxfId="254" priority="41">
      <formula>IF(INDIRECT("General_Currency_Selection")="USD",TRUE)</formula>
    </cfRule>
  </conditionalFormatting>
  <conditionalFormatting sqref="G76">
    <cfRule type="expression" dxfId="253" priority="36">
      <formula>IF(INDIRECT("General_Currency_Selection")="CHF",TRUE)</formula>
    </cfRule>
    <cfRule type="expression" dxfId="252" priority="37">
      <formula>IF(INDIRECT("General_Currency_Selection")="EUR",TRUE)</formula>
    </cfRule>
    <cfRule type="expression" dxfId="251" priority="38">
      <formula>IF(INDIRECT("General_Currency_Selection")="USD",TRUE)</formula>
    </cfRule>
  </conditionalFormatting>
  <conditionalFormatting sqref="D83:D103">
    <cfRule type="expression" dxfId="250" priority="33">
      <formula>IF(INDIRECT("General_Currency_Selection")="CHF",TRUE)</formula>
    </cfRule>
    <cfRule type="expression" dxfId="249" priority="34">
      <formula>IF(INDIRECT("General_Currency_Selection")="EUR",TRUE)</formula>
    </cfRule>
    <cfRule type="expression" dxfId="248" priority="35">
      <formula>IF(INDIRECT("General_Currency_Selection")="USD",TRUE)</formula>
    </cfRule>
  </conditionalFormatting>
  <conditionalFormatting sqref="G83:G103">
    <cfRule type="expression" dxfId="247" priority="30">
      <formula>IF(INDIRECT("General_Currency_Selection")="CHF",TRUE)</formula>
    </cfRule>
    <cfRule type="expression" dxfId="246" priority="31">
      <formula>IF(INDIRECT("General_Currency_Selection")="EUR",TRUE)</formula>
    </cfRule>
    <cfRule type="expression" dxfId="245" priority="32">
      <formula>IF(INDIRECT("General_Currency_Selection")="USD",TRUE)</formula>
    </cfRule>
  </conditionalFormatting>
  <conditionalFormatting sqref="G105">
    <cfRule type="expression" dxfId="244" priority="27">
      <formula>IF(INDIRECT("General_Currency_Selection")="CHF",TRUE)</formula>
    </cfRule>
    <cfRule type="expression" dxfId="243" priority="28">
      <formula>IF(INDIRECT("General_Currency_Selection")="EUR",TRUE)</formula>
    </cfRule>
    <cfRule type="expression" dxfId="242" priority="29">
      <formula>IF(INDIRECT("General_Currency_Selection")="USD",TRUE)</formula>
    </cfRule>
  </conditionalFormatting>
  <conditionalFormatting sqref="D110:D147">
    <cfRule type="expression" dxfId="241" priority="24">
      <formula>IF(INDIRECT("General_Currency_Selection")="CHF",TRUE)</formula>
    </cfRule>
    <cfRule type="expression" dxfId="240" priority="25">
      <formula>IF(INDIRECT("General_Currency_Selection")="EUR",TRUE)</formula>
    </cfRule>
    <cfRule type="expression" dxfId="239" priority="26">
      <formula>IF(INDIRECT("General_Currency_Selection")="USD",TRUE)</formula>
    </cfRule>
  </conditionalFormatting>
  <conditionalFormatting sqref="N110:N147">
    <cfRule type="expression" dxfId="238" priority="21">
      <formula>IF(INDIRECT("General_Currency_Selection")="CHF",TRUE)</formula>
    </cfRule>
    <cfRule type="expression" dxfId="237" priority="22">
      <formula>IF(INDIRECT("General_Currency_Selection")="EUR",TRUE)</formula>
    </cfRule>
    <cfRule type="expression" dxfId="236" priority="23">
      <formula>IF(INDIRECT("General_Currency_Selection")="USD",TRUE)</formula>
    </cfRule>
  </conditionalFormatting>
  <conditionalFormatting sqref="D152:D189">
    <cfRule type="expression" dxfId="235" priority="18">
      <formula>IF(INDIRECT("General_Currency_Selection")="CHF",TRUE)</formula>
    </cfRule>
    <cfRule type="expression" dxfId="234" priority="19">
      <formula>IF(INDIRECT("General_Currency_Selection")="EUR",TRUE)</formula>
    </cfRule>
    <cfRule type="expression" dxfId="233" priority="20">
      <formula>IF(INDIRECT("General_Currency_Selection")="USD",TRUE)</formula>
    </cfRule>
  </conditionalFormatting>
  <conditionalFormatting sqref="H149:W149">
    <cfRule type="expression" dxfId="232" priority="15">
      <formula>IF(INDIRECT("General_Currency_Selection")="CHF",TRUE)</formula>
    </cfRule>
    <cfRule type="expression" dxfId="231" priority="16">
      <formula>IF(INDIRECT("General_Currency_Selection")="EUR",TRUE)</formula>
    </cfRule>
    <cfRule type="expression" dxfId="230" priority="17">
      <formula>IF(INDIRECT("General_Currency_Selection")="USD",TRUE)</formula>
    </cfRule>
  </conditionalFormatting>
  <conditionalFormatting sqref="H152:W189">
    <cfRule type="expression" dxfId="229" priority="12">
      <formula>IF(INDIRECT("General_Currency_Selection")="CHF",TRUE)</formula>
    </cfRule>
    <cfRule type="expression" dxfId="228" priority="13">
      <formula>IF(INDIRECT("General_Currency_Selection")="EUR",TRUE)</formula>
    </cfRule>
    <cfRule type="expression" dxfId="227" priority="14">
      <formula>IF(INDIRECT("General_Currency_Selection")="USD",TRUE)</formula>
    </cfRule>
  </conditionalFormatting>
  <conditionalFormatting sqref="H110:H147">
    <cfRule type="expression" dxfId="226" priority="7">
      <formula>IF(INDIRECT("General_Currency_Selection")="CHF",TRUE)</formula>
    </cfRule>
    <cfRule type="expression" dxfId="225" priority="8">
      <formula>IF(INDIRECT("General_Currency_Selection")="EUR",TRUE)</formula>
    </cfRule>
    <cfRule type="expression" dxfId="224" priority="9">
      <formula>IF(INDIRECT("General_Currency_Selection")="USD",TRUE)</formula>
    </cfRule>
  </conditionalFormatting>
  <conditionalFormatting sqref="J110:J147">
    <cfRule type="expression" dxfId="223" priority="4">
      <formula>IF(INDIRECT("General_Currency_Selection")="CHF",TRUE)</formula>
    </cfRule>
    <cfRule type="expression" dxfId="222" priority="5">
      <formula>IF(INDIRECT("General_Currency_Selection")="EUR",TRUE)</formula>
    </cfRule>
    <cfRule type="expression" dxfId="221" priority="6">
      <formula>IF(INDIRECT("General_Currency_Selection")="USD",TRUE)</formula>
    </cfRule>
  </conditionalFormatting>
  <conditionalFormatting sqref="L110:L147">
    <cfRule type="expression" dxfId="220" priority="1">
      <formula>IF(INDIRECT("General_Currency_Selection")="CHF",TRUE)</formula>
    </cfRule>
    <cfRule type="expression" dxfId="219" priority="2">
      <formula>IF(INDIRECT("General_Currency_Selection")="EUR",TRUE)</formula>
    </cfRule>
    <cfRule type="expression" dxfId="218"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79998168889431442"/>
  </sheetPr>
  <dimension ref="B1:P154"/>
  <sheetViews>
    <sheetView showGridLines="0" showRowColHeaders="0" zoomScale="55" zoomScaleNormal="55" workbookViewId="0">
      <selection activeCell="E80" sqref="E80"/>
    </sheetView>
  </sheetViews>
  <sheetFormatPr defaultColWidth="8.7265625" defaultRowHeight="14.5"/>
  <cols>
    <col min="1" max="1" width="0.81640625" style="15" customWidth="1"/>
    <col min="2" max="2" width="32.81640625" style="15" customWidth="1"/>
    <col min="3" max="3" width="46.7265625" style="15" customWidth="1"/>
    <col min="4" max="4" width="30.1796875" style="15" customWidth="1"/>
    <col min="5" max="5" width="25.453125" style="15" customWidth="1"/>
    <col min="6" max="6" width="30.54296875" style="15" customWidth="1"/>
    <col min="7" max="7" width="32.1796875" style="15" customWidth="1"/>
    <col min="8" max="8" width="18.81640625" style="15" customWidth="1"/>
    <col min="9" max="9" width="10.7265625" style="15" bestFit="1" customWidth="1"/>
    <col min="10" max="10" width="13.54296875" style="15" customWidth="1"/>
    <col min="11" max="11" width="13.1796875" style="15" bestFit="1" customWidth="1"/>
    <col min="12" max="12" width="23.81640625" style="15" customWidth="1"/>
    <col min="13" max="13" width="25.7265625" style="15" customWidth="1"/>
    <col min="14" max="14" width="8.7265625" style="15" customWidth="1"/>
    <col min="15" max="15" width="25.1796875" style="15" customWidth="1"/>
    <col min="16" max="16" width="16.81640625" style="15" customWidth="1"/>
    <col min="17" max="16384" width="8.7265625" style="15"/>
  </cols>
  <sheetData>
    <row r="1" spans="2:16" ht="5.15" customHeight="1"/>
    <row r="2" spans="2:16" ht="18.5">
      <c r="B2" s="487" t="s">
        <v>843</v>
      </c>
      <c r="C2" s="487"/>
      <c r="D2" s="488"/>
      <c r="E2" s="488"/>
      <c r="F2" s="488"/>
      <c r="G2" s="489"/>
      <c r="H2" s="489"/>
      <c r="I2" s="59"/>
      <c r="J2" s="22"/>
      <c r="M2" s="22"/>
    </row>
    <row r="4" spans="2:16" ht="18.5">
      <c r="B4" s="358" t="s">
        <v>842</v>
      </c>
      <c r="C4" s="391"/>
      <c r="D4" s="391"/>
      <c r="E4" s="391"/>
      <c r="F4" s="391"/>
      <c r="G4" s="391"/>
      <c r="H4" s="391"/>
    </row>
    <row r="5" spans="2:16" ht="14.5" customHeight="1">
      <c r="B5" s="16" t="s">
        <v>1097</v>
      </c>
    </row>
    <row r="6" spans="2:16" ht="14.5" customHeight="1">
      <c r="B6" s="276" t="s">
        <v>1098</v>
      </c>
      <c r="L6" s="844"/>
      <c r="M6" s="844"/>
    </row>
    <row r="7" spans="2:16" ht="14.5" customHeight="1">
      <c r="B7" s="276"/>
      <c r="L7" s="845" t="s">
        <v>920</v>
      </c>
      <c r="M7" s="844"/>
    </row>
    <row r="8" spans="2:16" ht="14.5" customHeight="1">
      <c r="B8" s="361" t="s">
        <v>759</v>
      </c>
      <c r="C8" s="361" t="s">
        <v>201</v>
      </c>
      <c r="D8" s="361" t="s">
        <v>763</v>
      </c>
      <c r="E8" s="361" t="s">
        <v>760</v>
      </c>
      <c r="F8" s="361" t="s">
        <v>76</v>
      </c>
      <c r="G8" s="22"/>
      <c r="H8" s="29"/>
      <c r="L8" s="844"/>
      <c r="M8" s="844"/>
    </row>
    <row r="9" spans="2:16" ht="14.5" customHeight="1">
      <c r="E9" s="192"/>
      <c r="G9" s="22"/>
      <c r="H9" s="22"/>
      <c r="L9" s="845" t="s">
        <v>921</v>
      </c>
      <c r="M9" s="844"/>
    </row>
    <row r="10" spans="2:16">
      <c r="B10" s="353" t="s">
        <v>770</v>
      </c>
      <c r="C10" s="15" t="s">
        <v>767</v>
      </c>
      <c r="D10" s="22" t="s">
        <v>694</v>
      </c>
      <c r="E10" s="716" t="s">
        <v>547</v>
      </c>
      <c r="F10" s="22"/>
      <c r="G10" s="22"/>
      <c r="H10" s="22"/>
      <c r="L10" s="844"/>
      <c r="M10" s="844"/>
    </row>
    <row r="11" spans="2:16">
      <c r="B11" s="353"/>
      <c r="D11" s="22"/>
      <c r="E11" s="22"/>
      <c r="F11" s="28"/>
      <c r="G11" s="22"/>
      <c r="H11" s="22"/>
      <c r="L11" s="844"/>
      <c r="M11" s="846" t="s">
        <v>922</v>
      </c>
      <c r="O11" s="16"/>
      <c r="P11" s="28"/>
    </row>
    <row r="12" spans="2:16">
      <c r="B12" s="353" t="s">
        <v>1015</v>
      </c>
      <c r="C12" s="15" t="s">
        <v>1016</v>
      </c>
      <c r="D12" s="166" t="s">
        <v>1017</v>
      </c>
      <c r="E12" s="717">
        <v>0</v>
      </c>
      <c r="F12" s="354" t="s">
        <v>1018</v>
      </c>
      <c r="G12" s="22"/>
      <c r="H12" s="22"/>
      <c r="L12" s="846" t="s">
        <v>1059</v>
      </c>
      <c r="M12" s="847">
        <f>'5.1-Financial Analysis'!C130</f>
        <v>134992.45550083354</v>
      </c>
      <c r="O12" s="22"/>
      <c r="P12" s="114"/>
    </row>
    <row r="13" spans="2:16">
      <c r="E13" s="696">
        <f>E12*Staff_Days_Operation/1000000</f>
        <v>0</v>
      </c>
      <c r="F13" s="354" t="s">
        <v>769</v>
      </c>
      <c r="G13" s="22"/>
      <c r="H13" s="22"/>
      <c r="L13" s="846">
        <v>1</v>
      </c>
      <c r="M13" s="847">
        <f t="dataTable" ref="M13:M32" dt2D="0" dtr="0" r1="E14"/>
        <v>5782.0877569285003</v>
      </c>
      <c r="P13" s="114"/>
    </row>
    <row r="14" spans="2:16">
      <c r="D14" s="166" t="s">
        <v>1019</v>
      </c>
      <c r="E14" s="717">
        <v>5</v>
      </c>
      <c r="F14" s="354" t="s">
        <v>546</v>
      </c>
      <c r="G14" s="22"/>
      <c r="H14" s="22"/>
      <c r="L14" s="846">
        <v>2</v>
      </c>
      <c r="M14" s="847">
        <v>38084.679692904756</v>
      </c>
      <c r="O14" s="22"/>
      <c r="P14" s="114"/>
    </row>
    <row r="15" spans="2:16">
      <c r="C15" s="138"/>
      <c r="E15" s="692">
        <f>E14*Staff_Days_Operation/1000</f>
        <v>1.825</v>
      </c>
      <c r="F15" s="354" t="s">
        <v>769</v>
      </c>
      <c r="G15" s="22"/>
      <c r="H15" s="22"/>
      <c r="L15" s="846">
        <v>3</v>
      </c>
      <c r="M15" s="847">
        <v>70387.271628881019</v>
      </c>
      <c r="P15" s="114"/>
    </row>
    <row r="16" spans="2:16">
      <c r="B16" s="353"/>
      <c r="D16" s="22"/>
      <c r="E16" s="337"/>
      <c r="F16" s="28"/>
      <c r="G16" s="22"/>
      <c r="H16" s="22"/>
      <c r="L16" s="846">
        <v>4</v>
      </c>
      <c r="M16" s="847">
        <v>102689.86356485727</v>
      </c>
      <c r="O16" s="22"/>
      <c r="P16" s="114"/>
    </row>
    <row r="17" spans="2:16">
      <c r="B17" s="16" t="s">
        <v>1020</v>
      </c>
      <c r="C17" s="28" t="s">
        <v>1021</v>
      </c>
      <c r="D17" s="28" t="s">
        <v>247</v>
      </c>
      <c r="E17" s="638">
        <f>E18/Staff_Days_Operation*1000</f>
        <v>15.184802284185125</v>
      </c>
      <c r="F17" s="22" t="s">
        <v>546</v>
      </c>
      <c r="G17" s="22"/>
      <c r="H17" s="22"/>
      <c r="L17" s="846">
        <v>5</v>
      </c>
      <c r="M17" s="847">
        <v>134992.45550083354</v>
      </c>
      <c r="P17" s="114"/>
    </row>
    <row r="18" spans="2:16">
      <c r="C18" s="138"/>
      <c r="E18" s="355">
        <f>'4.1-Settings Database'!M37</f>
        <v>5.5424528337275705</v>
      </c>
      <c r="F18" s="354" t="s">
        <v>769</v>
      </c>
      <c r="G18" s="22"/>
      <c r="H18" s="22"/>
      <c r="L18" s="846">
        <v>6</v>
      </c>
      <c r="M18" s="847">
        <v>159433.77946458693</v>
      </c>
      <c r="O18" s="22"/>
      <c r="P18" s="114"/>
    </row>
    <row r="19" spans="2:16">
      <c r="B19" s="400"/>
      <c r="C19" s="22"/>
      <c r="D19" s="22"/>
      <c r="E19" s="22"/>
      <c r="F19" s="22"/>
      <c r="L19" s="846">
        <v>7</v>
      </c>
      <c r="M19" s="847">
        <v>191736.37140056322</v>
      </c>
      <c r="P19" s="114"/>
    </row>
    <row r="20" spans="2:16" ht="29">
      <c r="B20" s="182" t="s">
        <v>899</v>
      </c>
      <c r="C20" s="431" t="s">
        <v>900</v>
      </c>
      <c r="D20" s="442" t="s">
        <v>903</v>
      </c>
      <c r="E20" s="718" t="s">
        <v>432</v>
      </c>
      <c r="F20" s="441"/>
      <c r="L20" s="846">
        <v>8</v>
      </c>
      <c r="M20" s="847">
        <v>224038.9633365394</v>
      </c>
      <c r="O20" s="22"/>
      <c r="P20" s="114"/>
    </row>
    <row r="21" spans="2:16">
      <c r="D21" s="22"/>
      <c r="E21" s="22"/>
      <c r="F21" s="22"/>
      <c r="L21" s="846">
        <v>9</v>
      </c>
      <c r="M21" s="847">
        <v>256341.55527251569</v>
      </c>
      <c r="P21" s="114"/>
    </row>
    <row r="22" spans="2:16" ht="29">
      <c r="B22" s="182" t="s">
        <v>901</v>
      </c>
      <c r="C22" s="431" t="s">
        <v>902</v>
      </c>
      <c r="D22" s="442" t="s">
        <v>903</v>
      </c>
      <c r="E22" s="718" t="s">
        <v>432</v>
      </c>
      <c r="F22" s="22"/>
      <c r="L22" s="846">
        <v>10</v>
      </c>
      <c r="M22" s="847">
        <v>288644.14720849198</v>
      </c>
      <c r="O22" s="22"/>
      <c r="P22" s="114"/>
    </row>
    <row r="23" spans="2:16">
      <c r="D23" s="22"/>
      <c r="E23" s="22"/>
      <c r="F23" s="22"/>
      <c r="L23" s="846">
        <v>11</v>
      </c>
      <c r="M23" s="847">
        <v>320946.73914446821</v>
      </c>
      <c r="P23" s="114"/>
    </row>
    <row r="24" spans="2:16" ht="14.5" customHeight="1">
      <c r="B24" s="183" t="s">
        <v>784</v>
      </c>
      <c r="C24" s="855" t="s">
        <v>809</v>
      </c>
      <c r="D24" s="357" t="s">
        <v>625</v>
      </c>
      <c r="E24" s="719">
        <v>0.5</v>
      </c>
      <c r="F24" s="195" t="s">
        <v>761</v>
      </c>
      <c r="L24" s="846">
        <v>12</v>
      </c>
      <c r="M24" s="847">
        <v>345388.06310822157</v>
      </c>
      <c r="O24" s="22"/>
      <c r="P24" s="114"/>
    </row>
    <row r="25" spans="2:16">
      <c r="C25" s="855"/>
      <c r="D25" s="357" t="s">
        <v>624</v>
      </c>
      <c r="E25" s="719">
        <v>0.5</v>
      </c>
      <c r="F25" s="195" t="s">
        <v>761</v>
      </c>
      <c r="L25" s="846">
        <v>13</v>
      </c>
      <c r="M25" s="847">
        <v>377690.65504419798</v>
      </c>
      <c r="P25" s="114"/>
    </row>
    <row r="26" spans="2:16" ht="14.5" customHeight="1">
      <c r="D26" s="280" t="s">
        <v>650</v>
      </c>
      <c r="E26" s="326" t="str">
        <f>IF(SUM(E24:E25)&gt;1,"Total Too High! Total must be equal to 100%",IF(SUM(E24:E25)&lt;1,"Total Too Low! Total must be equal to 100%","OK"))</f>
        <v>OK</v>
      </c>
      <c r="F26" s="22"/>
      <c r="G26" s="205"/>
      <c r="H26" s="22"/>
      <c r="L26" s="846">
        <v>14</v>
      </c>
      <c r="M26" s="847">
        <v>409677.45887607906</v>
      </c>
      <c r="O26" s="22"/>
      <c r="P26" s="114"/>
    </row>
    <row r="27" spans="2:16" ht="14.5" customHeight="1">
      <c r="D27" s="280"/>
      <c r="E27" s="326"/>
      <c r="F27" s="22"/>
      <c r="G27" s="22"/>
      <c r="H27" s="22"/>
      <c r="L27" s="846">
        <v>15</v>
      </c>
      <c r="M27" s="847">
        <v>441980.05081205524</v>
      </c>
      <c r="P27" s="114"/>
    </row>
    <row r="28" spans="2:16" ht="29">
      <c r="B28" s="183" t="s">
        <v>852</v>
      </c>
      <c r="C28" s="360" t="s">
        <v>853</v>
      </c>
      <c r="D28" s="150" t="s">
        <v>852</v>
      </c>
      <c r="E28" s="720">
        <v>0.05</v>
      </c>
      <c r="F28" s="150" t="s">
        <v>854</v>
      </c>
      <c r="G28" s="22"/>
      <c r="H28" s="22"/>
      <c r="L28" s="846">
        <v>16</v>
      </c>
      <c r="M28" s="847">
        <v>474282.64274803142</v>
      </c>
      <c r="O28" s="22"/>
      <c r="P28" s="114"/>
    </row>
    <row r="29" spans="2:16">
      <c r="G29" s="22"/>
      <c r="H29" s="22"/>
      <c r="L29" s="846">
        <v>17</v>
      </c>
      <c r="M29" s="847">
        <v>506585.23468400771</v>
      </c>
      <c r="P29" s="114"/>
    </row>
    <row r="30" spans="2:16" ht="29">
      <c r="B30" s="182" t="s">
        <v>871</v>
      </c>
      <c r="C30" s="362" t="s">
        <v>872</v>
      </c>
      <c r="D30" s="359" t="s">
        <v>762</v>
      </c>
      <c r="E30" s="721" t="s">
        <v>691</v>
      </c>
      <c r="G30" s="22"/>
      <c r="H30" s="22"/>
      <c r="L30" s="846">
        <v>18</v>
      </c>
      <c r="M30" s="847">
        <v>531026.55864776124</v>
      </c>
      <c r="O30" s="22"/>
      <c r="P30" s="114"/>
    </row>
    <row r="31" spans="2:16" ht="15" customHeight="1">
      <c r="G31" s="22"/>
      <c r="H31" s="22"/>
      <c r="L31" s="846">
        <v>19</v>
      </c>
      <c r="M31" s="847">
        <v>563329.1505837373</v>
      </c>
      <c r="P31" s="114"/>
    </row>
    <row r="32" spans="2:16" ht="29">
      <c r="B32" s="183" t="s">
        <v>787</v>
      </c>
      <c r="C32" s="360" t="s">
        <v>786</v>
      </c>
      <c r="D32" s="150" t="s">
        <v>810</v>
      </c>
      <c r="E32" s="718" t="s">
        <v>432</v>
      </c>
      <c r="G32" s="22"/>
      <c r="H32" s="22"/>
      <c r="L32" s="846">
        <v>20</v>
      </c>
      <c r="M32" s="847">
        <v>595631.74251971359</v>
      </c>
      <c r="O32" s="22"/>
      <c r="P32" s="114"/>
    </row>
    <row r="33" spans="2:10" ht="15" customHeight="1">
      <c r="I33" s="22"/>
      <c r="J33" s="22"/>
    </row>
    <row r="34" spans="2:10" ht="15" customHeight="1">
      <c r="B34" s="22"/>
      <c r="C34" s="22"/>
      <c r="D34" s="22"/>
      <c r="E34" s="22"/>
      <c r="F34" s="22"/>
      <c r="G34" s="22"/>
      <c r="H34" s="22"/>
      <c r="I34" s="22"/>
      <c r="J34" s="22"/>
    </row>
    <row r="35" spans="2:10" ht="15" customHeight="1">
      <c r="B35" s="358" t="s">
        <v>939</v>
      </c>
      <c r="C35" s="391"/>
      <c r="D35" s="391"/>
      <c r="E35" s="391"/>
      <c r="F35" s="391"/>
      <c r="G35" s="391"/>
      <c r="H35" s="490"/>
      <c r="I35" s="22"/>
      <c r="J35" s="22"/>
    </row>
    <row r="36" spans="2:10" ht="15" customHeight="1">
      <c r="B36" s="16" t="s">
        <v>803</v>
      </c>
      <c r="G36" s="353"/>
      <c r="H36" s="22"/>
      <c r="I36" s="22"/>
    </row>
    <row r="37" spans="2:10" ht="15" customHeight="1">
      <c r="B37" s="238" t="s">
        <v>804</v>
      </c>
      <c r="G37" s="353"/>
      <c r="H37" s="22"/>
      <c r="I37" s="22"/>
    </row>
    <row r="38" spans="2:10" ht="15" customHeight="1">
      <c r="B38" s="192"/>
      <c r="G38" s="353"/>
      <c r="H38" s="22"/>
      <c r="I38" s="22"/>
    </row>
    <row r="39" spans="2:10" ht="15" customHeight="1">
      <c r="B39" s="382" t="s">
        <v>781</v>
      </c>
      <c r="C39" s="383" t="s">
        <v>201</v>
      </c>
      <c r="D39" s="383" t="s">
        <v>755</v>
      </c>
      <c r="E39" s="383" t="s">
        <v>76</v>
      </c>
    </row>
    <row r="40" spans="2:10" ht="15" customHeight="1">
      <c r="B40" s="676" t="s">
        <v>1022</v>
      </c>
      <c r="C40" s="179" t="s">
        <v>1020</v>
      </c>
      <c r="D40" s="378">
        <f>E18</f>
        <v>5.5424528337275705</v>
      </c>
      <c r="E40" s="206" t="s">
        <v>285</v>
      </c>
    </row>
    <row r="41" spans="2:10" ht="15" customHeight="1">
      <c r="B41" s="673" t="s">
        <v>561</v>
      </c>
      <c r="C41" s="674" t="s">
        <v>1024</v>
      </c>
      <c r="D41" s="380">
        <f>'4.1-Settings Database'!M20</f>
        <v>5.5424528337275705</v>
      </c>
      <c r="E41" s="206" t="s">
        <v>285</v>
      </c>
    </row>
    <row r="42" spans="2:10" ht="15" customHeight="1">
      <c r="B42" s="366"/>
      <c r="C42" s="671" t="s">
        <v>1025</v>
      </c>
      <c r="D42" s="378">
        <f>'4.1-Settings Database'!$J$16</f>
        <v>12</v>
      </c>
      <c r="E42" s="206" t="s">
        <v>553</v>
      </c>
    </row>
    <row r="43" spans="2:10" ht="15" customHeight="1">
      <c r="B43" s="677"/>
      <c r="C43" s="672" t="s">
        <v>1026</v>
      </c>
      <c r="D43" s="378">
        <f>'4.1-Settings Database'!M22</f>
        <v>1.3579009442632548</v>
      </c>
      <c r="E43" s="206" t="s">
        <v>285</v>
      </c>
    </row>
    <row r="44" spans="2:10" ht="15" customHeight="1">
      <c r="B44" s="364"/>
      <c r="C44" s="675" t="s">
        <v>1027</v>
      </c>
      <c r="D44" s="379">
        <f>E15*(1+E28)</f>
        <v>1.91625</v>
      </c>
      <c r="E44" s="206" t="s">
        <v>285</v>
      </c>
    </row>
    <row r="45" spans="2:10" ht="15" customHeight="1">
      <c r="B45" s="365"/>
      <c r="C45" s="675" t="s">
        <v>1028</v>
      </c>
      <c r="D45" s="379">
        <f>E13*(1+E28)</f>
        <v>0</v>
      </c>
      <c r="E45" s="206" t="s">
        <v>285</v>
      </c>
    </row>
    <row r="46" spans="2:10">
      <c r="B46" s="191" t="s">
        <v>300</v>
      </c>
      <c r="C46" s="207" t="s">
        <v>560</v>
      </c>
      <c r="D46" s="378">
        <f>'4.1-Settings Database'!M25</f>
        <v>1.1084905667455138</v>
      </c>
      <c r="E46" s="206" t="s">
        <v>285</v>
      </c>
      <c r="J46" s="33"/>
    </row>
    <row r="47" spans="2:10" ht="15" customHeight="1"/>
    <row r="48" spans="2:10" ht="15" customHeight="1"/>
    <row r="49" spans="2:12" ht="18.5">
      <c r="B49" s="358" t="s">
        <v>940</v>
      </c>
      <c r="C49" s="491"/>
      <c r="D49" s="492"/>
      <c r="E49" s="493"/>
      <c r="F49" s="391"/>
      <c r="G49" s="391"/>
      <c r="H49" s="391"/>
    </row>
    <row r="50" spans="2:12">
      <c r="B50" s="29"/>
      <c r="C50" s="437"/>
      <c r="D50" s="438"/>
      <c r="E50" s="354"/>
    </row>
    <row r="51" spans="2:12">
      <c r="B51" s="383" t="s">
        <v>783</v>
      </c>
      <c r="C51" s="383" t="s">
        <v>755</v>
      </c>
      <c r="D51" s="383" t="s">
        <v>76</v>
      </c>
      <c r="E51" s="383" t="s">
        <v>755</v>
      </c>
      <c r="F51" s="383" t="s">
        <v>76</v>
      </c>
      <c r="G51" s="383" t="s">
        <v>782</v>
      </c>
    </row>
    <row r="52" spans="2:12">
      <c r="B52" s="393" t="s">
        <v>146</v>
      </c>
      <c r="C52" s="386">
        <f>General_EggProduction_Total*(1-$E$28)</f>
        <v>0</v>
      </c>
      <c r="D52" s="193" t="s">
        <v>285</v>
      </c>
      <c r="E52" s="397">
        <f t="shared" ref="E52:E53" si="0">C52*1000/Staff_Days_Operation</f>
        <v>0</v>
      </c>
      <c r="F52" s="193" t="s">
        <v>834</v>
      </c>
      <c r="G52" s="439">
        <f t="shared" ref="G52:G53" si="1">C52/SUM(General_Products_Amount)</f>
        <v>0</v>
      </c>
    </row>
    <row r="53" spans="2:12">
      <c r="B53" s="393" t="s">
        <v>108</v>
      </c>
      <c r="C53" s="387">
        <f>General_5DOLProduction_Total*(1-$E$28)</f>
        <v>1.8204374999999999</v>
      </c>
      <c r="D53" s="193" t="s">
        <v>285</v>
      </c>
      <c r="E53" s="397">
        <f t="shared" si="0"/>
        <v>4.9874999999999998</v>
      </c>
      <c r="F53" s="193" t="s">
        <v>834</v>
      </c>
      <c r="G53" s="439">
        <f t="shared" si="1"/>
        <v>1</v>
      </c>
    </row>
    <row r="54" spans="2:12">
      <c r="B54" s="191" t="s">
        <v>791</v>
      </c>
      <c r="C54" s="394">
        <f>SUM(General_Products_Amount)</f>
        <v>1.8204374999999999</v>
      </c>
      <c r="D54" s="365" t="s">
        <v>285</v>
      </c>
      <c r="E54" s="394">
        <f>SUM(E52:E53)</f>
        <v>4.9874999999999998</v>
      </c>
      <c r="F54" s="365" t="s">
        <v>546</v>
      </c>
      <c r="G54" s="440">
        <f>SUM(G52:G53)</f>
        <v>1</v>
      </c>
    </row>
    <row r="55" spans="2:12">
      <c r="B55" s="29"/>
      <c r="C55" s="437"/>
      <c r="D55" s="438"/>
      <c r="E55" s="354"/>
    </row>
    <row r="56" spans="2:12" ht="15" customHeight="1">
      <c r="I56" s="22"/>
      <c r="J56" s="22"/>
    </row>
    <row r="57" spans="2:12" ht="15" customHeight="1">
      <c r="B57" s="358" t="s">
        <v>838</v>
      </c>
      <c r="C57" s="391"/>
      <c r="D57" s="391"/>
      <c r="E57" s="391"/>
      <c r="F57" s="391"/>
      <c r="G57" s="391"/>
      <c r="H57" s="391"/>
    </row>
    <row r="58" spans="2:12" ht="15" customHeight="1">
      <c r="B58" s="16" t="s">
        <v>1099</v>
      </c>
    </row>
    <row r="59" spans="2:12" ht="15" customHeight="1">
      <c r="J59" s="22"/>
      <c r="K59" s="22"/>
      <c r="L59" s="22"/>
    </row>
    <row r="60" spans="2:12" ht="14.5" customHeight="1">
      <c r="B60" s="361" t="s">
        <v>759</v>
      </c>
      <c r="C60" s="361" t="s">
        <v>201</v>
      </c>
      <c r="D60" s="361" t="s">
        <v>763</v>
      </c>
      <c r="E60" s="361" t="s">
        <v>760</v>
      </c>
      <c r="F60" s="361" t="s">
        <v>76</v>
      </c>
      <c r="G60" s="361" t="s">
        <v>766</v>
      </c>
      <c r="H60" s="361" t="s">
        <v>76</v>
      </c>
      <c r="J60" s="29"/>
      <c r="K60" s="22"/>
      <c r="L60" s="22"/>
    </row>
    <row r="61" spans="2:12">
      <c r="J61" s="22"/>
      <c r="K61" s="22"/>
      <c r="L61" s="22"/>
    </row>
    <row r="62" spans="2:12">
      <c r="B62" s="16" t="s">
        <v>1029</v>
      </c>
      <c r="C62" s="150" t="s">
        <v>1030</v>
      </c>
      <c r="D62" s="22" t="s">
        <v>299</v>
      </c>
      <c r="E62" s="722">
        <v>28244.439999999995</v>
      </c>
      <c r="F62" s="320" t="s">
        <v>699</v>
      </c>
      <c r="G62" s="679">
        <f>IFERROR((E62*1000)/(INDEX(Settings_Currency_Table[],MATCH(General_Currency_Selection,Settings_Currency,0),2)),0)</f>
        <v>1999.9999999999998</v>
      </c>
      <c r="H62" s="320" t="s">
        <v>614</v>
      </c>
      <c r="J62" s="22"/>
      <c r="K62" s="22"/>
      <c r="L62" s="22"/>
    </row>
    <row r="63" spans="2:12">
      <c r="D63" s="22"/>
      <c r="E63" s="680"/>
      <c r="F63" s="320"/>
      <c r="G63" s="114"/>
      <c r="H63" s="320"/>
      <c r="J63" s="22"/>
      <c r="K63" s="22"/>
      <c r="L63" s="22"/>
    </row>
    <row r="64" spans="2:12">
      <c r="B64" s="183" t="s">
        <v>1031</v>
      </c>
      <c r="C64" s="150" t="s">
        <v>1032</v>
      </c>
      <c r="D64" s="337" t="s">
        <v>146</v>
      </c>
      <c r="E64" s="723">
        <f>15000*1000</f>
        <v>15000000</v>
      </c>
      <c r="F64" s="320" t="s">
        <v>699</v>
      </c>
      <c r="G64" s="335">
        <f>IFERROR((E64*1000)/(INDEX(Settings_Currency_Table[],MATCH(General_Currency_Selection,Settings_Currency,0),2)),0)</f>
        <v>1062155.9499852008</v>
      </c>
      <c r="H64" s="320" t="s">
        <v>614</v>
      </c>
      <c r="J64" s="22"/>
      <c r="K64" s="22"/>
      <c r="L64" s="22"/>
    </row>
    <row r="65" spans="2:13" ht="14.5" customHeight="1">
      <c r="B65" s="678"/>
      <c r="C65" s="615"/>
      <c r="D65" s="337" t="s">
        <v>108</v>
      </c>
      <c r="E65" s="723">
        <v>353055.49999999988</v>
      </c>
      <c r="F65" s="320" t="s">
        <v>699</v>
      </c>
      <c r="G65" s="335">
        <f>IFERROR((E65*1000)/(INDEX(Settings_Currency_Table[],MATCH(General_Currency_Selection,Settings_Currency,0),2)),0)</f>
        <v>24999.999999999993</v>
      </c>
      <c r="H65" s="320" t="s">
        <v>614</v>
      </c>
      <c r="J65" s="22"/>
      <c r="K65" s="22"/>
      <c r="L65" s="22"/>
    </row>
    <row r="66" spans="2:13" ht="14.5" customHeight="1">
      <c r="F66" s="22"/>
      <c r="H66" s="22"/>
      <c r="J66" s="22"/>
      <c r="K66" s="22"/>
      <c r="L66" s="22"/>
    </row>
    <row r="67" spans="2:13" ht="29">
      <c r="B67" s="183" t="s">
        <v>1036</v>
      </c>
      <c r="C67" s="615" t="s">
        <v>1037</v>
      </c>
      <c r="D67" s="354" t="s">
        <v>1038</v>
      </c>
      <c r="E67" s="724" t="s">
        <v>433</v>
      </c>
      <c r="F67" s="682" t="str">
        <f>IF(E67="Yes","Please specify details in tab 2.4 Transport input.","")</f>
        <v/>
      </c>
      <c r="H67" s="22"/>
      <c r="J67" s="22"/>
      <c r="K67" s="22"/>
      <c r="L67" s="22"/>
    </row>
    <row r="68" spans="2:13" ht="14.5" customHeight="1">
      <c r="F68" s="22"/>
      <c r="H68" s="22"/>
      <c r="J68" s="22"/>
      <c r="K68" s="22"/>
      <c r="L68" s="22"/>
    </row>
    <row r="69" spans="2:13">
      <c r="B69" s="16" t="s">
        <v>764</v>
      </c>
      <c r="C69" s="855" t="s">
        <v>768</v>
      </c>
      <c r="D69" s="363" t="s">
        <v>99</v>
      </c>
      <c r="E69" s="723">
        <v>1500</v>
      </c>
      <c r="F69" s="320" t="s">
        <v>697</v>
      </c>
      <c r="G69" s="367">
        <f>IFERROR(E69/(INDEX(Settings_Currency_Table[],MATCH(General_Currency_Selection,Settings_Currency,0),2)),0)</f>
        <v>0.10621559499852007</v>
      </c>
      <c r="H69" s="320" t="s">
        <v>697</v>
      </c>
      <c r="J69" s="22"/>
      <c r="K69" s="22"/>
      <c r="L69" s="22"/>
    </row>
    <row r="70" spans="2:13">
      <c r="C70" s="855"/>
      <c r="D70" s="363" t="s">
        <v>100</v>
      </c>
      <c r="E70" s="723">
        <v>3000</v>
      </c>
      <c r="F70" s="320" t="s">
        <v>698</v>
      </c>
      <c r="G70" s="367">
        <f>IFERROR(E70/(INDEX(Settings_Currency_Table[],MATCH(General_Currency_Selection,Settings_Currency,0),2)),0)</f>
        <v>0.21243118999704014</v>
      </c>
      <c r="H70" s="320" t="s">
        <v>698</v>
      </c>
      <c r="J70" s="22"/>
      <c r="K70" s="22"/>
      <c r="L70" s="22"/>
    </row>
    <row r="71" spans="2:13" ht="14.5" customHeight="1">
      <c r="C71" s="855"/>
      <c r="D71" s="363" t="s">
        <v>105</v>
      </c>
      <c r="E71" s="723">
        <v>5000</v>
      </c>
      <c r="F71" s="320" t="s">
        <v>699</v>
      </c>
      <c r="G71" s="367">
        <f>IFERROR(E71/(INDEX(Settings_Currency_Table[],MATCH(General_Currency_Selection,Settings_Currency,0),2)),0)</f>
        <v>0.35405198332840021</v>
      </c>
      <c r="H71" s="320" t="s">
        <v>699</v>
      </c>
      <c r="J71" s="22"/>
      <c r="K71" s="22"/>
      <c r="L71" s="22"/>
    </row>
    <row r="72" spans="2:13" ht="14.5" customHeight="1">
      <c r="C72" s="855"/>
      <c r="D72" s="363" t="s">
        <v>511</v>
      </c>
      <c r="E72" s="723">
        <v>8000</v>
      </c>
      <c r="F72" s="320" t="s">
        <v>699</v>
      </c>
      <c r="G72" s="367">
        <f>IFERROR(E72/(INDEX(Settings_Currency_Table[],MATCH(General_Currency_Selection,Settings_Currency,0),2)),0)</f>
        <v>0.5664831733254404</v>
      </c>
      <c r="H72" s="320" t="s">
        <v>699</v>
      </c>
      <c r="J72" s="22"/>
      <c r="K72" s="22"/>
      <c r="L72" s="22"/>
    </row>
    <row r="73" spans="2:13">
      <c r="C73" s="855"/>
      <c r="D73" s="363" t="s">
        <v>510</v>
      </c>
      <c r="E73" s="723">
        <v>5400</v>
      </c>
      <c r="F73" s="320" t="s">
        <v>699</v>
      </c>
      <c r="G73" s="367">
        <f>IFERROR(E73/(INDEX(Settings_Currency_Table[],MATCH(General_Currency_Selection,Settings_Currency,0),2)),0)</f>
        <v>0.38237614199467224</v>
      </c>
      <c r="H73" s="320" t="s">
        <v>699</v>
      </c>
      <c r="J73" s="22"/>
      <c r="K73" s="22"/>
      <c r="L73" s="22"/>
    </row>
    <row r="74" spans="2:13" ht="18.5">
      <c r="B74" s="217"/>
      <c r="F74" s="22"/>
      <c r="H74" s="22"/>
      <c r="J74" s="22"/>
      <c r="K74" s="22"/>
      <c r="L74" s="22"/>
    </row>
    <row r="75" spans="2:13">
      <c r="B75" s="16" t="s">
        <v>797</v>
      </c>
      <c r="C75" s="15" t="s">
        <v>774</v>
      </c>
      <c r="D75" s="369" t="s">
        <v>622</v>
      </c>
      <c r="E75" s="723">
        <v>100000</v>
      </c>
      <c r="F75" s="320" t="s">
        <v>695</v>
      </c>
      <c r="G75" s="367">
        <f>IFERROR(E75/(INDEX(Settings_Currency_Table[],MATCH(General_Currency_Selection,Settings_Currency,0),2)),0)</f>
        <v>7.0810396665680049</v>
      </c>
      <c r="H75" s="320" t="s">
        <v>695</v>
      </c>
      <c r="I75" s="29"/>
      <c r="J75" s="29"/>
      <c r="K75" s="22"/>
      <c r="L75" s="22"/>
    </row>
    <row r="76" spans="2:13" ht="14.5" customHeight="1">
      <c r="B76" s="192"/>
      <c r="D76" s="369" t="s">
        <v>683</v>
      </c>
      <c r="E76" s="723">
        <v>1500000</v>
      </c>
      <c r="F76" s="320" t="s">
        <v>675</v>
      </c>
      <c r="G76" s="367">
        <f>IFERROR(E76/(INDEX(Settings_Currency_Table[],MATCH(General_Currency_Selection,Settings_Currency,0),2)),0)</f>
        <v>106.21559499852006</v>
      </c>
      <c r="H76" s="320" t="s">
        <v>675</v>
      </c>
      <c r="J76" s="22"/>
      <c r="K76" s="22"/>
      <c r="L76" s="22"/>
    </row>
    <row r="77" spans="2:13">
      <c r="B77" s="29"/>
      <c r="C77" s="29"/>
      <c r="D77" s="369" t="s">
        <v>687</v>
      </c>
      <c r="E77" s="723">
        <v>750000</v>
      </c>
      <c r="F77" s="320" t="s">
        <v>744</v>
      </c>
      <c r="G77" s="367">
        <f>IFERROR(E77/(INDEX(Settings_Currency_Table[],MATCH(General_Currency_Selection,Settings_Currency,0),2)),0)</f>
        <v>53.10779749926003</v>
      </c>
      <c r="H77" s="320" t="s">
        <v>744</v>
      </c>
      <c r="J77" s="22"/>
      <c r="K77" s="22"/>
      <c r="L77" s="22"/>
    </row>
    <row r="78" spans="2:13">
      <c r="D78" s="369" t="s">
        <v>658</v>
      </c>
      <c r="E78" s="725">
        <v>0.3</v>
      </c>
      <c r="F78" s="320" t="s">
        <v>639</v>
      </c>
      <c r="G78" s="368"/>
      <c r="H78" s="320" t="s">
        <v>639</v>
      </c>
      <c r="J78" s="22"/>
      <c r="K78" s="22"/>
      <c r="L78" s="22"/>
      <c r="M78" s="173"/>
    </row>
    <row r="79" spans="2:13" ht="14.5" customHeight="1">
      <c r="B79" s="22"/>
      <c r="C79" s="22"/>
      <c r="D79" s="369" t="s">
        <v>659</v>
      </c>
      <c r="E79" s="723">
        <v>0</v>
      </c>
      <c r="F79" s="320" t="s">
        <v>696</v>
      </c>
      <c r="G79" s="367">
        <f>IFERROR(E79/(INDEX(Settings_Currency_Table[],MATCH(General_Currency_Selection,Settings_Currency,0),2)),0)</f>
        <v>0</v>
      </c>
      <c r="H79" s="320" t="s">
        <v>696</v>
      </c>
      <c r="J79" s="22"/>
      <c r="K79" s="22"/>
      <c r="L79" s="22"/>
      <c r="M79" s="22"/>
    </row>
    <row r="80" spans="2:13" ht="29">
      <c r="B80" s="22"/>
      <c r="C80" s="360" t="s">
        <v>788</v>
      </c>
      <c r="D80" s="389" t="s">
        <v>789</v>
      </c>
      <c r="E80" s="726">
        <v>10</v>
      </c>
      <c r="F80" s="381" t="s">
        <v>792</v>
      </c>
      <c r="G80" s="340"/>
      <c r="H80" s="320"/>
      <c r="J80" s="22"/>
      <c r="K80" s="22"/>
      <c r="L80" s="22"/>
      <c r="M80" s="22"/>
    </row>
    <row r="81" spans="2:13" ht="14.5" customHeight="1">
      <c r="B81" s="22"/>
      <c r="D81" s="384" t="s">
        <v>748</v>
      </c>
      <c r="E81" s="726">
        <v>35</v>
      </c>
      <c r="F81" s="384" t="s">
        <v>749</v>
      </c>
      <c r="G81" s="340"/>
      <c r="H81" s="320"/>
      <c r="J81" s="22"/>
      <c r="K81" s="22"/>
      <c r="L81" s="22"/>
      <c r="M81" s="22"/>
    </row>
    <row r="82" spans="2:13">
      <c r="C82" s="360"/>
      <c r="D82" s="384" t="s">
        <v>785</v>
      </c>
      <c r="E82" s="726">
        <v>234</v>
      </c>
      <c r="F82" s="363" t="s">
        <v>765</v>
      </c>
      <c r="J82" s="22"/>
      <c r="K82" s="22"/>
      <c r="L82" s="22"/>
      <c r="M82" s="22"/>
    </row>
    <row r="83" spans="2:13">
      <c r="J83" s="22"/>
      <c r="K83" s="22"/>
      <c r="L83" s="22"/>
      <c r="M83" s="22"/>
    </row>
    <row r="84" spans="2:13">
      <c r="B84" s="16" t="s">
        <v>818</v>
      </c>
      <c r="C84" s="15" t="s">
        <v>855</v>
      </c>
      <c r="D84" s="15" t="s">
        <v>856</v>
      </c>
      <c r="E84" s="727">
        <v>2.5000000000000001E-2</v>
      </c>
      <c r="F84" s="15" t="s">
        <v>793</v>
      </c>
      <c r="J84" s="22"/>
      <c r="K84" s="22"/>
      <c r="L84" s="22"/>
      <c r="M84" s="22"/>
    </row>
    <row r="85" spans="2:13">
      <c r="B85" s="16"/>
      <c r="C85" s="15" t="s">
        <v>819</v>
      </c>
      <c r="D85" s="15" t="s">
        <v>830</v>
      </c>
      <c r="E85" s="727">
        <v>0</v>
      </c>
      <c r="F85" s="15" t="s">
        <v>821</v>
      </c>
      <c r="J85" s="22"/>
      <c r="K85" s="22"/>
      <c r="L85" s="22"/>
      <c r="M85" s="22"/>
    </row>
    <row r="86" spans="2:13">
      <c r="C86" s="15" t="s">
        <v>875</v>
      </c>
      <c r="D86" s="363" t="s">
        <v>829</v>
      </c>
      <c r="E86" s="719">
        <v>0.05</v>
      </c>
      <c r="F86" s="320" t="s">
        <v>793</v>
      </c>
      <c r="J86" s="22"/>
      <c r="K86" s="22"/>
      <c r="L86" s="29"/>
      <c r="M86" s="29"/>
    </row>
    <row r="87" spans="2:13">
      <c r="C87" s="15" t="s">
        <v>876</v>
      </c>
      <c r="D87" s="363" t="s">
        <v>794</v>
      </c>
      <c r="E87" s="719">
        <v>0</v>
      </c>
      <c r="F87" s="320" t="s">
        <v>793</v>
      </c>
      <c r="J87" s="22"/>
      <c r="K87" s="22"/>
      <c r="L87" s="29"/>
      <c r="M87" s="29"/>
    </row>
    <row r="88" spans="2:13">
      <c r="G88" s="22"/>
      <c r="H88" s="22"/>
      <c r="I88" s="22"/>
      <c r="J88" s="22"/>
      <c r="K88" s="22"/>
      <c r="L88" s="22"/>
      <c r="M88" s="22"/>
    </row>
    <row r="89" spans="2:13">
      <c r="B89" s="16" t="s">
        <v>192</v>
      </c>
      <c r="C89" s="15" t="s">
        <v>835</v>
      </c>
      <c r="D89" s="369" t="s">
        <v>831</v>
      </c>
      <c r="E89" s="728">
        <v>30</v>
      </c>
      <c r="F89" s="276" t="s">
        <v>553</v>
      </c>
      <c r="G89" s="22"/>
      <c r="H89" s="22"/>
      <c r="I89" s="22"/>
      <c r="J89" s="22"/>
      <c r="K89" s="22"/>
      <c r="L89" s="22"/>
      <c r="M89" s="22"/>
    </row>
    <row r="90" spans="2:13">
      <c r="B90" s="16"/>
      <c r="D90" s="369" t="s">
        <v>832</v>
      </c>
      <c r="E90" s="728">
        <f>2/3</f>
        <v>0.66666666666666663</v>
      </c>
      <c r="F90" s="276" t="s">
        <v>833</v>
      </c>
      <c r="G90" s="22"/>
      <c r="H90" s="22"/>
      <c r="I90" s="22"/>
      <c r="J90" s="22"/>
      <c r="K90" s="22"/>
      <c r="L90" s="22"/>
      <c r="M90" s="22"/>
    </row>
    <row r="91" spans="2:13">
      <c r="G91" s="22"/>
      <c r="H91" s="22"/>
      <c r="I91" s="22"/>
      <c r="J91" s="22"/>
      <c r="K91" s="22"/>
      <c r="L91" s="22"/>
      <c r="M91" s="22"/>
    </row>
    <row r="92" spans="2:13" ht="14.5" customHeight="1">
      <c r="B92" s="183" t="s">
        <v>771</v>
      </c>
      <c r="C92" s="855" t="s">
        <v>807</v>
      </c>
      <c r="D92" s="370" t="s">
        <v>773</v>
      </c>
      <c r="E92" s="729">
        <v>15</v>
      </c>
      <c r="F92" s="357" t="s">
        <v>795</v>
      </c>
      <c r="G92" s="312"/>
      <c r="J92" s="22"/>
      <c r="K92" s="22"/>
      <c r="L92" s="22"/>
    </row>
    <row r="93" spans="2:13">
      <c r="C93" s="855"/>
      <c r="D93" s="369" t="s">
        <v>796</v>
      </c>
      <c r="E93" s="719">
        <v>0.05</v>
      </c>
      <c r="F93" s="320" t="s">
        <v>726</v>
      </c>
      <c r="J93" s="22"/>
      <c r="K93" s="22"/>
      <c r="L93" s="22"/>
    </row>
    <row r="94" spans="2:13">
      <c r="C94" s="855"/>
      <c r="D94" s="369" t="s">
        <v>132</v>
      </c>
      <c r="E94" s="728">
        <v>70</v>
      </c>
      <c r="F94" s="320" t="s">
        <v>740</v>
      </c>
      <c r="G94" s="312"/>
      <c r="J94" s="22"/>
      <c r="K94" s="22"/>
      <c r="L94" s="22"/>
    </row>
    <row r="95" spans="2:13">
      <c r="C95" s="855"/>
      <c r="D95" s="369" t="s">
        <v>118</v>
      </c>
      <c r="E95" s="728">
        <v>3</v>
      </c>
      <c r="F95" s="320" t="s">
        <v>772</v>
      </c>
      <c r="G95" s="312"/>
      <c r="J95" s="22"/>
      <c r="K95" s="22"/>
      <c r="L95" s="22"/>
    </row>
    <row r="96" spans="2:13">
      <c r="F96" s="22"/>
      <c r="G96" s="312"/>
      <c r="J96" s="22"/>
      <c r="K96" s="22"/>
      <c r="L96" s="22"/>
    </row>
    <row r="97" spans="2:13">
      <c r="B97" s="16" t="s">
        <v>756</v>
      </c>
      <c r="C97" s="15" t="s">
        <v>811</v>
      </c>
      <c r="D97" s="363" t="s">
        <v>567</v>
      </c>
      <c r="E97" s="728">
        <v>8</v>
      </c>
      <c r="F97" s="22" t="s">
        <v>438</v>
      </c>
      <c r="G97" s="312"/>
      <c r="J97" s="22"/>
      <c r="K97" s="22"/>
      <c r="L97" s="22"/>
    </row>
    <row r="98" spans="2:13">
      <c r="D98" s="363" t="s">
        <v>551</v>
      </c>
      <c r="E98" s="728">
        <v>7</v>
      </c>
      <c r="F98" s="22" t="s">
        <v>535</v>
      </c>
      <c r="G98" s="312"/>
      <c r="J98" s="22"/>
      <c r="K98" s="22"/>
      <c r="L98" s="22"/>
    </row>
    <row r="99" spans="2:13" ht="14.5" customHeight="1">
      <c r="D99" s="363" t="s">
        <v>550</v>
      </c>
      <c r="E99" s="728">
        <v>52</v>
      </c>
      <c r="F99" s="22" t="s">
        <v>533</v>
      </c>
      <c r="G99" s="312"/>
      <c r="J99" s="22"/>
      <c r="K99" s="22"/>
      <c r="L99" s="22"/>
    </row>
    <row r="100" spans="2:13">
      <c r="D100" s="371" t="s">
        <v>552</v>
      </c>
      <c r="E100" s="374">
        <f>E99*E98+1</f>
        <v>365</v>
      </c>
      <c r="F100" s="22" t="s">
        <v>553</v>
      </c>
      <c r="G100" s="312"/>
      <c r="J100" s="22"/>
      <c r="K100" s="22"/>
      <c r="L100" s="22"/>
    </row>
    <row r="101" spans="2:13">
      <c r="G101" s="312"/>
      <c r="H101" s="22"/>
      <c r="I101" s="22"/>
      <c r="J101" s="22"/>
      <c r="K101" s="22"/>
      <c r="L101" s="22"/>
      <c r="M101" s="22"/>
    </row>
    <row r="102" spans="2:13">
      <c r="B102" s="16" t="s">
        <v>269</v>
      </c>
      <c r="C102" s="15" t="s">
        <v>812</v>
      </c>
      <c r="D102" s="363" t="s">
        <v>914</v>
      </c>
      <c r="E102" s="728">
        <v>52</v>
      </c>
      <c r="F102" s="22" t="s">
        <v>533</v>
      </c>
      <c r="G102" s="312"/>
      <c r="H102" s="22"/>
      <c r="I102" s="22"/>
      <c r="J102" s="22"/>
      <c r="K102" s="22"/>
      <c r="L102" s="22"/>
      <c r="M102" s="22"/>
    </row>
    <row r="103" spans="2:13">
      <c r="D103" s="363" t="s">
        <v>915</v>
      </c>
      <c r="E103" s="728">
        <v>40</v>
      </c>
      <c r="F103" s="22" t="s">
        <v>438</v>
      </c>
      <c r="G103" s="312"/>
      <c r="H103" s="22"/>
      <c r="I103" s="22"/>
      <c r="J103" s="22"/>
      <c r="K103" s="22"/>
      <c r="L103" s="22"/>
      <c r="M103" s="22"/>
    </row>
    <row r="104" spans="2:13">
      <c r="D104" s="363" t="s">
        <v>916</v>
      </c>
      <c r="E104" s="728">
        <v>8</v>
      </c>
      <c r="F104" s="22" t="s">
        <v>438</v>
      </c>
      <c r="G104" s="312"/>
      <c r="H104" s="22"/>
      <c r="I104" s="22"/>
      <c r="J104" s="22"/>
      <c r="K104" s="22"/>
      <c r="L104" s="22"/>
      <c r="M104" s="22"/>
    </row>
    <row r="105" spans="2:13">
      <c r="D105" s="363" t="s">
        <v>917</v>
      </c>
      <c r="E105" s="728">
        <v>4</v>
      </c>
      <c r="F105" s="22" t="s">
        <v>533</v>
      </c>
      <c r="G105" s="312"/>
      <c r="H105" s="22"/>
      <c r="I105" s="22"/>
      <c r="J105" s="22"/>
      <c r="K105" s="22"/>
      <c r="L105" s="22"/>
      <c r="M105" s="22"/>
    </row>
    <row r="106" spans="2:13" ht="29">
      <c r="D106" s="371" t="s">
        <v>918</v>
      </c>
      <c r="E106" s="446">
        <f>(E102-E105)*E103</f>
        <v>1920</v>
      </c>
      <c r="F106" s="195" t="s">
        <v>534</v>
      </c>
      <c r="H106" s="337"/>
      <c r="I106" s="337"/>
      <c r="J106" s="337"/>
      <c r="K106" s="337"/>
      <c r="L106" s="337"/>
      <c r="M106" s="337"/>
    </row>
    <row r="107" spans="2:13">
      <c r="H107" s="337"/>
      <c r="I107" s="337"/>
      <c r="J107" s="337"/>
      <c r="K107" s="337"/>
      <c r="L107" s="337"/>
      <c r="M107" s="337"/>
    </row>
    <row r="108" spans="2:13">
      <c r="B108" s="857" t="s">
        <v>808</v>
      </c>
      <c r="C108" s="855" t="s">
        <v>813</v>
      </c>
      <c r="D108" s="363" t="s">
        <v>651</v>
      </c>
      <c r="E108" s="367">
        <f>IF(E32="Yes",'5.1-Financial Analysis'!C13,0)</f>
        <v>7146.3640277520108</v>
      </c>
      <c r="F108" s="15" t="s">
        <v>798</v>
      </c>
      <c r="H108" s="372"/>
      <c r="I108" s="337"/>
      <c r="J108" s="339"/>
      <c r="K108" s="337"/>
      <c r="L108" s="337"/>
      <c r="M108" s="372"/>
    </row>
    <row r="109" spans="2:13">
      <c r="B109" s="857"/>
      <c r="C109" s="855"/>
      <c r="D109" s="363" t="s">
        <v>652</v>
      </c>
      <c r="E109" s="730">
        <v>0.06</v>
      </c>
      <c r="F109" s="22"/>
      <c r="H109" s="372"/>
      <c r="I109" s="337"/>
      <c r="J109" s="22"/>
      <c r="K109" s="337"/>
      <c r="L109" s="337"/>
      <c r="M109" s="372"/>
    </row>
    <row r="110" spans="2:13">
      <c r="B110" s="337"/>
      <c r="C110" s="855"/>
      <c r="D110" s="363" t="s">
        <v>655</v>
      </c>
      <c r="E110" s="728">
        <v>10</v>
      </c>
      <c r="F110" s="337" t="s">
        <v>757</v>
      </c>
      <c r="H110" s="337"/>
      <c r="I110" s="337"/>
      <c r="J110" s="337"/>
      <c r="K110" s="337"/>
      <c r="L110" s="337"/>
      <c r="M110" s="337"/>
    </row>
    <row r="111" spans="2:13">
      <c r="B111" s="339"/>
      <c r="C111" s="855"/>
      <c r="D111" s="363" t="s">
        <v>654</v>
      </c>
      <c r="E111" s="375">
        <f>E110*12</f>
        <v>120</v>
      </c>
      <c r="F111" s="337" t="s">
        <v>799</v>
      </c>
      <c r="H111" s="339"/>
      <c r="I111" s="339"/>
      <c r="J111" s="339"/>
      <c r="K111" s="339"/>
      <c r="L111" s="337"/>
      <c r="M111" s="339"/>
    </row>
    <row r="112" spans="2:13">
      <c r="C112" s="855"/>
      <c r="D112" s="363" t="s">
        <v>657</v>
      </c>
      <c r="E112" s="376">
        <f>E109/12</f>
        <v>5.0000000000000001E-3</v>
      </c>
      <c r="F112" s="337" t="s">
        <v>775</v>
      </c>
      <c r="H112" s="22"/>
      <c r="I112" s="22"/>
      <c r="J112" s="22"/>
      <c r="K112" s="22"/>
      <c r="L112" s="337"/>
      <c r="M112" s="22"/>
    </row>
    <row r="113" spans="2:13">
      <c r="C113" s="855"/>
      <c r="D113" s="363" t="s">
        <v>656</v>
      </c>
      <c r="E113" s="367">
        <f>IF(ISBLANK(E111),0,-PMT(E112,E111,E108))</f>
        <v>79.339292141877593</v>
      </c>
      <c r="F113" s="337" t="s">
        <v>775</v>
      </c>
      <c r="H113" s="22"/>
      <c r="I113" s="22"/>
      <c r="J113" s="22"/>
      <c r="K113" s="22"/>
      <c r="L113" s="337"/>
      <c r="M113" s="22"/>
    </row>
    <row r="114" spans="2:13">
      <c r="C114" s="855"/>
      <c r="D114" s="384" t="s">
        <v>653</v>
      </c>
      <c r="E114" s="447">
        <f>IF(ISBLANK(E111),0,E111*E113)</f>
        <v>9520.7150570253107</v>
      </c>
      <c r="F114" s="354" t="str">
        <f>"after "&amp;E110&amp;" years"</f>
        <v>after 10 years</v>
      </c>
      <c r="H114" s="22"/>
      <c r="I114" s="22"/>
      <c r="J114" s="22"/>
      <c r="K114" s="22"/>
      <c r="L114" s="337"/>
      <c r="M114" s="22"/>
    </row>
    <row r="115" spans="2:13">
      <c r="C115" s="855"/>
      <c r="D115" s="384" t="s">
        <v>709</v>
      </c>
      <c r="E115" s="447">
        <f>E114-E108</f>
        <v>2374.3510292732999</v>
      </c>
      <c r="F115" s="354" t="str">
        <f>"after "&amp;E110&amp;" years"</f>
        <v>after 10 years</v>
      </c>
      <c r="H115" s="22"/>
      <c r="I115" s="22"/>
      <c r="J115" s="22"/>
      <c r="K115" s="22"/>
      <c r="L115" s="337"/>
      <c r="M115" s="22"/>
    </row>
    <row r="116" spans="2:13">
      <c r="D116" s="22"/>
      <c r="F116" s="337"/>
      <c r="H116" s="22"/>
      <c r="I116" s="22"/>
      <c r="J116" s="22"/>
      <c r="K116" s="22"/>
      <c r="L116" s="337"/>
      <c r="M116" s="337"/>
    </row>
    <row r="117" spans="2:13">
      <c r="B117" s="16" t="s">
        <v>800</v>
      </c>
      <c r="C117" s="855" t="s">
        <v>814</v>
      </c>
      <c r="D117" s="363" t="s">
        <v>776</v>
      </c>
      <c r="E117" s="730">
        <v>0.17469999999999999</v>
      </c>
      <c r="H117" s="22"/>
      <c r="I117" s="22"/>
      <c r="J117" s="22"/>
      <c r="K117" s="22"/>
      <c r="L117" s="337"/>
      <c r="M117" s="337"/>
    </row>
    <row r="118" spans="2:13">
      <c r="C118" s="855"/>
      <c r="D118" s="22" t="s">
        <v>777</v>
      </c>
      <c r="E118" s="730">
        <v>0.3</v>
      </c>
      <c r="H118" s="337"/>
      <c r="I118" s="337"/>
      <c r="J118" s="337"/>
      <c r="K118" s="337"/>
      <c r="L118" s="337"/>
      <c r="M118" s="337"/>
    </row>
    <row r="119" spans="2:13">
      <c r="B119" s="276"/>
      <c r="C119" s="855"/>
      <c r="D119" s="363" t="s">
        <v>778</v>
      </c>
      <c r="E119" s="730">
        <v>9.6000000000000002E-2</v>
      </c>
      <c r="H119" s="337"/>
      <c r="I119" s="337"/>
      <c r="J119" s="22"/>
      <c r="K119" s="337"/>
      <c r="L119" s="337"/>
      <c r="M119" s="337"/>
    </row>
    <row r="120" spans="2:13">
      <c r="B120" s="372"/>
      <c r="C120" s="855"/>
      <c r="D120" s="22" t="s">
        <v>779</v>
      </c>
      <c r="E120" s="377">
        <f>1-E118</f>
        <v>0.7</v>
      </c>
      <c r="F120" s="22"/>
      <c r="H120" s="372"/>
      <c r="I120" s="337"/>
      <c r="J120" s="22"/>
      <c r="K120" s="337"/>
      <c r="L120" s="337"/>
      <c r="M120" s="856"/>
    </row>
    <row r="121" spans="2:13">
      <c r="B121" s="372"/>
      <c r="C121" s="855"/>
      <c r="D121" s="363" t="s">
        <v>780</v>
      </c>
      <c r="E121" s="730">
        <v>0.22</v>
      </c>
      <c r="F121" s="398"/>
      <c r="H121" s="372"/>
      <c r="I121" s="337"/>
      <c r="J121" s="398"/>
      <c r="K121" s="337"/>
      <c r="L121" s="337"/>
      <c r="M121" s="856"/>
    </row>
    <row r="122" spans="2:13" ht="29">
      <c r="B122" s="337"/>
      <c r="C122" s="855"/>
      <c r="D122" s="166" t="s">
        <v>1074</v>
      </c>
      <c r="E122" s="399">
        <f>(E117*E118)+(E119*E120)*(1-E121)</f>
        <v>0.104826</v>
      </c>
      <c r="F122" s="373" t="s">
        <v>904</v>
      </c>
      <c r="H122" s="338"/>
      <c r="I122" s="337"/>
      <c r="J122" s="337"/>
      <c r="K122" s="337"/>
      <c r="L122" s="337"/>
      <c r="M122" s="22"/>
    </row>
    <row r="123" spans="2:13">
      <c r="B123" s="339"/>
      <c r="C123" s="855"/>
      <c r="D123" s="373" t="s">
        <v>1075</v>
      </c>
      <c r="E123" s="731">
        <v>0.11</v>
      </c>
      <c r="F123" s="195" t="s">
        <v>905</v>
      </c>
      <c r="H123" s="339"/>
      <c r="I123" s="339"/>
      <c r="J123" s="339"/>
      <c r="K123" s="337"/>
      <c r="L123" s="337"/>
      <c r="M123" s="339"/>
    </row>
    <row r="124" spans="2:13" ht="29">
      <c r="C124" s="855"/>
      <c r="D124" s="373" t="s">
        <v>919</v>
      </c>
      <c r="E124" s="732">
        <v>0</v>
      </c>
      <c r="H124" s="22"/>
      <c r="I124" s="22"/>
      <c r="J124" s="340"/>
      <c r="K124" s="337"/>
      <c r="L124" s="337"/>
      <c r="M124" s="22"/>
    </row>
    <row r="125" spans="2:13">
      <c r="F125" s="276"/>
      <c r="H125" s="22"/>
      <c r="I125" s="22"/>
      <c r="J125" s="337"/>
      <c r="K125" s="337"/>
      <c r="L125" s="337"/>
      <c r="M125" s="22"/>
    </row>
    <row r="126" spans="2:13">
      <c r="E126" s="342"/>
      <c r="F126" s="337"/>
      <c r="G126" s="175"/>
      <c r="H126" s="22"/>
      <c r="I126" s="22"/>
      <c r="J126" s="337"/>
      <c r="K126" s="337"/>
      <c r="L126" s="337"/>
      <c r="M126" s="337"/>
    </row>
    <row r="127" spans="2:13">
      <c r="E127" s="342"/>
      <c r="F127" s="337"/>
      <c r="G127" s="175"/>
      <c r="H127" s="22"/>
      <c r="I127" s="22"/>
      <c r="J127" s="337"/>
      <c r="K127" s="337"/>
      <c r="L127" s="337"/>
      <c r="M127" s="22"/>
    </row>
    <row r="128" spans="2:13">
      <c r="E128" s="342"/>
      <c r="F128" s="337"/>
      <c r="G128" s="175"/>
      <c r="H128" s="22"/>
      <c r="I128" s="22"/>
      <c r="J128" s="341"/>
      <c r="K128" s="337"/>
      <c r="L128" s="337"/>
      <c r="M128" s="22"/>
    </row>
    <row r="129" spans="2:13">
      <c r="B129" s="276"/>
      <c r="C129" s="276"/>
      <c r="D129" s="276"/>
      <c r="E129" s="342"/>
      <c r="F129" s="337"/>
      <c r="G129" s="175"/>
      <c r="H129" s="22"/>
      <c r="I129" s="22"/>
      <c r="J129" s="340"/>
      <c r="K129" s="337"/>
      <c r="L129" s="337"/>
      <c r="M129" s="22"/>
    </row>
    <row r="130" spans="2:13">
      <c r="B130" s="337"/>
      <c r="C130" s="337"/>
      <c r="D130" s="337"/>
      <c r="E130" s="342"/>
      <c r="F130" s="337"/>
      <c r="G130" s="175"/>
      <c r="H130" s="22"/>
      <c r="I130" s="22"/>
      <c r="J130" s="340"/>
      <c r="K130" s="337"/>
      <c r="L130" s="337"/>
      <c r="M130" s="22"/>
    </row>
    <row r="131" spans="2:13">
      <c r="B131" s="205"/>
      <c r="C131" s="205"/>
      <c r="D131" s="205"/>
      <c r="E131" s="131"/>
      <c r="F131" s="22"/>
      <c r="G131" s="175"/>
      <c r="H131" s="22"/>
      <c r="I131" s="22"/>
      <c r="J131" s="340"/>
      <c r="K131" s="337"/>
      <c r="L131" s="337"/>
      <c r="M131" s="22"/>
    </row>
    <row r="132" spans="2:13">
      <c r="B132" s="205"/>
      <c r="C132" s="205"/>
      <c r="D132" s="205"/>
      <c r="E132" s="131"/>
      <c r="F132" s="22"/>
      <c r="G132" s="175"/>
      <c r="H132" s="337"/>
      <c r="I132" s="337"/>
      <c r="J132" s="337"/>
      <c r="K132" s="337"/>
      <c r="L132" s="337"/>
      <c r="M132" s="22"/>
    </row>
    <row r="133" spans="2:13">
      <c r="E133" s="174"/>
      <c r="F133" s="22"/>
      <c r="G133" s="22"/>
      <c r="H133" s="22"/>
      <c r="I133" s="22"/>
      <c r="J133" s="22"/>
      <c r="K133" s="22"/>
      <c r="L133" s="22"/>
      <c r="M133" s="22"/>
    </row>
    <row r="134" spans="2:13">
      <c r="H134" s="22"/>
      <c r="I134" s="22"/>
      <c r="J134" s="22"/>
      <c r="K134" s="22"/>
      <c r="L134" s="22"/>
      <c r="M134" s="22"/>
    </row>
    <row r="135" spans="2:13">
      <c r="H135" s="22"/>
      <c r="I135" s="22"/>
      <c r="J135" s="22"/>
      <c r="K135" s="22"/>
      <c r="L135" s="22"/>
      <c r="M135" s="22"/>
    </row>
    <row r="136" spans="2:13">
      <c r="M136" s="22"/>
    </row>
    <row r="137" spans="2:13">
      <c r="M137" s="22"/>
    </row>
    <row r="138" spans="2:13">
      <c r="M138" s="22"/>
    </row>
    <row r="139" spans="2:13">
      <c r="L139" s="22"/>
      <c r="M139" s="22"/>
    </row>
    <row r="140" spans="2:13">
      <c r="L140" s="22"/>
      <c r="M140" s="22"/>
    </row>
    <row r="141" spans="2:13">
      <c r="L141" s="22"/>
      <c r="M141" s="22"/>
    </row>
    <row r="142" spans="2:13">
      <c r="L142" s="22"/>
      <c r="M142" s="22"/>
    </row>
    <row r="143" spans="2:13">
      <c r="L143" s="22"/>
      <c r="M143" s="22"/>
    </row>
    <row r="144" spans="2:13">
      <c r="L144" s="22"/>
      <c r="M144" s="22"/>
    </row>
    <row r="145" spans="12:13">
      <c r="L145" s="22"/>
      <c r="M145" s="22"/>
    </row>
    <row r="146" spans="12:13">
      <c r="L146" s="22"/>
      <c r="M146" s="22"/>
    </row>
    <row r="147" spans="12:13">
      <c r="L147" s="22"/>
      <c r="M147" s="22"/>
    </row>
    <row r="148" spans="12:13">
      <c r="L148" s="22"/>
      <c r="M148" s="22"/>
    </row>
    <row r="149" spans="12:13">
      <c r="L149" s="22"/>
      <c r="M149" s="22"/>
    </row>
    <row r="150" spans="12:13">
      <c r="L150" s="22"/>
      <c r="M150" s="22"/>
    </row>
    <row r="152" spans="12:13">
      <c r="L152" s="22"/>
      <c r="M152" s="22"/>
    </row>
    <row r="153" spans="12:13">
      <c r="L153" s="22"/>
      <c r="M153" s="173"/>
    </row>
    <row r="154" spans="12:13">
      <c r="L154" s="22"/>
      <c r="M154" s="173"/>
    </row>
  </sheetData>
  <sheetProtection algorithmName="SHA-512" hashValue="C6WrmQoxlu/yPrxfHwOXYeqAgac9uiSiJ9riD9gGtu6vXSpoJmVttzLCzOdvNhptsjLauo7xAFYc+j8AV11oLA==" saltValue="ZxmfEncCTfp4l69hpP0AQw==" spinCount="100000" sheet="1" objects="1" scenarios="1" selectLockedCells="1"/>
  <mergeCells count="7">
    <mergeCell ref="C24:C25"/>
    <mergeCell ref="M120:M121"/>
    <mergeCell ref="C108:C115"/>
    <mergeCell ref="B108:B109"/>
    <mergeCell ref="C117:C124"/>
    <mergeCell ref="C69:C73"/>
    <mergeCell ref="C92:C95"/>
  </mergeCells>
  <conditionalFormatting sqref="G75:G77 M2 G69:G73 J129:J130 E113:E115 J124 E108 G79:G81 G62:G65">
    <cfRule type="expression" dxfId="1042" priority="199">
      <formula>IF($E$10="CHF",TRUE)</formula>
    </cfRule>
    <cfRule type="expression" dxfId="1041" priority="200">
      <formula>IF($E$10="EUR",TRUE)</formula>
    </cfRule>
    <cfRule type="expression" dxfId="1040" priority="201">
      <formula>IF($E$10="USD",TRUE)</formula>
    </cfRule>
  </conditionalFormatting>
  <conditionalFormatting sqref="M12:M32">
    <cfRule type="expression" dxfId="1039" priority="7">
      <formula>IF(INDIRECT("General_Currency_Selection")="CHF",TRUE)</formula>
    </cfRule>
    <cfRule type="expression" dxfId="1038" priority="8">
      <formula>IF(INDIRECT("General_Currency_Selection")="EUR",TRUE)</formula>
    </cfRule>
    <cfRule type="expression" dxfId="1037" priority="9">
      <formula>IF(INDIRECT("General_Currency_Selection")="USD",TRUE)</formula>
    </cfRule>
  </conditionalFormatting>
  <conditionalFormatting sqref="P12">
    <cfRule type="expression" dxfId="1036" priority="4">
      <formula>IF(INDIRECT("General_Currency_Selection")="CHF",TRUE)</formula>
    </cfRule>
    <cfRule type="expression" dxfId="1035" priority="5">
      <formula>IF(INDIRECT("General_Currency_Selection")="EUR",TRUE)</formula>
    </cfRule>
    <cfRule type="expression" dxfId="1034" priority="6">
      <formula>IF(INDIRECT("General_Currency_Selection")="USD",TRUE)</formula>
    </cfRule>
  </conditionalFormatting>
  <conditionalFormatting sqref="P13:P32">
    <cfRule type="expression" dxfId="1033" priority="1">
      <formula>IF(INDIRECT("General_Currency_Selection")="CHF",TRUE)</formula>
    </cfRule>
    <cfRule type="expression" dxfId="1032" priority="2">
      <formula>IF(INDIRECT("General_Currency_Selection")="EUR",TRUE)</formula>
    </cfRule>
    <cfRule type="expression" dxfId="1031" priority="3">
      <formula>IF(INDIRECT("General_Currency_Selection")="USD",TRUE)</formula>
    </cfRule>
  </conditionalFormatting>
  <dataValidations count="3">
    <dataValidation type="list" allowBlank="1" showInputMessage="1" showErrorMessage="1" sqref="E30">
      <formula1>INDIRECT("Factory_Renting_Buying")</formula1>
    </dataValidation>
    <dataValidation type="list" allowBlank="1" showInputMessage="1" showErrorMessage="1" sqref="E10">
      <formula1>INDIRECT("Settings_Currency")</formula1>
    </dataValidation>
    <dataValidation type="list" allowBlank="1" showInputMessage="1" showErrorMessage="1" sqref="E22 E20 E32 E67">
      <formula1>INDIRECT("Yes_No_Choice")</formula1>
    </dataValidation>
  </dataValidations>
  <pageMargins left="0.7" right="0.7" top="0.75" bottom="0.75"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79998168889431442"/>
  </sheetPr>
  <dimension ref="B1:W189"/>
  <sheetViews>
    <sheetView showGridLines="0" showRowColHeaders="0" zoomScale="70" zoomScaleNormal="70" workbookViewId="0">
      <selection activeCell="G34" sqref="G34"/>
    </sheetView>
  </sheetViews>
  <sheetFormatPr defaultColWidth="11.1796875" defaultRowHeight="14.5"/>
  <cols>
    <col min="1" max="1" width="0.81640625" style="15" customWidth="1"/>
    <col min="2" max="2" width="13.81640625" style="15" customWidth="1"/>
    <col min="3" max="3" width="32.1796875" style="15" customWidth="1"/>
    <col min="4" max="4" width="18" style="15" bestFit="1" customWidth="1"/>
    <col min="5" max="5" width="27.26953125" style="15" bestFit="1" customWidth="1"/>
    <col min="6" max="6" width="26.7265625" style="15" customWidth="1"/>
    <col min="7" max="7" width="27.26953125" style="15" bestFit="1" customWidth="1"/>
    <col min="8" max="8" width="26" style="15" bestFit="1" customWidth="1"/>
    <col min="9" max="23" width="16.54296875" style="15" customWidth="1"/>
    <col min="24" max="16384" width="11.1796875" style="15"/>
  </cols>
  <sheetData>
    <row r="1" spans="2:16" ht="21">
      <c r="B1" s="1" t="s">
        <v>98</v>
      </c>
      <c r="C1" s="6"/>
      <c r="D1" s="6"/>
    </row>
    <row r="2" spans="2:16" ht="15" thickBot="1"/>
    <row r="3" spans="2:16" ht="18.5">
      <c r="B3" s="56" t="s">
        <v>0</v>
      </c>
      <c r="C3" s="51"/>
      <c r="D3" s="51"/>
      <c r="E3" s="51"/>
      <c r="F3" s="51"/>
      <c r="G3" s="51"/>
      <c r="H3" s="51"/>
      <c r="I3" s="51"/>
      <c r="J3" s="51"/>
      <c r="K3" s="51"/>
      <c r="L3" s="51"/>
      <c r="M3" s="51"/>
      <c r="N3" s="51"/>
      <c r="O3" s="51"/>
      <c r="P3" s="51"/>
    </row>
    <row r="4" spans="2:16" ht="15.5">
      <c r="B4" s="61"/>
    </row>
    <row r="5" spans="2:16" ht="15.5">
      <c r="B5" s="61"/>
    </row>
    <row r="6" spans="2:16" ht="15.5">
      <c r="B6" s="61"/>
    </row>
    <row r="7" spans="2:16" ht="15.5">
      <c r="B7" s="61"/>
    </row>
    <row r="8" spans="2:16" ht="15.5">
      <c r="B8" s="61"/>
    </row>
    <row r="9" spans="2:16" ht="15.5">
      <c r="B9" s="61"/>
    </row>
    <row r="10" spans="2:16" ht="15.5">
      <c r="B10" s="61"/>
    </row>
    <row r="12" spans="2:16">
      <c r="B12" s="98" t="s">
        <v>68</v>
      </c>
      <c r="C12" s="98" t="str">
        <f>INDEX(General_Products,COLUMNS($C$13:C$13))</f>
        <v>Eggs</v>
      </c>
      <c r="D12" s="98" t="str">
        <f>INDEX(General_Products,COLUMNS($C$13:D$13))</f>
        <v>5DOL</v>
      </c>
      <c r="E12" s="838" t="s">
        <v>299</v>
      </c>
      <c r="F12" s="29"/>
      <c r="G12" s="29"/>
    </row>
    <row r="13" spans="2:16">
      <c r="B13" s="209" t="s">
        <v>629</v>
      </c>
      <c r="C13" s="113">
        <f>INDEX(General_Products_Amount,COLUMNS($C$12:C$12))</f>
        <v>0</v>
      </c>
      <c r="D13" s="113">
        <f>INDEX(General_Products_Amount,COLUMNS($C$12:D$12))</f>
        <v>1.8204374999999999</v>
      </c>
      <c r="E13" s="843">
        <v>365</v>
      </c>
      <c r="F13" s="842"/>
      <c r="G13" s="842"/>
    </row>
    <row r="14" spans="2:16" ht="15" thickBot="1">
      <c r="G14" s="54"/>
    </row>
    <row r="15" spans="2:16" ht="18.5">
      <c r="B15" s="2" t="s">
        <v>71</v>
      </c>
      <c r="C15" s="103"/>
      <c r="D15" s="51"/>
      <c r="E15" s="51"/>
      <c r="F15" s="100" t="s">
        <v>128</v>
      </c>
      <c r="G15" s="836">
        <f>E33</f>
        <v>0</v>
      </c>
      <c r="H15" s="51"/>
      <c r="I15" s="51"/>
      <c r="J15" s="51"/>
      <c r="K15" s="51"/>
      <c r="L15" s="51"/>
      <c r="M15" s="51"/>
      <c r="N15" s="51"/>
      <c r="O15" s="51"/>
      <c r="P15" s="51"/>
    </row>
    <row r="16" spans="2:16" ht="15.5">
      <c r="B16" s="61" t="s">
        <v>429</v>
      </c>
    </row>
    <row r="17" spans="2:13">
      <c r="B17" s="98" t="s">
        <v>76</v>
      </c>
      <c r="C17" s="80" t="s">
        <v>525</v>
      </c>
      <c r="G17" s="413"/>
      <c r="I17" s="22"/>
      <c r="J17" s="22"/>
      <c r="K17" s="22"/>
      <c r="L17" s="22"/>
      <c r="M17" s="22"/>
    </row>
    <row r="18" spans="2:13">
      <c r="I18" s="22"/>
      <c r="J18" s="124"/>
      <c r="K18" s="114"/>
      <c r="L18" s="114"/>
      <c r="M18" s="22"/>
    </row>
    <row r="19" spans="2:13">
      <c r="B19" s="239" t="s">
        <v>404</v>
      </c>
      <c r="C19" s="239" t="s">
        <v>405</v>
      </c>
      <c r="D19" s="99" t="s">
        <v>630</v>
      </c>
      <c r="E19" s="239" t="s">
        <v>628</v>
      </c>
      <c r="F19" s="99" t="s">
        <v>107</v>
      </c>
      <c r="G19" s="99" t="s">
        <v>621</v>
      </c>
      <c r="H19" s="262" t="s">
        <v>619</v>
      </c>
      <c r="I19" s="29"/>
      <c r="M19" s="22"/>
    </row>
    <row r="20" spans="2:13">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102" t="str">
        <f t="shared" ref="E20:E31" si="2">IF($B20="N/A","N/A",INDEX(Material_Product_Specific,MATCH($B20,Material_Code,0)))</f>
        <v>N/A</v>
      </c>
      <c r="F20" s="288" t="str">
        <f t="shared" ref="F20:F31" si="3">IF($B20="N/A","N/A",INDEX(Material_Unit_Price,MATCH($B20,Material_Code,0)))</f>
        <v>N/A</v>
      </c>
      <c r="G20" s="225" t="str">
        <f>IF($B20="N/A","N/A",F20*D20)</f>
        <v>N/A</v>
      </c>
      <c r="H20" s="225" t="str">
        <f>IF($B20="N/A","N/A",G20*INDEX($C$12:$G$13,2,MATCH(E20,$C$12:$G$12,0)))</f>
        <v>N/A</v>
      </c>
      <c r="I20" s="22"/>
      <c r="M20" s="22"/>
    </row>
    <row r="21" spans="2:13">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102" t="str">
        <f t="shared" si="2"/>
        <v>N/A</v>
      </c>
      <c r="F21" s="288" t="str">
        <f t="shared" si="3"/>
        <v>N/A</v>
      </c>
      <c r="G21" s="225" t="str">
        <f t="shared" ref="G21:G31" si="4">IF($B21="N/A","N/A",F21*D21)</f>
        <v>N/A</v>
      </c>
      <c r="H21" s="225" t="str">
        <f t="shared" ref="H21:H31" si="5">IF($B21="N/A","N/A",G21*INDEX($C$12:$G$13,2,MATCH(E21,$C$12:$G$12,0))*1000)</f>
        <v>N/A</v>
      </c>
      <c r="I21" s="22"/>
      <c r="M21" s="22"/>
    </row>
    <row r="22" spans="2:13">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102" t="str">
        <f t="shared" si="2"/>
        <v>N/A</v>
      </c>
      <c r="F22" s="288" t="str">
        <f t="shared" si="3"/>
        <v>N/A</v>
      </c>
      <c r="G22" s="225" t="str">
        <f t="shared" si="4"/>
        <v>N/A</v>
      </c>
      <c r="H22" s="225" t="str">
        <f t="shared" si="5"/>
        <v>N/A</v>
      </c>
      <c r="I22" s="22"/>
      <c r="M22" s="22"/>
    </row>
    <row r="23" spans="2:13">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102" t="str">
        <f t="shared" si="2"/>
        <v>N/A</v>
      </c>
      <c r="F23" s="288" t="str">
        <f t="shared" si="3"/>
        <v>N/A</v>
      </c>
      <c r="G23" s="225" t="str">
        <f t="shared" si="4"/>
        <v>N/A</v>
      </c>
      <c r="H23" s="225" t="str">
        <f t="shared" si="5"/>
        <v>N/A</v>
      </c>
      <c r="I23" s="22"/>
      <c r="M23" s="22"/>
    </row>
    <row r="24" spans="2:13">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102" t="str">
        <f t="shared" si="2"/>
        <v>N/A</v>
      </c>
      <c r="F24" s="288" t="str">
        <f t="shared" si="3"/>
        <v>N/A</v>
      </c>
      <c r="G24" s="225" t="str">
        <f t="shared" si="4"/>
        <v>N/A</v>
      </c>
      <c r="H24" s="225" t="str">
        <f t="shared" si="5"/>
        <v>N/A</v>
      </c>
      <c r="I24" s="22"/>
      <c r="M24" s="22"/>
    </row>
    <row r="25" spans="2:13">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102" t="str">
        <f t="shared" si="2"/>
        <v>N/A</v>
      </c>
      <c r="F25" s="288" t="str">
        <f t="shared" si="3"/>
        <v>N/A</v>
      </c>
      <c r="G25" s="225" t="str">
        <f t="shared" si="4"/>
        <v>N/A</v>
      </c>
      <c r="H25" s="225" t="str">
        <f t="shared" si="5"/>
        <v>N/A</v>
      </c>
      <c r="I25" s="22"/>
    </row>
    <row r="26" spans="2:13">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102" t="str">
        <f t="shared" si="2"/>
        <v>N/A</v>
      </c>
      <c r="F26" s="288" t="str">
        <f t="shared" si="3"/>
        <v>N/A</v>
      </c>
      <c r="G26" s="225" t="str">
        <f t="shared" si="4"/>
        <v>N/A</v>
      </c>
      <c r="H26" s="225" t="str">
        <f t="shared" si="5"/>
        <v>N/A</v>
      </c>
      <c r="I26" s="22"/>
    </row>
    <row r="27" spans="2:13">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102" t="str">
        <f t="shared" si="2"/>
        <v>N/A</v>
      </c>
      <c r="F27" s="288" t="str">
        <f t="shared" si="3"/>
        <v>N/A</v>
      </c>
      <c r="G27" s="225" t="str">
        <f t="shared" si="4"/>
        <v>N/A</v>
      </c>
      <c r="H27" s="225" t="str">
        <f t="shared" si="5"/>
        <v>N/A</v>
      </c>
      <c r="I27" s="22"/>
    </row>
    <row r="28" spans="2:13">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102" t="str">
        <f t="shared" si="2"/>
        <v>N/A</v>
      </c>
      <c r="F28" s="288" t="str">
        <f t="shared" si="3"/>
        <v>N/A</v>
      </c>
      <c r="G28" s="225" t="str">
        <f t="shared" si="4"/>
        <v>N/A</v>
      </c>
      <c r="H28" s="225" t="str">
        <f t="shared" si="5"/>
        <v>N/A</v>
      </c>
      <c r="I28" s="22"/>
    </row>
    <row r="29" spans="2:13">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102" t="str">
        <f t="shared" si="2"/>
        <v>N/A</v>
      </c>
      <c r="F29" s="288" t="str">
        <f t="shared" si="3"/>
        <v>N/A</v>
      </c>
      <c r="G29" s="225" t="str">
        <f t="shared" si="4"/>
        <v>N/A</v>
      </c>
      <c r="H29" s="225" t="str">
        <f t="shared" si="5"/>
        <v>N/A</v>
      </c>
      <c r="I29" s="22"/>
    </row>
    <row r="30" spans="2:13">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102" t="str">
        <f t="shared" si="2"/>
        <v>N/A</v>
      </c>
      <c r="F30" s="288" t="str">
        <f t="shared" si="3"/>
        <v>N/A</v>
      </c>
      <c r="G30" s="225" t="str">
        <f t="shared" si="4"/>
        <v>N/A</v>
      </c>
      <c r="H30" s="225" t="str">
        <f t="shared" si="5"/>
        <v>N/A</v>
      </c>
      <c r="I30" s="22"/>
    </row>
    <row r="31" spans="2:13">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102" t="str">
        <f t="shared" si="2"/>
        <v>N/A</v>
      </c>
      <c r="F31" s="288" t="str">
        <f t="shared" si="3"/>
        <v>N/A</v>
      </c>
      <c r="G31" s="225" t="str">
        <f t="shared" si="4"/>
        <v>N/A</v>
      </c>
      <c r="H31" s="225" t="str">
        <f t="shared" si="5"/>
        <v>N/A</v>
      </c>
      <c r="I31" s="22"/>
    </row>
    <row r="32" spans="2:13">
      <c r="E32" s="78"/>
    </row>
    <row r="33" spans="2:16">
      <c r="B33" s="902" t="s">
        <v>631</v>
      </c>
      <c r="C33" s="902"/>
      <c r="D33" s="902"/>
      <c r="E33" s="307">
        <f>SUM(H20:H31)</f>
        <v>0</v>
      </c>
      <c r="G33" s="114"/>
    </row>
    <row r="34" spans="2:16" ht="15" thickBot="1">
      <c r="B34" s="123"/>
      <c r="C34" s="123"/>
      <c r="D34" s="123"/>
      <c r="E34" s="114"/>
      <c r="G34" s="54"/>
    </row>
    <row r="35" spans="2:16" ht="18.5">
      <c r="B35" s="2" t="s">
        <v>144</v>
      </c>
      <c r="C35" s="103"/>
      <c r="D35" s="51"/>
      <c r="E35" s="51"/>
      <c r="F35" s="101" t="s">
        <v>195</v>
      </c>
      <c r="G35" s="836">
        <f>F43</f>
        <v>0.90801052856011832</v>
      </c>
      <c r="H35" s="51"/>
      <c r="I35" s="51"/>
      <c r="J35" s="51"/>
      <c r="K35" s="51"/>
      <c r="L35" s="51"/>
      <c r="M35" s="51"/>
      <c r="N35" s="51"/>
      <c r="O35" s="51"/>
      <c r="P35" s="51"/>
    </row>
    <row r="36" spans="2:16" ht="15.5">
      <c r="B36" s="61" t="s">
        <v>529</v>
      </c>
      <c r="C36" s="22"/>
      <c r="D36" s="22"/>
      <c r="E36" s="22"/>
      <c r="G36" s="82"/>
      <c r="I36" s="22"/>
      <c r="J36" s="22"/>
      <c r="K36" s="22"/>
      <c r="L36" s="22"/>
      <c r="M36" s="22"/>
    </row>
    <row r="37" spans="2:16">
      <c r="B37" s="29"/>
      <c r="C37" s="131"/>
      <c r="D37" s="22"/>
      <c r="E37" s="22"/>
      <c r="I37" s="22"/>
      <c r="J37" s="22"/>
      <c r="K37" s="22"/>
      <c r="L37" s="22"/>
      <c r="M37" s="22"/>
    </row>
    <row r="38" spans="2:16" ht="15.5">
      <c r="C38" s="91" t="s">
        <v>515</v>
      </c>
      <c r="D38" s="91" t="s">
        <v>76</v>
      </c>
      <c r="E38" s="91" t="s">
        <v>620</v>
      </c>
      <c r="F38" s="91" t="s">
        <v>619</v>
      </c>
      <c r="I38" s="22"/>
      <c r="J38" s="325"/>
      <c r="K38" s="90"/>
      <c r="L38" s="114"/>
      <c r="M38" s="22"/>
    </row>
    <row r="39" spans="2:16">
      <c r="B39" s="98" t="str">
        <f>INDEX(Equipment_Utility_Spec_List,2)</f>
        <v>Water</v>
      </c>
      <c r="C39" s="134">
        <f>IFERROR(SUMPRODUCT($F$110:$F$147,$G$110:$G$147,$M$110:$M$147),)</f>
        <v>3.5156432717003846E-3</v>
      </c>
      <c r="D39" s="133" t="s">
        <v>516</v>
      </c>
      <c r="E39" s="288">
        <f>SUMIF($B$110:$B$147,("&lt;&gt;N/A"),$H$110:$H$147)</f>
        <v>7.4683228381240024E-4</v>
      </c>
      <c r="F39" s="288">
        <f>E39*Staff_Days_Operation</f>
        <v>0.27259378359152608</v>
      </c>
      <c r="I39" s="22"/>
      <c r="J39" s="121"/>
      <c r="K39" s="90"/>
      <c r="L39" s="114"/>
      <c r="M39" s="22"/>
    </row>
    <row r="40" spans="2:16">
      <c r="B40" s="98" t="str">
        <f>INDEX(Equipment_Utility_Spec_List,3)</f>
        <v>Electricity</v>
      </c>
      <c r="C40" s="134">
        <f>IFERROR(SUMPRODUCT($F$110:$F$147,$I$110:$I$147,$M$110:$M$147),)</f>
        <v>1.6389945322612516E-2</v>
      </c>
      <c r="D40" s="133" t="s">
        <v>518</v>
      </c>
      <c r="E40" s="288">
        <f>SUMIF($B$110:$B$147,("&lt;&gt;N/A"),$J$110:$J$147)</f>
        <v>1.7408677944344994E-3</v>
      </c>
      <c r="F40" s="288">
        <f>E40*Staff_Days_Operation</f>
        <v>0.63541674496859224</v>
      </c>
      <c r="I40" s="22"/>
      <c r="J40" s="121"/>
      <c r="K40" s="114"/>
      <c r="L40" s="114"/>
      <c r="M40" s="22"/>
    </row>
    <row r="41" spans="2:16">
      <c r="B41" s="98" t="str">
        <f>INDEX(Equipment_Utility_Spec_List,4)</f>
        <v>Fuel</v>
      </c>
      <c r="C41" s="134">
        <f>IFERROR(SUMPRODUCT($F$110:$F$147,$K$110:$K$147,$M$110:$M$147),)</f>
        <v>0</v>
      </c>
      <c r="D41" s="133" t="s">
        <v>546</v>
      </c>
      <c r="E41" s="288">
        <f>SUMIF($B$110:$B$147,("&lt;&gt;N/A"),$L$110:$L$147)</f>
        <v>0</v>
      </c>
      <c r="F41" s="288">
        <f>E41*Staff_Days_Operation</f>
        <v>0</v>
      </c>
      <c r="I41" s="22"/>
      <c r="J41" s="121"/>
      <c r="K41" s="114"/>
      <c r="L41" s="114"/>
      <c r="M41" s="22"/>
    </row>
    <row r="42" spans="2:16">
      <c r="B42" s="8"/>
      <c r="C42" s="115"/>
      <c r="D42" s="22"/>
      <c r="E42" s="132"/>
    </row>
    <row r="43" spans="2:16">
      <c r="B43" s="901" t="s">
        <v>440</v>
      </c>
      <c r="C43" s="901"/>
      <c r="D43" s="901"/>
      <c r="E43" s="288">
        <f>SUM(E39:E41)</f>
        <v>2.4877000782468997E-3</v>
      </c>
      <c r="F43" s="288">
        <f>SUM(F39:F41)</f>
        <v>0.90801052856011832</v>
      </c>
    </row>
    <row r="44" spans="2:16" ht="15" thickBot="1">
      <c r="F44" s="54"/>
      <c r="G44" s="54"/>
    </row>
    <row r="45" spans="2:16" ht="18.5">
      <c r="B45" s="104" t="s">
        <v>2</v>
      </c>
      <c r="C45" s="105"/>
      <c r="D45" s="79"/>
      <c r="E45" s="79"/>
      <c r="F45" s="141" t="s">
        <v>129</v>
      </c>
      <c r="G45" s="306">
        <f>SUMIF(G52:G74,("&lt;&gt;N/A"),G52:G74)</f>
        <v>0</v>
      </c>
      <c r="H45" s="79"/>
      <c r="I45" s="79"/>
      <c r="J45" s="79"/>
      <c r="K45" s="79"/>
      <c r="L45" s="79"/>
      <c r="M45" s="79"/>
      <c r="N45" s="79"/>
      <c r="O45" s="79"/>
      <c r="P45" s="79"/>
    </row>
    <row r="46" spans="2:16" ht="15.5">
      <c r="B46" s="61" t="s">
        <v>78</v>
      </c>
    </row>
    <row r="47" spans="2:16" ht="15.5">
      <c r="B47" s="61" t="s">
        <v>79</v>
      </c>
    </row>
    <row r="48" spans="2:16">
      <c r="B48" s="98" t="s">
        <v>75</v>
      </c>
      <c r="C48" s="900" t="s">
        <v>66</v>
      </c>
      <c r="D48" s="900"/>
    </row>
    <row r="49" spans="2:9">
      <c r="B49" s="98" t="s">
        <v>76</v>
      </c>
      <c r="C49" s="900" t="s">
        <v>525</v>
      </c>
      <c r="D49" s="900"/>
      <c r="I49" s="83"/>
    </row>
    <row r="51" spans="2:9" ht="15.5">
      <c r="B51" s="93" t="s">
        <v>220</v>
      </c>
      <c r="C51" s="93" t="s">
        <v>4</v>
      </c>
      <c r="D51" s="93" t="s">
        <v>77</v>
      </c>
      <c r="E51" s="122" t="s">
        <v>242</v>
      </c>
      <c r="F51" s="93" t="s">
        <v>119</v>
      </c>
      <c r="G51" s="93" t="s">
        <v>120</v>
      </c>
    </row>
    <row r="52" spans="2:9">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pos008</v>
      </c>
      <c r="C52" s="71" t="str">
        <f>IF($B52="N/A","N/A",INDEX(Staff_position[],MATCH(B52,Staff_Position_ID,0)))</f>
        <v>Post-P. worker (Sanitizing)</v>
      </c>
      <c r="D52" s="288">
        <f>IF($B52="N/A","N/A",INDEX(Staff_net_salary[],MATCH(B52,Staff_Position_ID,0)))</f>
        <v>2549.1742799644817</v>
      </c>
      <c r="E52" s="85">
        <f t="shared" ref="E52:E74" si="6">IF($B52="N/A","N/A",INDEX(Staff_number_of_employees,MATCH(B52,Staff_Position_ID,0)))</f>
        <v>0</v>
      </c>
      <c r="F52" s="86">
        <f t="shared" ref="F52:F74" si="7">IFERROR(INDEX(Staff_Position_Allocation,MATCH(B52,Staff_Position_ID),MATCH($C$49,Unit_codes,0)),"")</f>
        <v>1</v>
      </c>
      <c r="G52" s="288">
        <f>IFERROR(D52*E52*F52,"")</f>
        <v>0</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pos009</v>
      </c>
      <c r="C53" s="71" t="str">
        <f>IF($B53="N/A","N/A",INDEX(Staff_position[],MATCH(B53,Staff_Position_ID,0)))</f>
        <v>Post-P. worker (Drying &amp; pressing)</v>
      </c>
      <c r="D53" s="288">
        <f>IF($B53="N/A","N/A",INDEX(Staff_net_salary[],MATCH(B53,Staff_Position_ID,0)))</f>
        <v>2549.1742799644817</v>
      </c>
      <c r="E53" s="85">
        <f t="shared" si="6"/>
        <v>0</v>
      </c>
      <c r="F53" s="86">
        <f t="shared" si="7"/>
        <v>1</v>
      </c>
      <c r="G53" s="288">
        <f t="shared" ref="G53:G74" si="8">IFERROR(D53*E53*F53,"")</f>
        <v>0</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6"/>
        <v>N/A</v>
      </c>
      <c r="F54" s="86" t="str">
        <f t="shared" si="7"/>
        <v/>
      </c>
      <c r="G54" s="288" t="str">
        <f t="shared" si="8"/>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6"/>
        <v>N/A</v>
      </c>
      <c r="F55" s="86" t="str">
        <f t="shared" si="7"/>
        <v/>
      </c>
      <c r="G55" s="288" t="str">
        <f t="shared" si="8"/>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6"/>
        <v>N/A</v>
      </c>
      <c r="F56" s="86" t="str">
        <f t="shared" si="7"/>
        <v/>
      </c>
      <c r="G56" s="288" t="str">
        <f t="shared" si="8"/>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6"/>
        <v>N/A</v>
      </c>
      <c r="F57" s="86" t="str">
        <f t="shared" si="7"/>
        <v/>
      </c>
      <c r="G57" s="288" t="str">
        <f t="shared" si="8"/>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6"/>
        <v>N/A</v>
      </c>
      <c r="F58" s="86" t="str">
        <f t="shared" si="7"/>
        <v/>
      </c>
      <c r="G58" s="288" t="str">
        <f t="shared" si="8"/>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6"/>
        <v>N/A</v>
      </c>
      <c r="F59" s="86" t="str">
        <f t="shared" si="7"/>
        <v/>
      </c>
      <c r="G59" s="288" t="str">
        <f t="shared" si="8"/>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6"/>
        <v>N/A</v>
      </c>
      <c r="F60" s="86" t="str">
        <f t="shared" si="7"/>
        <v/>
      </c>
      <c r="G60" s="288" t="str">
        <f t="shared" si="8"/>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6"/>
        <v>N/A</v>
      </c>
      <c r="F61" s="86" t="str">
        <f t="shared" si="7"/>
        <v/>
      </c>
      <c r="G61" s="288" t="str">
        <f t="shared" si="8"/>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6"/>
        <v>N/A</v>
      </c>
      <c r="F62" s="86" t="str">
        <f t="shared" si="7"/>
        <v/>
      </c>
      <c r="G62" s="288" t="str">
        <f t="shared" si="8"/>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6"/>
        <v>N/A</v>
      </c>
      <c r="F63" s="86" t="str">
        <f t="shared" si="7"/>
        <v/>
      </c>
      <c r="G63" s="288" t="str">
        <f t="shared" si="8"/>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6"/>
        <v>N/A</v>
      </c>
      <c r="F64" s="86" t="str">
        <f t="shared" si="7"/>
        <v/>
      </c>
      <c r="G64" s="288" t="str">
        <f t="shared" si="8"/>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6"/>
        <v>N/A</v>
      </c>
      <c r="F65" s="86" t="str">
        <f t="shared" si="7"/>
        <v/>
      </c>
      <c r="G65" s="288" t="str">
        <f t="shared" si="8"/>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6"/>
        <v>N/A</v>
      </c>
      <c r="F66" s="86" t="str">
        <f t="shared" si="7"/>
        <v/>
      </c>
      <c r="G66" s="288" t="str">
        <f t="shared" si="8"/>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6"/>
        <v>N/A</v>
      </c>
      <c r="F67" s="86" t="str">
        <f t="shared" si="7"/>
        <v/>
      </c>
      <c r="G67" s="288" t="str">
        <f t="shared" si="8"/>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6"/>
        <v>N/A</v>
      </c>
      <c r="F68" s="86" t="str">
        <f t="shared" si="7"/>
        <v/>
      </c>
      <c r="G68" s="288" t="str">
        <f t="shared" si="8"/>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6"/>
        <v>N/A</v>
      </c>
      <c r="F69" s="86" t="str">
        <f t="shared" si="7"/>
        <v/>
      </c>
      <c r="G69" s="288" t="str">
        <f t="shared" si="8"/>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6"/>
        <v>N/A</v>
      </c>
      <c r="F70" s="86" t="str">
        <f t="shared" si="7"/>
        <v/>
      </c>
      <c r="G70" s="288" t="str">
        <f t="shared" si="8"/>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6"/>
        <v>N/A</v>
      </c>
      <c r="F71" s="86" t="str">
        <f t="shared" si="7"/>
        <v/>
      </c>
      <c r="G71" s="288" t="str">
        <f t="shared" si="8"/>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6"/>
        <v>N/A</v>
      </c>
      <c r="F72" s="86" t="str">
        <f t="shared" si="7"/>
        <v/>
      </c>
      <c r="G72" s="288" t="str">
        <f t="shared" si="8"/>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6"/>
        <v>N/A</v>
      </c>
      <c r="F73" s="86" t="str">
        <f t="shared" si="7"/>
        <v/>
      </c>
      <c r="G73" s="288" t="str">
        <f t="shared" si="8"/>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6"/>
        <v>N/A</v>
      </c>
      <c r="F74" s="86" t="str">
        <f t="shared" si="7"/>
        <v/>
      </c>
      <c r="G74" s="288" t="str">
        <f t="shared" si="8"/>
        <v/>
      </c>
    </row>
    <row r="75" spans="2:16" ht="15" thickBot="1">
      <c r="F75" s="143"/>
      <c r="G75" s="143"/>
    </row>
    <row r="76" spans="2:16" ht="30">
      <c r="B76" s="104" t="s">
        <v>81</v>
      </c>
      <c r="C76" s="105"/>
      <c r="D76" s="79"/>
      <c r="E76" s="79"/>
      <c r="F76" s="141" t="s">
        <v>84</v>
      </c>
      <c r="G76" s="306">
        <f>SUMIF(G83:G103,("&lt;&gt;N/A"),G83:G103)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525</v>
      </c>
      <c r="D80" s="900"/>
    </row>
    <row r="82" spans="2:7" ht="15.5">
      <c r="B82" s="93" t="s">
        <v>220</v>
      </c>
      <c r="C82" s="93" t="s">
        <v>4</v>
      </c>
      <c r="D82" s="93" t="s">
        <v>77</v>
      </c>
      <c r="E82" s="122" t="s">
        <v>242</v>
      </c>
      <c r="F82" s="93" t="s">
        <v>119</v>
      </c>
      <c r="G82" s="93"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pos003</v>
      </c>
      <c r="C83" s="71" t="str">
        <f>IF($B83="N/A","N/A",INDEX(Staff_position[],MATCH(B83,Staff_Position_ID,0)))</f>
        <v>Waste units manager</v>
      </c>
      <c r="D83" s="288">
        <f>IF($B83="N/A","N/A",INDEX(Staff_net_salary[],MATCH(B83,Staff_Position_ID,0)))</f>
        <v>3398.8990399526419</v>
      </c>
      <c r="E83" s="85">
        <f t="shared" ref="E83:E103" si="9">IF($B83="N/A","N/A",INDEX(Staff_number_of_employees,MATCH(B83,Staff_Position_ID,0)))</f>
        <v>0</v>
      </c>
      <c r="F83" s="86">
        <f t="shared" ref="F83:F103" si="10">IFERROR(INDEX(Staff_Position_Allocation,MATCH(B83,Staff_Position_ID),MATCH($C$80,Unit_codes,0)),"")</f>
        <v>0.26</v>
      </c>
      <c r="G83" s="288">
        <f>IFERROR(D83*E83*F83,"")</f>
        <v>0</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pos005</v>
      </c>
      <c r="C84" s="71" t="str">
        <f>IF($B84="N/A","N/A",INDEX(Staff_position[],MATCH(B84,Staff_Position_ID,0)))</f>
        <v>Site manager</v>
      </c>
      <c r="D84" s="288">
        <f>IF($B84="N/A","N/A",INDEX(Staff_net_salary[],MATCH(B84,Staff_Position_ID,0)))</f>
        <v>5098.3485599289634</v>
      </c>
      <c r="E84" s="85">
        <f t="shared" si="9"/>
        <v>0</v>
      </c>
      <c r="F84" s="86">
        <f t="shared" si="10"/>
        <v>0.13</v>
      </c>
      <c r="G84" s="288">
        <f t="shared" ref="G84:G103" si="11">IFERROR(D84*E84*F84,"")</f>
        <v>0</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9"/>
        <v>N/A</v>
      </c>
      <c r="F85" s="86" t="str">
        <f t="shared" si="10"/>
        <v/>
      </c>
      <c r="G85" s="288" t="str">
        <f t="shared" si="11"/>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9"/>
        <v>N/A</v>
      </c>
      <c r="F86" s="86" t="str">
        <f t="shared" si="10"/>
        <v/>
      </c>
      <c r="G86" s="288" t="str">
        <f t="shared" si="11"/>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9"/>
        <v>N/A</v>
      </c>
      <c r="F87" s="86" t="str">
        <f t="shared" si="10"/>
        <v/>
      </c>
      <c r="G87" s="288" t="str">
        <f t="shared" si="11"/>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9"/>
        <v>N/A</v>
      </c>
      <c r="F88" s="86" t="str">
        <f t="shared" si="10"/>
        <v/>
      </c>
      <c r="G88" s="288" t="str">
        <f t="shared" si="11"/>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9"/>
        <v>N/A</v>
      </c>
      <c r="F89" s="86" t="str">
        <f t="shared" si="10"/>
        <v/>
      </c>
      <c r="G89" s="288" t="str">
        <f t="shared" si="11"/>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9"/>
        <v>N/A</v>
      </c>
      <c r="F90" s="86" t="str">
        <f t="shared" si="10"/>
        <v/>
      </c>
      <c r="G90" s="288" t="str">
        <f t="shared" si="11"/>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9"/>
        <v>N/A</v>
      </c>
      <c r="F91" s="86" t="str">
        <f t="shared" si="10"/>
        <v/>
      </c>
      <c r="G91" s="288" t="str">
        <f t="shared" si="11"/>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9"/>
        <v>N/A</v>
      </c>
      <c r="F92" s="86" t="str">
        <f t="shared" si="10"/>
        <v/>
      </c>
      <c r="G92" s="288" t="str">
        <f t="shared" si="11"/>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9"/>
        <v>N/A</v>
      </c>
      <c r="F93" s="86" t="str">
        <f t="shared" si="10"/>
        <v/>
      </c>
      <c r="G93" s="288" t="str">
        <f t="shared" si="11"/>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9"/>
        <v>N/A</v>
      </c>
      <c r="F94" s="86" t="str">
        <f t="shared" si="10"/>
        <v/>
      </c>
      <c r="G94" s="288" t="str">
        <f t="shared" si="11"/>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9"/>
        <v>N/A</v>
      </c>
      <c r="F95" s="86" t="str">
        <f t="shared" si="10"/>
        <v/>
      </c>
      <c r="G95" s="288" t="str">
        <f t="shared" si="11"/>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9"/>
        <v>N/A</v>
      </c>
      <c r="F96" s="86" t="str">
        <f t="shared" si="10"/>
        <v/>
      </c>
      <c r="G96" s="288" t="str">
        <f t="shared" si="11"/>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9"/>
        <v>N/A</v>
      </c>
      <c r="F97" s="86" t="str">
        <f t="shared" si="10"/>
        <v/>
      </c>
      <c r="G97" s="288" t="str">
        <f t="shared" si="11"/>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9"/>
        <v>N/A</v>
      </c>
      <c r="F98" s="86" t="str">
        <f t="shared" si="10"/>
        <v/>
      </c>
      <c r="G98" s="288" t="str">
        <f t="shared" si="11"/>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9"/>
        <v>N/A</v>
      </c>
      <c r="F99" s="86" t="str">
        <f t="shared" si="10"/>
        <v/>
      </c>
      <c r="G99" s="288" t="str">
        <f t="shared" si="11"/>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9"/>
        <v>N/A</v>
      </c>
      <c r="F100" s="86" t="str">
        <f t="shared" si="10"/>
        <v/>
      </c>
      <c r="G100" s="288" t="str">
        <f t="shared" si="11"/>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9"/>
        <v>N/A</v>
      </c>
      <c r="F101" s="86" t="str">
        <f t="shared" si="10"/>
        <v/>
      </c>
      <c r="G101" s="288" t="str">
        <f t="shared" si="11"/>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9"/>
        <v>N/A</v>
      </c>
      <c r="F102" s="86" t="str">
        <f t="shared" si="10"/>
        <v/>
      </c>
      <c r="G102" s="288" t="str">
        <f t="shared" si="11"/>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9"/>
        <v>N/A</v>
      </c>
      <c r="F103" s="86" t="str">
        <f t="shared" si="10"/>
        <v/>
      </c>
      <c r="G103" s="288" t="str">
        <f t="shared" si="11"/>
        <v/>
      </c>
    </row>
    <row r="104" spans="2:16" ht="15" thickBot="1">
      <c r="E104" s="143"/>
      <c r="F104" s="143"/>
      <c r="G104" s="143"/>
    </row>
    <row r="105" spans="2:16" ht="29">
      <c r="B105" s="2" t="s">
        <v>1</v>
      </c>
      <c r="C105" s="103"/>
      <c r="D105" s="51"/>
      <c r="F105" s="145" t="s">
        <v>151</v>
      </c>
      <c r="G105" s="306">
        <f>SUMIF(B110:B147,("&lt;&gt;N/A"),N110:N147)</f>
        <v>70.944936419344842</v>
      </c>
      <c r="H105" s="51"/>
      <c r="I105" s="51"/>
      <c r="J105" s="51"/>
      <c r="K105" s="51"/>
      <c r="L105" s="51"/>
      <c r="M105" s="51"/>
      <c r="N105" s="51"/>
      <c r="O105" s="51"/>
      <c r="P105" s="51"/>
    </row>
    <row r="106" spans="2:16" ht="15.5">
      <c r="B106" s="61" t="s">
        <v>80</v>
      </c>
      <c r="I106" s="82"/>
      <c r="J106" s="82"/>
      <c r="K106" s="22"/>
      <c r="L106" s="114"/>
      <c r="M106" s="315"/>
    </row>
    <row r="107" spans="2:16">
      <c r="B107" s="98" t="s">
        <v>76</v>
      </c>
      <c r="C107" s="80" t="s">
        <v>525</v>
      </c>
    </row>
    <row r="109" spans="2:16" ht="46.5">
      <c r="B109" s="91" t="s">
        <v>82</v>
      </c>
      <c r="C109" s="91" t="s">
        <v>51</v>
      </c>
      <c r="D109" s="93" t="s">
        <v>150</v>
      </c>
      <c r="E109" s="116" t="s">
        <v>48</v>
      </c>
      <c r="F109" s="93" t="s">
        <v>502</v>
      </c>
      <c r="G109" s="93" t="s">
        <v>439</v>
      </c>
      <c r="H109" s="93" t="s">
        <v>503</v>
      </c>
      <c r="I109" s="93" t="s">
        <v>507</v>
      </c>
      <c r="J109" s="93" t="s">
        <v>504</v>
      </c>
      <c r="K109" s="93" t="s">
        <v>545</v>
      </c>
      <c r="L109" s="93" t="s">
        <v>505</v>
      </c>
      <c r="M109" s="93" t="s">
        <v>154</v>
      </c>
      <c r="N109" s="93" t="s">
        <v>152</v>
      </c>
      <c r="O109" s="93"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eq0004</v>
      </c>
      <c r="C110" s="70" t="str">
        <f>IF($B110="N/A","N/A",INDEX(Equipment_name[],MATCH(B110,equipment_ID,0)))</f>
        <v>Pallets</v>
      </c>
      <c r="D110" s="288">
        <f t="shared" ref="D110:D147" si="12">IF($B110="N/A","N/A",INDEX(Equipment_Depreciation,MATCH(B110,equipment_ID,0)))</f>
        <v>2.1243118999704014</v>
      </c>
      <c r="E110" s="88">
        <f t="shared" ref="E110:E147" si="13">IF($B110="N/A","N/A",INDEX(Equipment_Quantity_New,MATCH(B110,equipment_ID,0)))</f>
        <v>1</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14">IFERROR($E110*$F110*G110*$M110*General_Water_Price,"")</f>
        <v/>
      </c>
      <c r="I110" s="130" t="str">
        <f>IF($B110="N/A","",IF(INDEX(Equipment_Utility_Decision,MATCH($B110,equipment_ID,0))='4.2-Settings Internal'!$B$30,INDEX(Equipment_Utility_Electricity,MATCH($B110,equipment_ID,0)),""))</f>
        <v/>
      </c>
      <c r="J110" s="288" t="str">
        <f t="shared" ref="J110:J147" si="15">IFERROR($E110*$F110*I110*$M110*General_Electricity_Price,"")</f>
        <v/>
      </c>
      <c r="K110" s="130" t="str">
        <f>IF($B110="N/A","",IF(INDEX(Equipment_Utility_Decision,MATCH($B110,equipment_ID,0))=INDEX(Yes_No_Choice[],1),INDEX(Equipment_Utility_Fuel,MATCH($B110,equipment_ID,0)),""))</f>
        <v/>
      </c>
      <c r="L110" s="288" t="str">
        <f t="shared" ref="L110:L147" si="16">IFERROR($E110*$F110*$K110*$M110*INDEX(General_Utilities,MATCH(INDEX(Equipment_Utility_Fuel_Selection,MATCH($B110,equipment_ID,0)),General_Utilities_Type,0),4),"")</f>
        <v/>
      </c>
      <c r="M110" s="89">
        <f t="shared" ref="M110:M147" si="17">IFERROR(INDEX(Equipment_Allocation_New,MATCH(B110,equipment_ID,0),MATCH($C$107,Unit_codes,0)),"")</f>
        <v>0.13</v>
      </c>
      <c r="N110" s="288">
        <f t="shared" ref="N110:N147" si="18">IFERROR($D110*E110*M110,"")</f>
        <v>0.27616054699615217</v>
      </c>
      <c r="O110" s="130">
        <f t="shared" ref="O110:O147" si="19">IF($B110="N/A","",IF(INDEX(Equipment_Space_Selection,MATCH(B110,equipment_ID,0))="Yes",INDEX(Equipment_Space_Footprint,MATCH(B110,equipment_ID,0))*INDEX(Equipment_Quantity_New,MATCH(B110,equipment_ID,0))*M110,""))</f>
        <v>0.20459400000000003</v>
      </c>
    </row>
    <row r="111" spans="2:16">
      <c r="B111" s="70" t="str">
        <f t="array" ref="B111">IF(COUNTIFS(INDEX(Equipment_Allocation_New,0,MATCH($C$107,Unit_codes,0)),"&gt;0")&lt;ROWS('2.2-Equipment input'!$X$8:$X9),"N/A",INDEX('2.2-Equipment input'!B:B,SMALL(IF(INDEX(Equipment_Allocation_New,0,MATCH($C$107,Unit_codes,0))&gt;0,ROW(equipment_ID)),ROW('2.2-Equipment input'!B2))))</f>
        <v>eq0006</v>
      </c>
      <c r="C111" s="70" t="str">
        <f>IF($B111="N/A","N/A",INDEX(Equipment_name[],MATCH(B111,equipment_ID,0)))</f>
        <v>Pallet trolley</v>
      </c>
      <c r="D111" s="288">
        <f t="shared" si="12"/>
        <v>42.486237999408026</v>
      </c>
      <c r="E111" s="88">
        <f t="shared" si="13"/>
        <v>1</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4"/>
        <v/>
      </c>
      <c r="I111" s="130" t="str">
        <f>IF($B111="N/A","",IF(INDEX(Equipment_Utility_Decision,MATCH($B111,equipment_ID,0))='4.2-Settings Internal'!$B$30,INDEX(Equipment_Utility_Electricity,MATCH($B111,equipment_ID,0)),""))</f>
        <v/>
      </c>
      <c r="J111" s="288" t="str">
        <f t="shared" si="15"/>
        <v/>
      </c>
      <c r="K111" s="130" t="str">
        <f>IF($B111="N/A","",IF(INDEX(Equipment_Utility_Decision,MATCH($B111,equipment_ID,0))=INDEX(Yes_No_Choice[],1),INDEX(Equipment_Utility_Fuel,MATCH($B111,equipment_ID,0)),""))</f>
        <v/>
      </c>
      <c r="L111" s="288" t="str">
        <f t="shared" si="16"/>
        <v/>
      </c>
      <c r="M111" s="89">
        <f t="shared" si="17"/>
        <v>0.13</v>
      </c>
      <c r="N111" s="288">
        <f t="shared" si="18"/>
        <v>5.5232109399230431</v>
      </c>
      <c r="O111" s="130" t="str">
        <f t="shared" si="19"/>
        <v/>
      </c>
    </row>
    <row r="112" spans="2:16">
      <c r="B112" s="70" t="str">
        <f t="array" ref="B112">IF(COUNTIFS(INDEX(Equipment_Allocation_New,0,MATCH($C$107,Unit_codes,0)),"&gt;0")&lt;ROWS('2.2-Equipment input'!$X$8:$X10),"N/A",INDEX('2.2-Equipment input'!B:B,SMALL(IF(INDEX(Equipment_Allocation_New,0,MATCH($C$107,Unit_codes,0))&gt;0,ROW(equipment_ID)),ROW('2.2-Equipment input'!B3))))</f>
        <v>eq0008</v>
      </c>
      <c r="C112" s="70" t="str">
        <f>IF($B112="N/A","N/A",INDEX(Equipment_name[],MATCH(B112,equipment_ID,0)))</f>
        <v>High pressure cleaner</v>
      </c>
      <c r="D112" s="288">
        <f t="shared" si="12"/>
        <v>212.43118999704015</v>
      </c>
      <c r="E112" s="88">
        <f t="shared" si="13"/>
        <v>1</v>
      </c>
      <c r="F112" s="130">
        <f>IF($B112="N/A","",IF(INDEX(Equipment_Utility_Decision,MATCH($B112,equipment_ID,0))='4.2-Settings Internal'!$B$30,INDEX(Equipment_Utility_Run,MATCH($B112,equipment_ID,0)),""))</f>
        <v>4.8205721537095632E-2</v>
      </c>
      <c r="G112" s="130">
        <f>IF($B112="N/A","",IF(INDEX(Equipment_Utility_Decision,MATCH($B112,equipment_ID,0))='4.2-Settings Internal'!$B$30,INDEX(Equipment_Utility_Water,MATCH($B112,equipment_ID,0)),""))</f>
        <v>0.42899999999999999</v>
      </c>
      <c r="H112" s="288">
        <f t="shared" si="14"/>
        <v>7.4683228381240024E-4</v>
      </c>
      <c r="I112" s="130">
        <f>IF($B112="N/A","",IF(INDEX(Equipment_Utility_Decision,MATCH($B112,equipment_ID,0))='4.2-Settings Internal'!$B$30,INDEX(Equipment_Utility_Electricity,MATCH($B112,equipment_ID,0)),""))</f>
        <v>2</v>
      </c>
      <c r="J112" s="288">
        <f t="shared" si="15"/>
        <v>1.7408677944344994E-3</v>
      </c>
      <c r="K112" s="130">
        <f>IF($B112="N/A","",IF(INDEX(Equipment_Utility_Decision,MATCH($B112,equipment_ID,0))=INDEX(Yes_No_Choice[],1),INDEX(Equipment_Utility_Fuel,MATCH($B112,equipment_ID,0)),""))</f>
        <v>0</v>
      </c>
      <c r="L112" s="288" t="str">
        <f t="shared" si="16"/>
        <v/>
      </c>
      <c r="M112" s="89">
        <f t="shared" si="17"/>
        <v>0.17</v>
      </c>
      <c r="N112" s="288">
        <f t="shared" si="18"/>
        <v>36.11330229949683</v>
      </c>
      <c r="O112" s="130">
        <f t="shared" si="19"/>
        <v>4.2500000000000003E-2</v>
      </c>
    </row>
    <row r="113" spans="2:15">
      <c r="B113" s="70" t="str">
        <f t="array" ref="B113">IF(COUNTIFS(INDEX(Equipment_Allocation_New,0,MATCH($C$107,Unit_codes,0)),"&gt;0")&lt;ROWS('2.2-Equipment input'!$X$8:$X11),"N/A",INDEX('2.2-Equipment input'!B:B,SMALL(IF(INDEX(Equipment_Allocation_New,0,MATCH($C$107,Unit_codes,0))&gt;0,ROW(equipment_ID)),ROW('2.2-Equipment input'!B4))))</f>
        <v>eq0030</v>
      </c>
      <c r="C113" s="70" t="str">
        <f>IF($B113="N/A","N/A",INDEX(Equipment_name[],MATCH(B113,equipment_ID,0)))</f>
        <v>Measuring balance ("heavy" duty)</v>
      </c>
      <c r="D113" s="288">
        <f t="shared" si="12"/>
        <v>35.405198332840023</v>
      </c>
      <c r="E113" s="88">
        <f t="shared" si="13"/>
        <v>1</v>
      </c>
      <c r="F113" s="130">
        <f>IF($B113="N/A","",IF(INDEX(Equipment_Utility_Decision,MATCH($B113,equipment_ID,0))='4.2-Settings Internal'!$B$30,INDEX(Equipment_Utility_Run,MATCH($B113,equipment_ID,0)),""))</f>
        <v>0</v>
      </c>
      <c r="G113" s="130">
        <f>IF($B113="N/A","",IF(INDEX(Equipment_Utility_Decision,MATCH($B113,equipment_ID,0))='4.2-Settings Internal'!$B$30,INDEX(Equipment_Utility_Water,MATCH($B113,equipment_ID,0)),""))</f>
        <v>0</v>
      </c>
      <c r="H113" s="288">
        <f t="shared" si="14"/>
        <v>0</v>
      </c>
      <c r="I113" s="130">
        <f>IF($B113="N/A","",IF(INDEX(Equipment_Utility_Decision,MATCH($B113,equipment_ID,0))='4.2-Settings Internal'!$B$30,INDEX(Equipment_Utility_Electricity,MATCH($B113,equipment_ID,0)),""))</f>
        <v>0</v>
      </c>
      <c r="J113" s="288">
        <f t="shared" si="15"/>
        <v>0</v>
      </c>
      <c r="K113" s="130">
        <f>IF($B113="N/A","",IF(INDEX(Equipment_Utility_Decision,MATCH($B113,equipment_ID,0))=INDEX(Yes_No_Choice[],1),INDEX(Equipment_Utility_Fuel,MATCH($B113,equipment_ID,0)),""))</f>
        <v>0</v>
      </c>
      <c r="L113" s="288" t="str">
        <f t="shared" si="16"/>
        <v/>
      </c>
      <c r="M113" s="89">
        <f t="shared" si="17"/>
        <v>0.32</v>
      </c>
      <c r="N113" s="288">
        <f t="shared" si="18"/>
        <v>11.329663466508807</v>
      </c>
      <c r="O113" s="130" t="str">
        <f t="shared" si="19"/>
        <v/>
      </c>
    </row>
    <row r="114" spans="2:15">
      <c r="B114" s="70" t="str">
        <f t="array" ref="B114">IF(COUNTIFS(INDEX(Equipment_Allocation_New,0,MATCH($C$107,Unit_codes,0)),"&gt;0")&lt;ROWS('2.2-Equipment input'!$X$8:$X12),"N/A",INDEX('2.2-Equipment input'!B:B,SMALL(IF(INDEX(Equipment_Allocation_New,0,MATCH($C$107,Unit_codes,0))&gt;0,ROW(equipment_ID)),ROW('2.2-Equipment input'!B5))))</f>
        <v>eq0032</v>
      </c>
      <c r="C114" s="70" t="str">
        <f>IF($B114="N/A","N/A",INDEX(Equipment_name[],MATCH(B114,equipment_ID,0)))</f>
        <v>Measuring balance (nursery)</v>
      </c>
      <c r="D114" s="288">
        <f t="shared" si="12"/>
        <v>70.810396665680045</v>
      </c>
      <c r="E114" s="88">
        <f t="shared" si="13"/>
        <v>1</v>
      </c>
      <c r="F114" s="130">
        <f>IF($B114="N/A","",IF(INDEX(Equipment_Utility_Decision,MATCH($B114,equipment_ID,0))='4.2-Settings Internal'!$B$30,INDEX(Equipment_Utility_Run,MATCH($B114,equipment_ID,0)),""))</f>
        <v>0</v>
      </c>
      <c r="G114" s="130">
        <f>IF($B114="N/A","",IF(INDEX(Equipment_Utility_Decision,MATCH($B114,equipment_ID,0))='4.2-Settings Internal'!$B$30,INDEX(Equipment_Utility_Water,MATCH($B114,equipment_ID,0)),""))</f>
        <v>0</v>
      </c>
      <c r="H114" s="288">
        <f t="shared" si="14"/>
        <v>0</v>
      </c>
      <c r="I114" s="130">
        <f>IF($B114="N/A","",IF(INDEX(Equipment_Utility_Decision,MATCH($B114,equipment_ID,0))='4.2-Settings Internal'!$B$30,INDEX(Equipment_Utility_Electricity,MATCH($B114,equipment_ID,0)),""))</f>
        <v>0</v>
      </c>
      <c r="J114" s="288">
        <f t="shared" si="15"/>
        <v>0</v>
      </c>
      <c r="K114" s="130">
        <f>IF($B114="N/A","",IF(INDEX(Equipment_Utility_Decision,MATCH($B114,equipment_ID,0))=INDEX(Yes_No_Choice[],1),INDEX(Equipment_Utility_Fuel,MATCH($B114,equipment_ID,0)),""))</f>
        <v>0</v>
      </c>
      <c r="L114" s="288" t="str">
        <f t="shared" si="16"/>
        <v/>
      </c>
      <c r="M114" s="89">
        <f t="shared" si="17"/>
        <v>0.25</v>
      </c>
      <c r="N114" s="288">
        <f t="shared" si="18"/>
        <v>17.702599166420011</v>
      </c>
      <c r="O114" s="130" t="str">
        <f t="shared" si="19"/>
        <v/>
      </c>
    </row>
    <row r="115" spans="2:15">
      <c r="B115" s="70" t="str">
        <f t="array" ref="B115">IF(COUNTIFS(INDEX(Equipment_Allocation_New,0,MATCH($C$107,Unit_codes,0)),"&gt;0")&lt;ROWS('2.2-Equipment input'!$X$8:$X13),"N/A",INDEX('2.2-Equipment input'!B:B,SMALL(IF(INDEX(Equipment_Allocation_New,0,MATCH($C$107,Unit_codes,0))&gt;0,ROW(equipment_ID)),ROW('2.2-Equipment input'!B6))))</f>
        <v>eq0038</v>
      </c>
      <c r="C115" s="70">
        <f>IF($B115="N/A","N/A",INDEX(Equipment_name[],MATCH(B115,equipment_ID,0)))</f>
        <v>0</v>
      </c>
      <c r="D115" s="288">
        <f t="shared" si="12"/>
        <v>24.217155659662577</v>
      </c>
      <c r="E115" s="88">
        <f t="shared" si="13"/>
        <v>0</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14"/>
        <v/>
      </c>
      <c r="I115" s="130" t="str">
        <f>IF($B115="N/A","",IF(INDEX(Equipment_Utility_Decision,MATCH($B115,equipment_ID,0))='4.2-Settings Internal'!$B$30,INDEX(Equipment_Utility_Electricity,MATCH($B115,equipment_ID,0)),""))</f>
        <v/>
      </c>
      <c r="J115" s="288" t="str">
        <f t="shared" si="15"/>
        <v/>
      </c>
      <c r="K115" s="130" t="str">
        <f>IF($B115="N/A","",IF(INDEX(Equipment_Utility_Decision,MATCH($B115,equipment_ID,0))=INDEX(Yes_No_Choice[],1),INDEX(Equipment_Utility_Fuel,MATCH($B115,equipment_ID,0)),""))</f>
        <v/>
      </c>
      <c r="L115" s="288" t="str">
        <f t="shared" si="16"/>
        <v/>
      </c>
      <c r="M115" s="89">
        <f t="shared" si="17"/>
        <v>1</v>
      </c>
      <c r="N115" s="288">
        <f t="shared" si="18"/>
        <v>0</v>
      </c>
      <c r="O115" s="130">
        <f t="shared" si="19"/>
        <v>0</v>
      </c>
    </row>
    <row r="116" spans="2:15">
      <c r="B116" s="70" t="str">
        <f t="array" ref="B116">IF(COUNTIFS(INDEX(Equipment_Allocation_New,0,MATCH($C$107,Unit_codes,0)),"&gt;0")&lt;ROWS('2.2-Equipment input'!$X$8:$X14),"N/A",INDEX('2.2-Equipment input'!B:B,SMALL(IF(INDEX(Equipment_Allocation_New,0,MATCH($C$107,Unit_codes,0))&gt;0,ROW(equipment_ID)),ROW('2.2-Equipment input'!B7))))</f>
        <v>eq0039</v>
      </c>
      <c r="C116" s="70">
        <f>IF($B116="N/A","N/A",INDEX(Equipment_name[],MATCH(B116,equipment_ID,0)))</f>
        <v>0</v>
      </c>
      <c r="D116" s="288">
        <f t="shared" si="12"/>
        <v>2619.9846766301616</v>
      </c>
      <c r="E116" s="88">
        <f t="shared" si="13"/>
        <v>0</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14"/>
        <v/>
      </c>
      <c r="I116" s="130" t="str">
        <f>IF($B116="N/A","",IF(INDEX(Equipment_Utility_Decision,MATCH($B116,equipment_ID,0))='4.2-Settings Internal'!$B$30,INDEX(Equipment_Utility_Electricity,MATCH($B116,equipment_ID,0)),""))</f>
        <v/>
      </c>
      <c r="J116" s="288" t="str">
        <f t="shared" si="15"/>
        <v/>
      </c>
      <c r="K116" s="130" t="str">
        <f>IF($B116="N/A","",IF(INDEX(Equipment_Utility_Decision,MATCH($B116,equipment_ID,0))=INDEX(Yes_No_Choice[],1),INDEX(Equipment_Utility_Fuel,MATCH($B116,equipment_ID,0)),""))</f>
        <v/>
      </c>
      <c r="L116" s="288" t="str">
        <f t="shared" si="16"/>
        <v/>
      </c>
      <c r="M116" s="89">
        <f t="shared" si="17"/>
        <v>1</v>
      </c>
      <c r="N116" s="288">
        <f t="shared" si="18"/>
        <v>0</v>
      </c>
      <c r="O116" s="130">
        <f t="shared" si="19"/>
        <v>0</v>
      </c>
    </row>
    <row r="117" spans="2:15">
      <c r="B117" s="70" t="str">
        <f t="array" ref="B117">IF(COUNTIFS(INDEX(Equipment_Allocation_New,0,MATCH($C$107,Unit_codes,0)),"&gt;0")&lt;ROWS('2.2-Equipment input'!$X$8:$X15),"N/A",INDEX('2.2-Equipment input'!B:B,SMALL(IF(INDEX(Equipment_Allocation_New,0,MATCH($C$107,Unit_codes,0))&gt;0,ROW(equipment_ID)),ROW('2.2-Equipment input'!B8))))</f>
        <v>eq0040</v>
      </c>
      <c r="C117" s="70">
        <f>IF($B117="N/A","N/A",INDEX(Equipment_name[],MATCH(B117,equipment_ID,0)))</f>
        <v>0</v>
      </c>
      <c r="D117" s="288">
        <f t="shared" si="12"/>
        <v>594.80733199171232</v>
      </c>
      <c r="E117" s="88">
        <f t="shared" si="13"/>
        <v>0</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14"/>
        <v/>
      </c>
      <c r="I117" s="130" t="str">
        <f>IF($B117="N/A","",IF(INDEX(Equipment_Utility_Decision,MATCH($B117,equipment_ID,0))='4.2-Settings Internal'!$B$30,INDEX(Equipment_Utility_Electricity,MATCH($B117,equipment_ID,0)),""))</f>
        <v/>
      </c>
      <c r="J117" s="288" t="str">
        <f t="shared" si="15"/>
        <v/>
      </c>
      <c r="K117" s="130" t="str">
        <f>IF($B117="N/A","",IF(INDEX(Equipment_Utility_Decision,MATCH($B117,equipment_ID,0))=INDEX(Yes_No_Choice[],1),INDEX(Equipment_Utility_Fuel,MATCH($B117,equipment_ID,0)),""))</f>
        <v/>
      </c>
      <c r="L117" s="288" t="str">
        <f t="shared" si="16"/>
        <v/>
      </c>
      <c r="M117" s="89">
        <f t="shared" si="17"/>
        <v>1</v>
      </c>
      <c r="N117" s="288">
        <f t="shared" si="18"/>
        <v>0</v>
      </c>
      <c r="O117" s="130">
        <f t="shared" si="19"/>
        <v>0</v>
      </c>
    </row>
    <row r="118" spans="2:15">
      <c r="B118" s="70" t="str">
        <f t="array" ref="B118">IF(COUNTIFS(INDEX(Equipment_Allocation_New,0,MATCH($C$107,Unit_codes,0)),"&gt;0")&lt;ROWS('2.2-Equipment input'!$X$8:$X16),"N/A",INDEX('2.2-Equipment input'!B:B,SMALL(IF(INDEX(Equipment_Allocation_New,0,MATCH($C$107,Unit_codes,0))&gt;0,ROW(equipment_ID)),ROW('2.2-Equipment input'!B9))))</f>
        <v>eq0041</v>
      </c>
      <c r="C118" s="70">
        <f>IF($B118="N/A","N/A",INDEX(Equipment_name[],MATCH(B118,equipment_ID,0)))</f>
        <v>0</v>
      </c>
      <c r="D118" s="288">
        <f t="shared" si="12"/>
        <v>66.561772865739243</v>
      </c>
      <c r="E118" s="88">
        <f t="shared" si="13"/>
        <v>0</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4"/>
        <v/>
      </c>
      <c r="I118" s="130" t="str">
        <f>IF($B118="N/A","",IF(INDEX(Equipment_Utility_Decision,MATCH($B118,equipment_ID,0))='4.2-Settings Internal'!$B$30,INDEX(Equipment_Utility_Electricity,MATCH($B118,equipment_ID,0)),""))</f>
        <v/>
      </c>
      <c r="J118" s="288" t="str">
        <f t="shared" si="15"/>
        <v/>
      </c>
      <c r="K118" s="130" t="str">
        <f>IF($B118="N/A","",IF(INDEX(Equipment_Utility_Decision,MATCH($B118,equipment_ID,0))=INDEX(Yes_No_Choice[],1),INDEX(Equipment_Utility_Fuel,MATCH($B118,equipment_ID,0)),""))</f>
        <v/>
      </c>
      <c r="L118" s="288" t="str">
        <f t="shared" si="16"/>
        <v/>
      </c>
      <c r="M118" s="89">
        <f t="shared" si="17"/>
        <v>1</v>
      </c>
      <c r="N118" s="288">
        <f t="shared" si="18"/>
        <v>0</v>
      </c>
      <c r="O118" s="130">
        <f t="shared" si="19"/>
        <v>0</v>
      </c>
    </row>
    <row r="119" spans="2:15">
      <c r="B119" s="70" t="str">
        <f t="array" ref="B119">IF(COUNTIFS(INDEX(Equipment_Allocation_New,0,MATCH($C$107,Unit_codes,0)),"&gt;0")&lt;ROWS('2.2-Equipment input'!$X$8:$X17),"N/A",INDEX('2.2-Equipment input'!B:B,SMALL(IF(INDEX(Equipment_Allocation_New,0,MATCH($C$107,Unit_codes,0))&gt;0,ROW(equipment_ID)),ROW('2.2-Equipment input'!B10))))</f>
        <v>eq0042</v>
      </c>
      <c r="C119" s="70">
        <f>IF($B119="N/A","N/A",INDEX(Equipment_name[],MATCH(B119,equipment_ID,0)))</f>
        <v>0</v>
      </c>
      <c r="D119" s="288">
        <f t="shared" si="12"/>
        <v>283.24158666272018</v>
      </c>
      <c r="E119" s="88">
        <f t="shared" si="13"/>
        <v>0</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14"/>
        <v/>
      </c>
      <c r="I119" s="130" t="str">
        <f>IF($B119="N/A","",IF(INDEX(Equipment_Utility_Decision,MATCH($B119,equipment_ID,0))='4.2-Settings Internal'!$B$30,INDEX(Equipment_Utility_Electricity,MATCH($B119,equipment_ID,0)),""))</f>
        <v/>
      </c>
      <c r="J119" s="288" t="str">
        <f t="shared" si="15"/>
        <v/>
      </c>
      <c r="K119" s="130" t="str">
        <f>IF($B119="N/A","",IF(INDEX(Equipment_Utility_Decision,MATCH($B119,equipment_ID,0))=INDEX(Yes_No_Choice[],1),INDEX(Equipment_Utility_Fuel,MATCH($B119,equipment_ID,0)),""))</f>
        <v/>
      </c>
      <c r="L119" s="288" t="str">
        <f t="shared" si="16"/>
        <v/>
      </c>
      <c r="M119" s="89">
        <f t="shared" si="17"/>
        <v>1</v>
      </c>
      <c r="N119" s="288">
        <f t="shared" si="18"/>
        <v>0</v>
      </c>
      <c r="O119" s="130">
        <f t="shared" si="19"/>
        <v>0</v>
      </c>
    </row>
    <row r="120" spans="2:15">
      <c r="B120" s="70" t="str">
        <f t="array" ref="B120">IF(COUNTIFS(INDEX(Equipment_Allocation_New,0,MATCH($C$107,Unit_codes,0)),"&gt;0")&lt;ROWS('2.2-Equipment input'!$X$8:$X18),"N/A",INDEX('2.2-Equipment input'!B:B,SMALL(IF(INDEX(Equipment_Allocation_New,0,MATCH($C$107,Unit_codes,0))&gt;0,ROW(equipment_ID)),ROW('2.2-Equipment input'!B11))))</f>
        <v>eq0043</v>
      </c>
      <c r="C120" s="70">
        <f>IF($B120="N/A","N/A",INDEX(Equipment_name[],MATCH(B120,equipment_ID,0)))</f>
        <v>0</v>
      </c>
      <c r="D120" s="288">
        <f t="shared" si="12"/>
        <v>60.188837165828033</v>
      </c>
      <c r="E120" s="88">
        <f t="shared" si="13"/>
        <v>0</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4"/>
        <v/>
      </c>
      <c r="I120" s="130" t="str">
        <f>IF($B120="N/A","",IF(INDEX(Equipment_Utility_Decision,MATCH($B120,equipment_ID,0))='4.2-Settings Internal'!$B$30,INDEX(Equipment_Utility_Electricity,MATCH($B120,equipment_ID,0)),""))</f>
        <v/>
      </c>
      <c r="J120" s="288" t="str">
        <f t="shared" si="15"/>
        <v/>
      </c>
      <c r="K120" s="130" t="str">
        <f>IF($B120="N/A","",IF(INDEX(Equipment_Utility_Decision,MATCH($B120,equipment_ID,0))=INDEX(Yes_No_Choice[],1),INDEX(Equipment_Utility_Fuel,MATCH($B120,equipment_ID,0)),""))</f>
        <v/>
      </c>
      <c r="L120" s="288" t="str">
        <f t="shared" si="16"/>
        <v/>
      </c>
      <c r="M120" s="89">
        <f t="shared" si="17"/>
        <v>1</v>
      </c>
      <c r="N120" s="288">
        <f t="shared" si="18"/>
        <v>0</v>
      </c>
      <c r="O120" s="130" t="str">
        <f t="shared" si="19"/>
        <v/>
      </c>
    </row>
    <row r="121" spans="2:15">
      <c r="B121" s="70" t="str">
        <f t="array" ref="B121">IF(COUNTIFS(INDEX(Equipment_Allocation_New,0,MATCH($C$107,Unit_codes,0)),"&gt;0")&lt;ROWS('2.2-Equipment input'!$X$8:$X19),"N/A",INDEX('2.2-Equipment input'!B:B,SMALL(IF(INDEX(Equipment_Allocation_New,0,MATCH($C$107,Unit_codes,0))&gt;0,ROW(equipment_ID)),ROW('2.2-Equipment input'!B12))))</f>
        <v>eq0044</v>
      </c>
      <c r="C121" s="70">
        <f>IF($B121="N/A","N/A",INDEX(Equipment_name[],MATCH(B121,equipment_ID,0)))</f>
        <v>0</v>
      </c>
      <c r="D121" s="288">
        <f t="shared" si="12"/>
        <v>88.51299583210006</v>
      </c>
      <c r="E121" s="88">
        <f t="shared" si="13"/>
        <v>0</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4"/>
        <v/>
      </c>
      <c r="I121" s="130" t="str">
        <f>IF($B121="N/A","",IF(INDEX(Equipment_Utility_Decision,MATCH($B121,equipment_ID,0))='4.2-Settings Internal'!$B$30,INDEX(Equipment_Utility_Electricity,MATCH($B121,equipment_ID,0)),""))</f>
        <v/>
      </c>
      <c r="J121" s="288" t="str">
        <f t="shared" si="15"/>
        <v/>
      </c>
      <c r="K121" s="130" t="str">
        <f>IF($B121="N/A","",IF(INDEX(Equipment_Utility_Decision,MATCH($B121,equipment_ID,0))=INDEX(Yes_No_Choice[],1),INDEX(Equipment_Utility_Fuel,MATCH($B121,equipment_ID,0)),""))</f>
        <v/>
      </c>
      <c r="L121" s="288" t="str">
        <f t="shared" si="16"/>
        <v/>
      </c>
      <c r="M121" s="89">
        <f t="shared" si="17"/>
        <v>1</v>
      </c>
      <c r="N121" s="288">
        <f t="shared" si="18"/>
        <v>0</v>
      </c>
      <c r="O121" s="130" t="str">
        <f t="shared" si="19"/>
        <v/>
      </c>
    </row>
    <row r="122" spans="2:15">
      <c r="B122" s="70" t="str">
        <f t="array" ref="B122">IF(COUNTIFS(INDEX(Equipment_Allocation_New,0,MATCH($C$107,Unit_codes,0)),"&gt;0")&lt;ROWS('2.2-Equipment input'!$X$8:$X20),"N/A",INDEX('2.2-Equipment input'!B:B,SMALL(IF(INDEX(Equipment_Allocation_New,0,MATCH($C$107,Unit_codes,0))&gt;0,ROW(equipment_ID)),ROW('2.2-Equipment input'!B13))))</f>
        <v>eq0045</v>
      </c>
      <c r="C122" s="70">
        <f>IF($B122="N/A","N/A",INDEX(Equipment_name[],MATCH(B122,equipment_ID,0)))</f>
        <v>0</v>
      </c>
      <c r="D122" s="288">
        <f t="shared" si="12"/>
        <v>39.639660053447685</v>
      </c>
      <c r="E122" s="88">
        <f t="shared" si="13"/>
        <v>0</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4"/>
        <v/>
      </c>
      <c r="I122" s="130" t="str">
        <f>IF($B122="N/A","",IF(INDEX(Equipment_Utility_Decision,MATCH($B122,equipment_ID,0))='4.2-Settings Internal'!$B$30,INDEX(Equipment_Utility_Electricity,MATCH($B122,equipment_ID,0)),""))</f>
        <v/>
      </c>
      <c r="J122" s="288" t="str">
        <f t="shared" si="15"/>
        <v/>
      </c>
      <c r="K122" s="130" t="str">
        <f>IF($B122="N/A","",IF(INDEX(Equipment_Utility_Decision,MATCH($B122,equipment_ID,0))=INDEX(Yes_No_Choice[],1),INDEX(Equipment_Utility_Fuel,MATCH($B122,equipment_ID,0)),""))</f>
        <v/>
      </c>
      <c r="L122" s="288" t="str">
        <f t="shared" si="16"/>
        <v/>
      </c>
      <c r="M122" s="89">
        <f t="shared" si="17"/>
        <v>1</v>
      </c>
      <c r="N122" s="288">
        <f t="shared" si="18"/>
        <v>0</v>
      </c>
      <c r="O122" s="130" t="str">
        <f t="shared" si="19"/>
        <v/>
      </c>
    </row>
    <row r="123" spans="2:15">
      <c r="B123" s="70" t="str">
        <f t="array" ref="B123">IF(COUNTIFS(INDEX(Equipment_Allocation_New,0,MATCH($C$107,Unit_codes,0)),"&gt;0")&lt;ROWS('2.2-Equipment input'!$X$8:$X21),"N/A",INDEX('2.2-Equipment input'!B:B,SMALL(IF(INDEX(Equipment_Allocation_New,0,MATCH($C$107,Unit_codes,0))&gt;0,ROW(equipment_ID)),ROW('2.2-Equipment input'!B14))))</f>
        <v>eq0046</v>
      </c>
      <c r="C123" s="70">
        <f>IF($B123="N/A","N/A",INDEX(Equipment_name[],MATCH(B123,equipment_ID,0)))</f>
        <v>0</v>
      </c>
      <c r="D123" s="288">
        <f t="shared" si="12"/>
        <v>21.243118999704013</v>
      </c>
      <c r="E123" s="88">
        <f t="shared" si="13"/>
        <v>0</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4"/>
        <v/>
      </c>
      <c r="I123" s="130" t="str">
        <f>IF($B123="N/A","",IF(INDEX(Equipment_Utility_Decision,MATCH($B123,equipment_ID,0))='4.2-Settings Internal'!$B$30,INDEX(Equipment_Utility_Electricity,MATCH($B123,equipment_ID,0)),""))</f>
        <v/>
      </c>
      <c r="J123" s="288" t="str">
        <f t="shared" si="15"/>
        <v/>
      </c>
      <c r="K123" s="130" t="str">
        <f>IF($B123="N/A","",IF(INDEX(Equipment_Utility_Decision,MATCH($B123,equipment_ID,0))=INDEX(Yes_No_Choice[],1),INDEX(Equipment_Utility_Fuel,MATCH($B123,equipment_ID,0)),""))</f>
        <v/>
      </c>
      <c r="L123" s="288" t="str">
        <f t="shared" si="16"/>
        <v/>
      </c>
      <c r="M123" s="89">
        <f t="shared" si="17"/>
        <v>1</v>
      </c>
      <c r="N123" s="288">
        <f t="shared" si="18"/>
        <v>0</v>
      </c>
      <c r="O123" s="130" t="str">
        <f t="shared" si="19"/>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2"/>
        <v>N/A</v>
      </c>
      <c r="E124" s="88" t="str">
        <f t="shared" si="13"/>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4"/>
        <v/>
      </c>
      <c r="I124" s="130" t="str">
        <f>IF($B124="N/A","",IF(INDEX(Equipment_Utility_Decision,MATCH($B124,equipment_ID,0))='4.2-Settings Internal'!$B$30,INDEX(Equipment_Utility_Electricity,MATCH($B124,equipment_ID,0)),""))</f>
        <v/>
      </c>
      <c r="J124" s="288" t="str">
        <f t="shared" si="15"/>
        <v/>
      </c>
      <c r="K124" s="130" t="str">
        <f>IF($B124="N/A","",IF(INDEX(Equipment_Utility_Decision,MATCH($B124,equipment_ID,0))=INDEX(Yes_No_Choice[],1),INDEX(Equipment_Utility_Fuel,MATCH($B124,equipment_ID,0)),""))</f>
        <v/>
      </c>
      <c r="L124" s="288" t="str">
        <f t="shared" si="16"/>
        <v/>
      </c>
      <c r="M124" s="89" t="str">
        <f t="shared" si="17"/>
        <v/>
      </c>
      <c r="N124" s="288" t="str">
        <f t="shared" si="18"/>
        <v/>
      </c>
      <c r="O124" s="130" t="str">
        <f t="shared" si="19"/>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2"/>
        <v>N/A</v>
      </c>
      <c r="E125" s="88" t="str">
        <f t="shared" si="13"/>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4"/>
        <v/>
      </c>
      <c r="I125" s="130" t="str">
        <f>IF($B125="N/A","",IF(INDEX(Equipment_Utility_Decision,MATCH($B125,equipment_ID,0))='4.2-Settings Internal'!$B$30,INDEX(Equipment_Utility_Electricity,MATCH($B125,equipment_ID,0)),""))</f>
        <v/>
      </c>
      <c r="J125" s="288" t="str">
        <f t="shared" si="15"/>
        <v/>
      </c>
      <c r="K125" s="130" t="str">
        <f>IF($B125="N/A","",IF(INDEX(Equipment_Utility_Decision,MATCH($B125,equipment_ID,0))=INDEX(Yes_No_Choice[],1),INDEX(Equipment_Utility_Fuel,MATCH($B125,equipment_ID,0)),""))</f>
        <v/>
      </c>
      <c r="L125" s="288" t="str">
        <f t="shared" si="16"/>
        <v/>
      </c>
      <c r="M125" s="89" t="str">
        <f t="shared" si="17"/>
        <v/>
      </c>
      <c r="N125" s="288" t="str">
        <f t="shared" si="18"/>
        <v/>
      </c>
      <c r="O125" s="130" t="str">
        <f t="shared" si="19"/>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2"/>
        <v>N/A</v>
      </c>
      <c r="E126" s="88" t="str">
        <f t="shared" si="13"/>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4"/>
        <v/>
      </c>
      <c r="I126" s="130" t="str">
        <f>IF($B126="N/A","",IF(INDEX(Equipment_Utility_Decision,MATCH($B126,equipment_ID,0))='4.2-Settings Internal'!$B$30,INDEX(Equipment_Utility_Electricity,MATCH($B126,equipment_ID,0)),""))</f>
        <v/>
      </c>
      <c r="J126" s="288" t="str">
        <f t="shared" si="15"/>
        <v/>
      </c>
      <c r="K126" s="130" t="str">
        <f>IF($B126="N/A","",IF(INDEX(Equipment_Utility_Decision,MATCH($B126,equipment_ID,0))=INDEX(Yes_No_Choice[],1),INDEX(Equipment_Utility_Fuel,MATCH($B126,equipment_ID,0)),""))</f>
        <v/>
      </c>
      <c r="L126" s="288" t="str">
        <f t="shared" si="16"/>
        <v/>
      </c>
      <c r="M126" s="89" t="str">
        <f t="shared" si="17"/>
        <v/>
      </c>
      <c r="N126" s="288" t="str">
        <f t="shared" si="18"/>
        <v/>
      </c>
      <c r="O126" s="130" t="str">
        <f t="shared" si="19"/>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2"/>
        <v>N/A</v>
      </c>
      <c r="E127" s="88" t="str">
        <f t="shared" si="13"/>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4"/>
        <v/>
      </c>
      <c r="I127" s="130" t="str">
        <f>IF($B127="N/A","",IF(INDEX(Equipment_Utility_Decision,MATCH($B127,equipment_ID,0))='4.2-Settings Internal'!$B$30,INDEX(Equipment_Utility_Electricity,MATCH($B127,equipment_ID,0)),""))</f>
        <v/>
      </c>
      <c r="J127" s="288" t="str">
        <f t="shared" si="15"/>
        <v/>
      </c>
      <c r="K127" s="130" t="str">
        <f>IF($B127="N/A","",IF(INDEX(Equipment_Utility_Decision,MATCH($B127,equipment_ID,0))=INDEX(Yes_No_Choice[],1),INDEX(Equipment_Utility_Fuel,MATCH($B127,equipment_ID,0)),""))</f>
        <v/>
      </c>
      <c r="L127" s="288" t="str">
        <f t="shared" si="16"/>
        <v/>
      </c>
      <c r="M127" s="89" t="str">
        <f t="shared" si="17"/>
        <v/>
      </c>
      <c r="N127" s="288" t="str">
        <f t="shared" si="18"/>
        <v/>
      </c>
      <c r="O127" s="130" t="str">
        <f t="shared" si="19"/>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2"/>
        <v>N/A</v>
      </c>
      <c r="E128" s="88" t="str">
        <f t="shared" si="13"/>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4"/>
        <v/>
      </c>
      <c r="I128" s="130" t="str">
        <f>IF($B128="N/A","",IF(INDEX(Equipment_Utility_Decision,MATCH($B128,equipment_ID,0))='4.2-Settings Internal'!$B$30,INDEX(Equipment_Utility_Electricity,MATCH($B128,equipment_ID,0)),""))</f>
        <v/>
      </c>
      <c r="J128" s="288" t="str">
        <f t="shared" si="15"/>
        <v/>
      </c>
      <c r="K128" s="130" t="str">
        <f>IF($B128="N/A","",IF(INDEX(Equipment_Utility_Decision,MATCH($B128,equipment_ID,0))=INDEX(Yes_No_Choice[],1),INDEX(Equipment_Utility_Fuel,MATCH($B128,equipment_ID,0)),""))</f>
        <v/>
      </c>
      <c r="L128" s="288" t="str">
        <f t="shared" si="16"/>
        <v/>
      </c>
      <c r="M128" s="89" t="str">
        <f t="shared" si="17"/>
        <v/>
      </c>
      <c r="N128" s="288" t="str">
        <f t="shared" si="18"/>
        <v/>
      </c>
      <c r="O128" s="130" t="str">
        <f t="shared" si="19"/>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2"/>
        <v>N/A</v>
      </c>
      <c r="E129" s="88" t="str">
        <f t="shared" si="13"/>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4"/>
        <v/>
      </c>
      <c r="I129" s="130" t="str">
        <f>IF($B129="N/A","",IF(INDEX(Equipment_Utility_Decision,MATCH($B129,equipment_ID,0))='4.2-Settings Internal'!$B$30,INDEX(Equipment_Utility_Electricity,MATCH($B129,equipment_ID,0)),""))</f>
        <v/>
      </c>
      <c r="J129" s="288" t="str">
        <f t="shared" si="15"/>
        <v/>
      </c>
      <c r="K129" s="130" t="str">
        <f>IF($B129="N/A","",IF(INDEX(Equipment_Utility_Decision,MATCH($B129,equipment_ID,0))=INDEX(Yes_No_Choice[],1),INDEX(Equipment_Utility_Fuel,MATCH($B129,equipment_ID,0)),""))</f>
        <v/>
      </c>
      <c r="L129" s="288" t="str">
        <f t="shared" si="16"/>
        <v/>
      </c>
      <c r="M129" s="89" t="str">
        <f t="shared" si="17"/>
        <v/>
      </c>
      <c r="N129" s="288" t="str">
        <f t="shared" si="18"/>
        <v/>
      </c>
      <c r="O129" s="130" t="str">
        <f t="shared" si="19"/>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2"/>
        <v>N/A</v>
      </c>
      <c r="E130" s="88" t="str">
        <f t="shared" si="13"/>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4"/>
        <v/>
      </c>
      <c r="I130" s="130" t="str">
        <f>IF($B130="N/A","",IF(INDEX(Equipment_Utility_Decision,MATCH($B130,equipment_ID,0))='4.2-Settings Internal'!$B$30,INDEX(Equipment_Utility_Electricity,MATCH($B130,equipment_ID,0)),""))</f>
        <v/>
      </c>
      <c r="J130" s="288" t="str">
        <f t="shared" si="15"/>
        <v/>
      </c>
      <c r="K130" s="130" t="str">
        <f>IF($B130="N/A","",IF(INDEX(Equipment_Utility_Decision,MATCH($B130,equipment_ID,0))=INDEX(Yes_No_Choice[],1),INDEX(Equipment_Utility_Fuel,MATCH($B130,equipment_ID,0)),""))</f>
        <v/>
      </c>
      <c r="L130" s="288" t="str">
        <f t="shared" si="16"/>
        <v/>
      </c>
      <c r="M130" s="89" t="str">
        <f t="shared" si="17"/>
        <v/>
      </c>
      <c r="N130" s="288" t="str">
        <f t="shared" si="18"/>
        <v/>
      </c>
      <c r="O130" s="130" t="str">
        <f t="shared" si="19"/>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2"/>
        <v>N/A</v>
      </c>
      <c r="E131" s="88" t="str">
        <f t="shared" si="13"/>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4"/>
        <v/>
      </c>
      <c r="I131" s="130" t="str">
        <f>IF($B131="N/A","",IF(INDEX(Equipment_Utility_Decision,MATCH($B131,equipment_ID,0))='4.2-Settings Internal'!$B$30,INDEX(Equipment_Utility_Electricity,MATCH($B131,equipment_ID,0)),""))</f>
        <v/>
      </c>
      <c r="J131" s="288" t="str">
        <f t="shared" si="15"/>
        <v/>
      </c>
      <c r="K131" s="130" t="str">
        <f>IF($B131="N/A","",IF(INDEX(Equipment_Utility_Decision,MATCH($B131,equipment_ID,0))=INDEX(Yes_No_Choice[],1),INDEX(Equipment_Utility_Fuel,MATCH($B131,equipment_ID,0)),""))</f>
        <v/>
      </c>
      <c r="L131" s="288" t="str">
        <f t="shared" si="16"/>
        <v/>
      </c>
      <c r="M131" s="89" t="str">
        <f t="shared" si="17"/>
        <v/>
      </c>
      <c r="N131" s="288" t="str">
        <f t="shared" si="18"/>
        <v/>
      </c>
      <c r="O131" s="130" t="str">
        <f t="shared" si="19"/>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2"/>
        <v>N/A</v>
      </c>
      <c r="E132" s="88" t="str">
        <f t="shared" si="13"/>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4"/>
        <v/>
      </c>
      <c r="I132" s="130" t="str">
        <f>IF($B132="N/A","",IF(INDEX(Equipment_Utility_Decision,MATCH($B132,equipment_ID,0))='4.2-Settings Internal'!$B$30,INDEX(Equipment_Utility_Electricity,MATCH($B132,equipment_ID,0)),""))</f>
        <v/>
      </c>
      <c r="J132" s="288" t="str">
        <f t="shared" si="15"/>
        <v/>
      </c>
      <c r="K132" s="130" t="str">
        <f>IF($B132="N/A","",IF(INDEX(Equipment_Utility_Decision,MATCH($B132,equipment_ID,0))=INDEX(Yes_No_Choice[],1),INDEX(Equipment_Utility_Fuel,MATCH($B132,equipment_ID,0)),""))</f>
        <v/>
      </c>
      <c r="L132" s="288" t="str">
        <f t="shared" si="16"/>
        <v/>
      </c>
      <c r="M132" s="89" t="str">
        <f t="shared" si="17"/>
        <v/>
      </c>
      <c r="N132" s="288" t="str">
        <f t="shared" si="18"/>
        <v/>
      </c>
      <c r="O132" s="130" t="str">
        <f t="shared" si="19"/>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2"/>
        <v>N/A</v>
      </c>
      <c r="E133" s="88" t="str">
        <f t="shared" si="13"/>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4"/>
        <v/>
      </c>
      <c r="I133" s="130" t="str">
        <f>IF($B133="N/A","",IF(INDEX(Equipment_Utility_Decision,MATCH($B133,equipment_ID,0))='4.2-Settings Internal'!$B$30,INDEX(Equipment_Utility_Electricity,MATCH($B133,equipment_ID,0)),""))</f>
        <v/>
      </c>
      <c r="J133" s="288" t="str">
        <f t="shared" si="15"/>
        <v/>
      </c>
      <c r="K133" s="130" t="str">
        <f>IF($B133="N/A","",IF(INDEX(Equipment_Utility_Decision,MATCH($B133,equipment_ID,0))=INDEX(Yes_No_Choice[],1),INDEX(Equipment_Utility_Fuel,MATCH($B133,equipment_ID,0)),""))</f>
        <v/>
      </c>
      <c r="L133" s="288" t="str">
        <f t="shared" si="16"/>
        <v/>
      </c>
      <c r="M133" s="89" t="str">
        <f t="shared" si="17"/>
        <v/>
      </c>
      <c r="N133" s="288" t="str">
        <f t="shared" si="18"/>
        <v/>
      </c>
      <c r="O133" s="130" t="str">
        <f t="shared" si="19"/>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2"/>
        <v>N/A</v>
      </c>
      <c r="E134" s="88" t="str">
        <f t="shared" si="13"/>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4"/>
        <v/>
      </c>
      <c r="I134" s="130" t="str">
        <f>IF($B134="N/A","",IF(INDEX(Equipment_Utility_Decision,MATCH($B134,equipment_ID,0))='4.2-Settings Internal'!$B$30,INDEX(Equipment_Utility_Electricity,MATCH($B134,equipment_ID,0)),""))</f>
        <v/>
      </c>
      <c r="J134" s="288" t="str">
        <f t="shared" si="15"/>
        <v/>
      </c>
      <c r="K134" s="130" t="str">
        <f>IF($B134="N/A","",IF(INDEX(Equipment_Utility_Decision,MATCH($B134,equipment_ID,0))=INDEX(Yes_No_Choice[],1),INDEX(Equipment_Utility_Fuel,MATCH($B134,equipment_ID,0)),""))</f>
        <v/>
      </c>
      <c r="L134" s="288" t="str">
        <f t="shared" si="16"/>
        <v/>
      </c>
      <c r="M134" s="89" t="str">
        <f t="shared" si="17"/>
        <v/>
      </c>
      <c r="N134" s="288" t="str">
        <f t="shared" si="18"/>
        <v/>
      </c>
      <c r="O134" s="130" t="str">
        <f t="shared" si="19"/>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2"/>
        <v>N/A</v>
      </c>
      <c r="E135" s="88" t="str">
        <f t="shared" si="13"/>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4"/>
        <v/>
      </c>
      <c r="I135" s="130" t="str">
        <f>IF($B135="N/A","",IF(INDEX(Equipment_Utility_Decision,MATCH($B135,equipment_ID,0))='4.2-Settings Internal'!$B$30,INDEX(Equipment_Utility_Electricity,MATCH($B135,equipment_ID,0)),""))</f>
        <v/>
      </c>
      <c r="J135" s="288" t="str">
        <f t="shared" si="15"/>
        <v/>
      </c>
      <c r="K135" s="130" t="str">
        <f>IF($B135="N/A","",IF(INDEX(Equipment_Utility_Decision,MATCH($B135,equipment_ID,0))=INDEX(Yes_No_Choice[],1),INDEX(Equipment_Utility_Fuel,MATCH($B135,equipment_ID,0)),""))</f>
        <v/>
      </c>
      <c r="L135" s="288" t="str">
        <f t="shared" si="16"/>
        <v/>
      </c>
      <c r="M135" s="89" t="str">
        <f t="shared" si="17"/>
        <v/>
      </c>
      <c r="N135" s="288" t="str">
        <f t="shared" si="18"/>
        <v/>
      </c>
      <c r="O135" s="130" t="str">
        <f t="shared" si="19"/>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2"/>
        <v>N/A</v>
      </c>
      <c r="E136" s="88" t="str">
        <f t="shared" si="13"/>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4"/>
        <v/>
      </c>
      <c r="I136" s="130" t="str">
        <f>IF($B136="N/A","",IF(INDEX(Equipment_Utility_Decision,MATCH($B136,equipment_ID,0))='4.2-Settings Internal'!$B$30,INDEX(Equipment_Utility_Electricity,MATCH($B136,equipment_ID,0)),""))</f>
        <v/>
      </c>
      <c r="J136" s="288" t="str">
        <f t="shared" si="15"/>
        <v/>
      </c>
      <c r="K136" s="130" t="str">
        <f>IF($B136="N/A","",IF(INDEX(Equipment_Utility_Decision,MATCH($B136,equipment_ID,0))=INDEX(Yes_No_Choice[],1),INDEX(Equipment_Utility_Fuel,MATCH($B136,equipment_ID,0)),""))</f>
        <v/>
      </c>
      <c r="L136" s="288" t="str">
        <f t="shared" si="16"/>
        <v/>
      </c>
      <c r="M136" s="89" t="str">
        <f t="shared" si="17"/>
        <v/>
      </c>
      <c r="N136" s="288" t="str">
        <f t="shared" si="18"/>
        <v/>
      </c>
      <c r="O136" s="130" t="str">
        <f t="shared" si="19"/>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2"/>
        <v>N/A</v>
      </c>
      <c r="E137" s="88" t="str">
        <f t="shared" si="13"/>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4"/>
        <v/>
      </c>
      <c r="I137" s="130" t="str">
        <f>IF($B137="N/A","",IF(INDEX(Equipment_Utility_Decision,MATCH($B137,equipment_ID,0))='4.2-Settings Internal'!$B$30,INDEX(Equipment_Utility_Electricity,MATCH($B137,equipment_ID,0)),""))</f>
        <v/>
      </c>
      <c r="J137" s="288" t="str">
        <f t="shared" si="15"/>
        <v/>
      </c>
      <c r="K137" s="130" t="str">
        <f>IF($B137="N/A","",IF(INDEX(Equipment_Utility_Decision,MATCH($B137,equipment_ID,0))=INDEX(Yes_No_Choice[],1),INDEX(Equipment_Utility_Fuel,MATCH($B137,equipment_ID,0)),""))</f>
        <v/>
      </c>
      <c r="L137" s="288" t="str">
        <f t="shared" si="16"/>
        <v/>
      </c>
      <c r="M137" s="89" t="str">
        <f t="shared" si="17"/>
        <v/>
      </c>
      <c r="N137" s="288" t="str">
        <f t="shared" si="18"/>
        <v/>
      </c>
      <c r="O137" s="130" t="str">
        <f t="shared" si="19"/>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2"/>
        <v>N/A</v>
      </c>
      <c r="E138" s="88" t="str">
        <f t="shared" si="13"/>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4"/>
        <v/>
      </c>
      <c r="I138" s="130" t="str">
        <f>IF($B138="N/A","",IF(INDEX(Equipment_Utility_Decision,MATCH($B138,equipment_ID,0))='4.2-Settings Internal'!$B$30,INDEX(Equipment_Utility_Electricity,MATCH($B138,equipment_ID,0)),""))</f>
        <v/>
      </c>
      <c r="J138" s="288" t="str">
        <f t="shared" si="15"/>
        <v/>
      </c>
      <c r="K138" s="130" t="str">
        <f>IF($B138="N/A","",IF(INDEX(Equipment_Utility_Decision,MATCH($B138,equipment_ID,0))=INDEX(Yes_No_Choice[],1),INDEX(Equipment_Utility_Fuel,MATCH($B138,equipment_ID,0)),""))</f>
        <v/>
      </c>
      <c r="L138" s="288" t="str">
        <f t="shared" si="16"/>
        <v/>
      </c>
      <c r="M138" s="89" t="str">
        <f t="shared" si="17"/>
        <v/>
      </c>
      <c r="N138" s="288" t="str">
        <f t="shared" si="18"/>
        <v/>
      </c>
      <c r="O138" s="130" t="str">
        <f t="shared" si="19"/>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2"/>
        <v>N/A</v>
      </c>
      <c r="E139" s="88" t="str">
        <f t="shared" si="13"/>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4"/>
        <v/>
      </c>
      <c r="I139" s="130" t="str">
        <f>IF($B139="N/A","",IF(INDEX(Equipment_Utility_Decision,MATCH($B139,equipment_ID,0))='4.2-Settings Internal'!$B$30,INDEX(Equipment_Utility_Electricity,MATCH($B139,equipment_ID,0)),""))</f>
        <v/>
      </c>
      <c r="J139" s="288" t="str">
        <f t="shared" si="15"/>
        <v/>
      </c>
      <c r="K139" s="130" t="str">
        <f>IF($B139="N/A","",IF(INDEX(Equipment_Utility_Decision,MATCH($B139,equipment_ID,0))=INDEX(Yes_No_Choice[],1),INDEX(Equipment_Utility_Fuel,MATCH($B139,equipment_ID,0)),""))</f>
        <v/>
      </c>
      <c r="L139" s="288" t="str">
        <f t="shared" si="16"/>
        <v/>
      </c>
      <c r="M139" s="89" t="str">
        <f t="shared" si="17"/>
        <v/>
      </c>
      <c r="N139" s="288" t="str">
        <f t="shared" si="18"/>
        <v/>
      </c>
      <c r="O139" s="130" t="str">
        <f t="shared" si="19"/>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2"/>
        <v>N/A</v>
      </c>
      <c r="E140" s="88" t="str">
        <f t="shared" si="13"/>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4"/>
        <v/>
      </c>
      <c r="I140" s="130" t="str">
        <f>IF($B140="N/A","",IF(INDEX(Equipment_Utility_Decision,MATCH($B140,equipment_ID,0))='4.2-Settings Internal'!$B$30,INDEX(Equipment_Utility_Electricity,MATCH($B140,equipment_ID,0)),""))</f>
        <v/>
      </c>
      <c r="J140" s="288" t="str">
        <f t="shared" si="15"/>
        <v/>
      </c>
      <c r="K140" s="130" t="str">
        <f>IF($B140="N/A","",IF(INDEX(Equipment_Utility_Decision,MATCH($B140,equipment_ID,0))=INDEX(Yes_No_Choice[],1),INDEX(Equipment_Utility_Fuel,MATCH($B140,equipment_ID,0)),""))</f>
        <v/>
      </c>
      <c r="L140" s="288" t="str">
        <f t="shared" si="16"/>
        <v/>
      </c>
      <c r="M140" s="89" t="str">
        <f t="shared" si="17"/>
        <v/>
      </c>
      <c r="N140" s="288" t="str">
        <f t="shared" si="18"/>
        <v/>
      </c>
      <c r="O140" s="130" t="str">
        <f t="shared" si="19"/>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2"/>
        <v>N/A</v>
      </c>
      <c r="E141" s="88" t="str">
        <f t="shared" si="13"/>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4"/>
        <v/>
      </c>
      <c r="I141" s="130" t="str">
        <f>IF($B141="N/A","",IF(INDEX(Equipment_Utility_Decision,MATCH($B141,equipment_ID,0))='4.2-Settings Internal'!$B$30,INDEX(Equipment_Utility_Electricity,MATCH($B141,equipment_ID,0)),""))</f>
        <v/>
      </c>
      <c r="J141" s="288" t="str">
        <f t="shared" si="15"/>
        <v/>
      </c>
      <c r="K141" s="130" t="str">
        <f>IF($B141="N/A","",IF(INDEX(Equipment_Utility_Decision,MATCH($B141,equipment_ID,0))=INDEX(Yes_No_Choice[],1),INDEX(Equipment_Utility_Fuel,MATCH($B141,equipment_ID,0)),""))</f>
        <v/>
      </c>
      <c r="L141" s="288" t="str">
        <f t="shared" si="16"/>
        <v/>
      </c>
      <c r="M141" s="89" t="str">
        <f t="shared" si="17"/>
        <v/>
      </c>
      <c r="N141" s="288" t="str">
        <f t="shared" si="18"/>
        <v/>
      </c>
      <c r="O141" s="130" t="str">
        <f t="shared" si="19"/>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2"/>
        <v>N/A</v>
      </c>
      <c r="E142" s="88" t="str">
        <f t="shared" si="13"/>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4"/>
        <v/>
      </c>
      <c r="I142" s="130" t="str">
        <f>IF($B142="N/A","",IF(INDEX(Equipment_Utility_Decision,MATCH($B142,equipment_ID,0))='4.2-Settings Internal'!$B$30,INDEX(Equipment_Utility_Electricity,MATCH($B142,equipment_ID,0)),""))</f>
        <v/>
      </c>
      <c r="J142" s="288" t="str">
        <f t="shared" si="15"/>
        <v/>
      </c>
      <c r="K142" s="130" t="str">
        <f>IF($B142="N/A","",IF(INDEX(Equipment_Utility_Decision,MATCH($B142,equipment_ID,0))=INDEX(Yes_No_Choice[],1),INDEX(Equipment_Utility_Fuel,MATCH($B142,equipment_ID,0)),""))</f>
        <v/>
      </c>
      <c r="L142" s="288" t="str">
        <f t="shared" si="16"/>
        <v/>
      </c>
      <c r="M142" s="89" t="str">
        <f t="shared" si="17"/>
        <v/>
      </c>
      <c r="N142" s="288" t="str">
        <f t="shared" si="18"/>
        <v/>
      </c>
      <c r="O142" s="130" t="str">
        <f t="shared" si="19"/>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2"/>
        <v>N/A</v>
      </c>
      <c r="E143" s="88" t="str">
        <f t="shared" si="13"/>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4"/>
        <v/>
      </c>
      <c r="I143" s="130" t="str">
        <f>IF($B143="N/A","",IF(INDEX(Equipment_Utility_Decision,MATCH($B143,equipment_ID,0))='4.2-Settings Internal'!$B$30,INDEX(Equipment_Utility_Electricity,MATCH($B143,equipment_ID,0)),""))</f>
        <v/>
      </c>
      <c r="J143" s="288" t="str">
        <f t="shared" si="15"/>
        <v/>
      </c>
      <c r="K143" s="130" t="str">
        <f>IF($B143="N/A","",IF(INDEX(Equipment_Utility_Decision,MATCH($B143,equipment_ID,0))=INDEX(Yes_No_Choice[],1),INDEX(Equipment_Utility_Fuel,MATCH($B143,equipment_ID,0)),""))</f>
        <v/>
      </c>
      <c r="L143" s="288" t="str">
        <f t="shared" si="16"/>
        <v/>
      </c>
      <c r="M143" s="89" t="str">
        <f t="shared" si="17"/>
        <v/>
      </c>
      <c r="N143" s="288" t="str">
        <f t="shared" si="18"/>
        <v/>
      </c>
      <c r="O143" s="130" t="str">
        <f t="shared" si="19"/>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2"/>
        <v>N/A</v>
      </c>
      <c r="E144" s="88" t="str">
        <f t="shared" si="13"/>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4"/>
        <v/>
      </c>
      <c r="I144" s="130" t="str">
        <f>IF($B144="N/A","",IF(INDEX(Equipment_Utility_Decision,MATCH($B144,equipment_ID,0))='4.2-Settings Internal'!$B$30,INDEX(Equipment_Utility_Electricity,MATCH($B144,equipment_ID,0)),""))</f>
        <v/>
      </c>
      <c r="J144" s="288" t="str">
        <f t="shared" si="15"/>
        <v/>
      </c>
      <c r="K144" s="130" t="str">
        <f>IF($B144="N/A","",IF(INDEX(Equipment_Utility_Decision,MATCH($B144,equipment_ID,0))=INDEX(Yes_No_Choice[],1),INDEX(Equipment_Utility_Fuel,MATCH($B144,equipment_ID,0)),""))</f>
        <v/>
      </c>
      <c r="L144" s="288" t="str">
        <f t="shared" si="16"/>
        <v/>
      </c>
      <c r="M144" s="89" t="str">
        <f t="shared" si="17"/>
        <v/>
      </c>
      <c r="N144" s="288" t="str">
        <f t="shared" si="18"/>
        <v/>
      </c>
      <c r="O144" s="130" t="str">
        <f t="shared" si="19"/>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2"/>
        <v>N/A</v>
      </c>
      <c r="E145" s="88" t="str">
        <f t="shared" si="13"/>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4"/>
        <v/>
      </c>
      <c r="I145" s="130" t="str">
        <f>IF($B145="N/A","",IF(INDEX(Equipment_Utility_Decision,MATCH($B145,equipment_ID,0))='4.2-Settings Internal'!$B$30,INDEX(Equipment_Utility_Electricity,MATCH($B145,equipment_ID,0)),""))</f>
        <v/>
      </c>
      <c r="J145" s="288" t="str">
        <f t="shared" si="15"/>
        <v/>
      </c>
      <c r="K145" s="130" t="str">
        <f>IF($B145="N/A","",IF(INDEX(Equipment_Utility_Decision,MATCH($B145,equipment_ID,0))=INDEX(Yes_No_Choice[],1),INDEX(Equipment_Utility_Fuel,MATCH($B145,equipment_ID,0)),""))</f>
        <v/>
      </c>
      <c r="L145" s="288" t="str">
        <f t="shared" si="16"/>
        <v/>
      </c>
      <c r="M145" s="89" t="str">
        <f t="shared" si="17"/>
        <v/>
      </c>
      <c r="N145" s="288" t="str">
        <f t="shared" si="18"/>
        <v/>
      </c>
      <c r="O145" s="130" t="str">
        <f t="shared" si="19"/>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2"/>
        <v>N/A</v>
      </c>
      <c r="E146" s="88" t="str">
        <f t="shared" si="13"/>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4"/>
        <v/>
      </c>
      <c r="I146" s="130" t="str">
        <f>IF($B146="N/A","",IF(INDEX(Equipment_Utility_Decision,MATCH($B146,equipment_ID,0))='4.2-Settings Internal'!$B$30,INDEX(Equipment_Utility_Electricity,MATCH($B146,equipment_ID,0)),""))</f>
        <v/>
      </c>
      <c r="J146" s="288" t="str">
        <f t="shared" si="15"/>
        <v/>
      </c>
      <c r="K146" s="130" t="str">
        <f>IF($B146="N/A","",IF(INDEX(Equipment_Utility_Decision,MATCH($B146,equipment_ID,0))=INDEX(Yes_No_Choice[],1),INDEX(Equipment_Utility_Fuel,MATCH($B146,equipment_ID,0)),""))</f>
        <v/>
      </c>
      <c r="L146" s="288" t="str">
        <f t="shared" si="16"/>
        <v/>
      </c>
      <c r="M146" s="89" t="str">
        <f t="shared" si="17"/>
        <v/>
      </c>
      <c r="N146" s="288" t="str">
        <f t="shared" si="18"/>
        <v/>
      </c>
      <c r="O146" s="130" t="str">
        <f t="shared" si="19"/>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2"/>
        <v>N/A</v>
      </c>
      <c r="E147" s="88" t="str">
        <f t="shared" si="13"/>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4"/>
        <v/>
      </c>
      <c r="I147" s="130" t="str">
        <f>IF($B147="N/A","",IF(INDEX(Equipment_Utility_Decision,MATCH($B147,equipment_ID,0))='4.2-Settings Internal'!$B$30,INDEX(Equipment_Utility_Electricity,MATCH($B147,equipment_ID,0)),""))</f>
        <v/>
      </c>
      <c r="J147" s="288" t="str">
        <f t="shared" si="15"/>
        <v/>
      </c>
      <c r="K147" s="130" t="str">
        <f>IF($B147="N/A","",IF(INDEX(Equipment_Utility_Decision,MATCH($B147,equipment_ID,0))=INDEX(Yes_No_Choice[],1),INDEX(Equipment_Utility_Fuel,MATCH($B147,equipment_ID,0)),""))</f>
        <v/>
      </c>
      <c r="L147" s="288" t="str">
        <f t="shared" si="16"/>
        <v/>
      </c>
      <c r="M147" s="89" t="str">
        <f t="shared" si="17"/>
        <v/>
      </c>
      <c r="N147" s="288" t="str">
        <f t="shared" si="18"/>
        <v/>
      </c>
      <c r="O147" s="130" t="str">
        <f t="shared" si="19"/>
        <v/>
      </c>
    </row>
    <row r="148" spans="2:23" ht="33" customHeight="1"/>
    <row r="149" spans="2:23" ht="33" customHeight="1">
      <c r="G149" s="201" t="s">
        <v>594</v>
      </c>
      <c r="H149" s="306">
        <f>SUM(H152:H189)</f>
        <v>282.49807749773055</v>
      </c>
      <c r="I149" s="306">
        <f t="shared" ref="I149:W149" si="20">SUM(I152:I189)</f>
        <v>0</v>
      </c>
      <c r="J149" s="306">
        <f t="shared" si="20"/>
        <v>0</v>
      </c>
      <c r="K149" s="306">
        <f t="shared" si="20"/>
        <v>108.33990689849048</v>
      </c>
      <c r="L149" s="306">
        <f t="shared" si="20"/>
        <v>0</v>
      </c>
      <c r="M149" s="306">
        <f t="shared" si="20"/>
        <v>174.15817059924007</v>
      </c>
      <c r="N149" s="306">
        <f t="shared" si="20"/>
        <v>108.33990689849048</v>
      </c>
      <c r="O149" s="306">
        <f t="shared" si="20"/>
        <v>0</v>
      </c>
      <c r="P149" s="306">
        <f t="shared" si="20"/>
        <v>0</v>
      </c>
      <c r="Q149" s="306">
        <f t="shared" si="20"/>
        <v>108.33990689849048</v>
      </c>
      <c r="R149" s="306">
        <f t="shared" si="20"/>
        <v>174.15817059924007</v>
      </c>
      <c r="S149" s="306">
        <f t="shared" si="20"/>
        <v>0</v>
      </c>
      <c r="T149" s="306">
        <f t="shared" si="20"/>
        <v>108.33990689849048</v>
      </c>
      <c r="U149" s="306">
        <f t="shared" si="20"/>
        <v>0</v>
      </c>
      <c r="V149" s="306">
        <f t="shared" si="20"/>
        <v>0</v>
      </c>
      <c r="W149" s="306">
        <f t="shared" si="20"/>
        <v>282.49807749773055</v>
      </c>
    </row>
    <row r="151" spans="2:23" ht="15.5">
      <c r="B151" s="91" t="s">
        <v>82</v>
      </c>
      <c r="C151" s="91" t="s">
        <v>51</v>
      </c>
      <c r="D151" s="116" t="s">
        <v>50</v>
      </c>
      <c r="E151" s="197" t="s">
        <v>147</v>
      </c>
      <c r="F151" s="116" t="s">
        <v>48</v>
      </c>
      <c r="G151" s="116" t="s">
        <v>119</v>
      </c>
      <c r="H151" s="116" t="s">
        <v>591</v>
      </c>
      <c r="I151" s="116" t="s">
        <v>568</v>
      </c>
      <c r="J151" s="116" t="s">
        <v>569</v>
      </c>
      <c r="K151" s="116" t="s">
        <v>570</v>
      </c>
      <c r="L151" s="116" t="s">
        <v>571</v>
      </c>
      <c r="M151" s="116" t="s">
        <v>572</v>
      </c>
      <c r="N151" s="116" t="s">
        <v>573</v>
      </c>
      <c r="O151" s="116" t="s">
        <v>574</v>
      </c>
      <c r="P151" s="116" t="s">
        <v>575</v>
      </c>
      <c r="Q151" s="116" t="s">
        <v>576</v>
      </c>
      <c r="R151" s="116" t="s">
        <v>577</v>
      </c>
      <c r="S151" s="116" t="s">
        <v>578</v>
      </c>
      <c r="T151" s="116" t="s">
        <v>579</v>
      </c>
      <c r="U151" s="116" t="s">
        <v>580</v>
      </c>
      <c r="V151" s="116" t="s">
        <v>581</v>
      </c>
      <c r="W151" s="116"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eq0004</v>
      </c>
      <c r="C152" s="70" t="str">
        <f>IF($B152="N/A","N/A",INDEX(Equipment_name[],MATCH(B152,equipment_ID,0)))</f>
        <v>Pallets</v>
      </c>
      <c r="D152" s="288">
        <f t="shared" ref="D152:D189" si="21">IF($B152="N/A","N/A",INDEX(Equipment_Capital_Cost,MATCH($B152,equipment_ID,0)))</f>
        <v>10.621559499852006</v>
      </c>
      <c r="E152" s="88">
        <f t="shared" ref="E152:E189" si="22">IF($B152="N/A","N/A",INDEX(Equipment_Lifetime,MATCH($B152,equipment_ID,0)))</f>
        <v>5</v>
      </c>
      <c r="F152" s="88">
        <f t="shared" ref="F152:F189" si="23">IF($B152="N/A","N/A",INDEX(Equipment_Quantity_New,MATCH($B152,equipment_ID,0)))</f>
        <v>1</v>
      </c>
      <c r="G152" s="86">
        <f t="shared" ref="G152:G189" si="24">IF($B152="N/A","N/A",INDEX(Equipment_Allocation_New,MATCH($B152,equipment_ID,0),MATCH($C$107,Unit_codes,0)))</f>
        <v>0.13</v>
      </c>
      <c r="H152" s="288">
        <f>IFERROR(IF($B152="N/A","N/A",IF(MOD(COLUMNS(H$151:$H$151)-1,$E152)=0,$F152*$D152*$G152,)),)</f>
        <v>1.3808027349807608</v>
      </c>
      <c r="I152" s="288">
        <f>IFERROR(IF($B152="N/A","N/A",IF(MOD(COLUMNS($H$151:I$151)-1,$E152)=0,$F152*$D152*$G152,)),)</f>
        <v>0</v>
      </c>
      <c r="J152" s="288">
        <f>IFERROR(IF($B152="N/A","N/A",IF(MOD(COLUMNS($H$151:J$151)-1,$E152)=0,$F152*$D152*$G152,)),)</f>
        <v>0</v>
      </c>
      <c r="K152" s="288">
        <f>IFERROR(IF($B152="N/A","N/A",IF(MOD(COLUMNS($H$151:K$151)-1,$E152)=0,$F152*$D152*$G152,)),)</f>
        <v>0</v>
      </c>
      <c r="L152" s="288">
        <f>IFERROR(IF($B152="N/A","N/A",IF(MOD(COLUMNS($H$151:L$151)-1,$E152)=0,$F152*$D152*$G152,)),)</f>
        <v>0</v>
      </c>
      <c r="M152" s="288">
        <f>IFERROR(IF($B152="N/A","N/A",IF(MOD(COLUMNS($H$151:M$151)-1,$E152)=0,$F152*$D152*$G152,)),)</f>
        <v>1.3808027349807608</v>
      </c>
      <c r="N152" s="288">
        <f>IFERROR(IF($B152="N/A","N/A",IF(MOD(COLUMNS($H$151:N$151)-1,$E152)=0,$F152*$D152*$G152,)),)</f>
        <v>0</v>
      </c>
      <c r="O152" s="288">
        <f>IFERROR(IF($B152="N/A","N/A",IF(MOD(COLUMNS($H$151:O$151)-1,$E152)=0,$F152*$D152*$G152,)),)</f>
        <v>0</v>
      </c>
      <c r="P152" s="288">
        <f>IFERROR(IF($B152="N/A","N/A",IF(MOD(COLUMNS($H$151:P$151)-1,$E152)=0,$F152*$D152*$G152,)),)</f>
        <v>0</v>
      </c>
      <c r="Q152" s="288">
        <f>IFERROR(IF($B152="N/A","N/A",IF(MOD(COLUMNS($H$151:Q$151)-1,$E152)=0,$F152*$D152*$G152,)),)</f>
        <v>0</v>
      </c>
      <c r="R152" s="288">
        <f>IFERROR(IF($B152="N/A","N/A",IF(MOD(COLUMNS($H$151:R$151)-1,$E152)=0,$F152*$D152*$G152,)),)</f>
        <v>1.3808027349807608</v>
      </c>
      <c r="S152" s="288">
        <f>IFERROR(IF($B152="N/A","N/A",IF(MOD(COLUMNS($H$151:S$151)-1,$E152)=0,$F152*$D152*$G152,)),)</f>
        <v>0</v>
      </c>
      <c r="T152" s="288">
        <f>IFERROR(IF($B152="N/A","N/A",IF(MOD(COLUMNS($H$151:T$151)-1,$E152)=0,$F152*$D152*$G152,)),)</f>
        <v>0</v>
      </c>
      <c r="U152" s="288">
        <f>IFERROR(IF($B152="N/A","N/A",IF(MOD(COLUMNS($H$151:U$151)-1,$E152)=0,$F152*$D152*$G152,)),)</f>
        <v>0</v>
      </c>
      <c r="V152" s="288">
        <f>IFERROR(IF($B152="N/A","N/A",IF(MOD(COLUMNS($H$151:V$151)-1,$E152)=0,$F152*$D152*$G152,)),)</f>
        <v>0</v>
      </c>
      <c r="W152" s="288">
        <f>IFERROR(IF($B152="N/A","N/A",IF(MOD(COLUMNS($H$151:W$151)-1,$E152)=0,$F152*$D152*$G152,)),)</f>
        <v>1.3808027349807608</v>
      </c>
    </row>
    <row r="153" spans="2:23">
      <c r="B153" s="70" t="str">
        <f t="array" ref="B153">IF(COUNTIFS(INDEX(Equipment_Allocation_New,0,MATCH($C$107,Unit_codes,0)),"&gt;0")&lt;ROWS('2.2-Equipment input'!$X$8:$X9),"N/A",INDEX('2.2-Equipment input'!B:B,SMALL(IF(INDEX(Equipment_Allocation_New,0,MATCH($C$107,Unit_codes,0))&gt;0,ROW(equipment_ID)),ROW('2.2-Equipment input'!B2))))</f>
        <v>eq0006</v>
      </c>
      <c r="C153" s="70" t="str">
        <f>IF($B153="N/A","N/A",INDEX(Equipment_name[],MATCH(B153,equipment_ID,0)))</f>
        <v>Pallet trolley</v>
      </c>
      <c r="D153" s="288">
        <f t="shared" si="21"/>
        <v>212.43118999704012</v>
      </c>
      <c r="E153" s="88">
        <f t="shared" si="22"/>
        <v>5</v>
      </c>
      <c r="F153" s="88">
        <f t="shared" si="23"/>
        <v>1</v>
      </c>
      <c r="G153" s="86">
        <f t="shared" si="24"/>
        <v>0.13</v>
      </c>
      <c r="H153" s="288">
        <f>IFERROR(IF($B153="N/A","N/A",IF(MOD(COLUMNS(H$151:$H$151)-1,$E153)=0,$F153*$D153*$G153,)),)</f>
        <v>27.616054699615216</v>
      </c>
      <c r="I153" s="288">
        <f>IFERROR(IF($B153="N/A","N/A",IF(MOD(COLUMNS($H$151:I$151)-1,$E153)=0,$F153*$D153*$G153,)),)</f>
        <v>0</v>
      </c>
      <c r="J153" s="288">
        <f>IFERROR(IF($B153="N/A","N/A",IF(MOD(COLUMNS($H$151:J$151)-1,$E153)=0,$F153*$D153*$G153,)),)</f>
        <v>0</v>
      </c>
      <c r="K153" s="288">
        <f>IFERROR(IF($B153="N/A","N/A",IF(MOD(COLUMNS($H$151:K$151)-1,$E153)=0,$F153*$D153*$G153,)),)</f>
        <v>0</v>
      </c>
      <c r="L153" s="288">
        <f>IFERROR(IF($B153="N/A","N/A",IF(MOD(COLUMNS($H$151:L$151)-1,$E153)=0,$F153*$D153*$G153,)),)</f>
        <v>0</v>
      </c>
      <c r="M153" s="288">
        <f>IFERROR(IF($B153="N/A","N/A",IF(MOD(COLUMNS($H$151:M$151)-1,$E153)=0,$F153*$D153*$G153,)),)</f>
        <v>27.616054699615216</v>
      </c>
      <c r="N153" s="288">
        <f>IFERROR(IF($B153="N/A","N/A",IF(MOD(COLUMNS($H$151:N$151)-1,$E153)=0,$F153*$D153*$G153,)),)</f>
        <v>0</v>
      </c>
      <c r="O153" s="288">
        <f>IFERROR(IF($B153="N/A","N/A",IF(MOD(COLUMNS($H$151:O$151)-1,$E153)=0,$F153*$D153*$G153,)),)</f>
        <v>0</v>
      </c>
      <c r="P153" s="288">
        <f>IFERROR(IF($B153="N/A","N/A",IF(MOD(COLUMNS($H$151:P$151)-1,$E153)=0,$F153*$D153*$G153,)),)</f>
        <v>0</v>
      </c>
      <c r="Q153" s="288">
        <f>IFERROR(IF($B153="N/A","N/A",IF(MOD(COLUMNS($H$151:Q$151)-1,$E153)=0,$F153*$D153*$G153,)),)</f>
        <v>0</v>
      </c>
      <c r="R153" s="288">
        <f>IFERROR(IF($B153="N/A","N/A",IF(MOD(COLUMNS($H$151:R$151)-1,$E153)=0,$F153*$D153*$G153,)),)</f>
        <v>27.616054699615216</v>
      </c>
      <c r="S153" s="288">
        <f>IFERROR(IF($B153="N/A","N/A",IF(MOD(COLUMNS($H$151:S$151)-1,$E153)=0,$F153*$D153*$G153,)),)</f>
        <v>0</v>
      </c>
      <c r="T153" s="288">
        <f>IFERROR(IF($B153="N/A","N/A",IF(MOD(COLUMNS($H$151:T$151)-1,$E153)=0,$F153*$D153*$G153,)),)</f>
        <v>0</v>
      </c>
      <c r="U153" s="288">
        <f>IFERROR(IF($B153="N/A","N/A",IF(MOD(COLUMNS($H$151:U$151)-1,$E153)=0,$F153*$D153*$G153,)),)</f>
        <v>0</v>
      </c>
      <c r="V153" s="288">
        <f>IFERROR(IF($B153="N/A","N/A",IF(MOD(COLUMNS($H$151:V$151)-1,$E153)=0,$F153*$D153*$G153,)),)</f>
        <v>0</v>
      </c>
      <c r="W153" s="288">
        <f>IFERROR(IF($B153="N/A","N/A",IF(MOD(COLUMNS($H$151:W$151)-1,$E153)=0,$F153*$D153*$G153,)),)</f>
        <v>27.616054699615216</v>
      </c>
    </row>
    <row r="154" spans="2:23">
      <c r="B154" s="70" t="str">
        <f t="array" ref="B154">IF(COUNTIFS(INDEX(Equipment_Allocation_New,0,MATCH($C$107,Unit_codes,0)),"&gt;0")&lt;ROWS('2.2-Equipment input'!$X$8:$X10),"N/A",INDEX('2.2-Equipment input'!B:B,SMALL(IF(INDEX(Equipment_Allocation_New,0,MATCH($C$107,Unit_codes,0))&gt;0,ROW(equipment_ID)),ROW('2.2-Equipment input'!B3))))</f>
        <v>eq0008</v>
      </c>
      <c r="C154" s="70" t="str">
        <f>IF($B154="N/A","N/A",INDEX(Equipment_name[],MATCH(B154,equipment_ID,0)))</f>
        <v>High pressure cleaner</v>
      </c>
      <c r="D154" s="288">
        <f t="shared" si="21"/>
        <v>637.29356999112042</v>
      </c>
      <c r="E154" s="88">
        <f t="shared" si="22"/>
        <v>3</v>
      </c>
      <c r="F154" s="88">
        <f t="shared" si="23"/>
        <v>1</v>
      </c>
      <c r="G154" s="86">
        <f t="shared" si="24"/>
        <v>0.17</v>
      </c>
      <c r="H154" s="288">
        <f>IFERROR(IF($B154="N/A","N/A",IF(MOD(COLUMNS(H$151:$H$151)-1,$E154)=0,$F154*$D154*$G154,)),)</f>
        <v>108.33990689849048</v>
      </c>
      <c r="I154" s="288">
        <f>IFERROR(IF($B154="N/A","N/A",IF(MOD(COLUMNS($H$151:I$151)-1,$E154)=0,$F154*$D154*$G154,)),)</f>
        <v>0</v>
      </c>
      <c r="J154" s="288">
        <f>IFERROR(IF($B154="N/A","N/A",IF(MOD(COLUMNS($H$151:J$151)-1,$E154)=0,$F154*$D154*$G154,)),)</f>
        <v>0</v>
      </c>
      <c r="K154" s="288">
        <f>IFERROR(IF($B154="N/A","N/A",IF(MOD(COLUMNS($H$151:K$151)-1,$E154)=0,$F154*$D154*$G154,)),)</f>
        <v>108.33990689849048</v>
      </c>
      <c r="L154" s="288">
        <f>IFERROR(IF($B154="N/A","N/A",IF(MOD(COLUMNS($H$151:L$151)-1,$E154)=0,$F154*$D154*$G154,)),)</f>
        <v>0</v>
      </c>
      <c r="M154" s="288">
        <f>IFERROR(IF($B154="N/A","N/A",IF(MOD(COLUMNS($H$151:M$151)-1,$E154)=0,$F154*$D154*$G154,)),)</f>
        <v>0</v>
      </c>
      <c r="N154" s="288">
        <f>IFERROR(IF($B154="N/A","N/A",IF(MOD(COLUMNS($H$151:N$151)-1,$E154)=0,$F154*$D154*$G154,)),)</f>
        <v>108.33990689849048</v>
      </c>
      <c r="O154" s="288">
        <f>IFERROR(IF($B154="N/A","N/A",IF(MOD(COLUMNS($H$151:O$151)-1,$E154)=0,$F154*$D154*$G154,)),)</f>
        <v>0</v>
      </c>
      <c r="P154" s="288">
        <f>IFERROR(IF($B154="N/A","N/A",IF(MOD(COLUMNS($H$151:P$151)-1,$E154)=0,$F154*$D154*$G154,)),)</f>
        <v>0</v>
      </c>
      <c r="Q154" s="288">
        <f>IFERROR(IF($B154="N/A","N/A",IF(MOD(COLUMNS($H$151:Q$151)-1,$E154)=0,$F154*$D154*$G154,)),)</f>
        <v>108.33990689849048</v>
      </c>
      <c r="R154" s="288">
        <f>IFERROR(IF($B154="N/A","N/A",IF(MOD(COLUMNS($H$151:R$151)-1,$E154)=0,$F154*$D154*$G154,)),)</f>
        <v>0</v>
      </c>
      <c r="S154" s="288">
        <f>IFERROR(IF($B154="N/A","N/A",IF(MOD(COLUMNS($H$151:S$151)-1,$E154)=0,$F154*$D154*$G154,)),)</f>
        <v>0</v>
      </c>
      <c r="T154" s="288">
        <f>IFERROR(IF($B154="N/A","N/A",IF(MOD(COLUMNS($H$151:T$151)-1,$E154)=0,$F154*$D154*$G154,)),)</f>
        <v>108.33990689849048</v>
      </c>
      <c r="U154" s="288">
        <f>IFERROR(IF($B154="N/A","N/A",IF(MOD(COLUMNS($H$151:U$151)-1,$E154)=0,$F154*$D154*$G154,)),)</f>
        <v>0</v>
      </c>
      <c r="V154" s="288">
        <f>IFERROR(IF($B154="N/A","N/A",IF(MOD(COLUMNS($H$151:V$151)-1,$E154)=0,$F154*$D154*$G154,)),)</f>
        <v>0</v>
      </c>
      <c r="W154" s="288">
        <f>IFERROR(IF($B154="N/A","N/A",IF(MOD(COLUMNS($H$151:W$151)-1,$E154)=0,$F154*$D154*$G154,)),)</f>
        <v>108.33990689849048</v>
      </c>
    </row>
    <row r="155" spans="2:23">
      <c r="B155" s="70" t="str">
        <f t="array" ref="B155">IF(COUNTIFS(INDEX(Equipment_Allocation_New,0,MATCH($C$107,Unit_codes,0)),"&gt;0")&lt;ROWS('2.2-Equipment input'!$X$8:$X11),"N/A",INDEX('2.2-Equipment input'!B:B,SMALL(IF(INDEX(Equipment_Allocation_New,0,MATCH($C$107,Unit_codes,0))&gt;0,ROW(equipment_ID)),ROW('2.2-Equipment input'!B4))))</f>
        <v>eq0030</v>
      </c>
      <c r="C155" s="70" t="str">
        <f>IF($B155="N/A","N/A",INDEX(Equipment_name[],MATCH(B155,equipment_ID,0)))</f>
        <v>Measuring balance ("heavy" duty)</v>
      </c>
      <c r="D155" s="288">
        <f t="shared" si="21"/>
        <v>177.02599166420012</v>
      </c>
      <c r="E155" s="88">
        <f t="shared" si="22"/>
        <v>5</v>
      </c>
      <c r="F155" s="88">
        <f t="shared" si="23"/>
        <v>1</v>
      </c>
      <c r="G155" s="86">
        <f t="shared" si="24"/>
        <v>0.32</v>
      </c>
      <c r="H155" s="288">
        <f>IFERROR(IF($B155="N/A","N/A",IF(MOD(COLUMNS(H$151:$H$151)-1,$E155)=0,$F155*$D155*$G155,)),)</f>
        <v>56.648317332544039</v>
      </c>
      <c r="I155" s="288">
        <f>IFERROR(IF($B155="N/A","N/A",IF(MOD(COLUMNS($H$151:I$151)-1,$E155)=0,$F155*$D155*$G155,)),)</f>
        <v>0</v>
      </c>
      <c r="J155" s="288">
        <f>IFERROR(IF($B155="N/A","N/A",IF(MOD(COLUMNS($H$151:J$151)-1,$E155)=0,$F155*$D155*$G155,)),)</f>
        <v>0</v>
      </c>
      <c r="K155" s="288">
        <f>IFERROR(IF($B155="N/A","N/A",IF(MOD(COLUMNS($H$151:K$151)-1,$E155)=0,$F155*$D155*$G155,)),)</f>
        <v>0</v>
      </c>
      <c r="L155" s="288">
        <f>IFERROR(IF($B155="N/A","N/A",IF(MOD(COLUMNS($H$151:L$151)-1,$E155)=0,$F155*$D155*$G155,)),)</f>
        <v>0</v>
      </c>
      <c r="M155" s="288">
        <f>IFERROR(IF($B155="N/A","N/A",IF(MOD(COLUMNS($H$151:M$151)-1,$E155)=0,$F155*$D155*$G155,)),)</f>
        <v>56.648317332544039</v>
      </c>
      <c r="N155" s="288">
        <f>IFERROR(IF($B155="N/A","N/A",IF(MOD(COLUMNS($H$151:N$151)-1,$E155)=0,$F155*$D155*$G155,)),)</f>
        <v>0</v>
      </c>
      <c r="O155" s="288">
        <f>IFERROR(IF($B155="N/A","N/A",IF(MOD(COLUMNS($H$151:O$151)-1,$E155)=0,$F155*$D155*$G155,)),)</f>
        <v>0</v>
      </c>
      <c r="P155" s="288">
        <f>IFERROR(IF($B155="N/A","N/A",IF(MOD(COLUMNS($H$151:P$151)-1,$E155)=0,$F155*$D155*$G155,)),)</f>
        <v>0</v>
      </c>
      <c r="Q155" s="288">
        <f>IFERROR(IF($B155="N/A","N/A",IF(MOD(COLUMNS($H$151:Q$151)-1,$E155)=0,$F155*$D155*$G155,)),)</f>
        <v>0</v>
      </c>
      <c r="R155" s="288">
        <f>IFERROR(IF($B155="N/A","N/A",IF(MOD(COLUMNS($H$151:R$151)-1,$E155)=0,$F155*$D155*$G155,)),)</f>
        <v>56.648317332544039</v>
      </c>
      <c r="S155" s="288">
        <f>IFERROR(IF($B155="N/A","N/A",IF(MOD(COLUMNS($H$151:S$151)-1,$E155)=0,$F155*$D155*$G155,)),)</f>
        <v>0</v>
      </c>
      <c r="T155" s="288">
        <f>IFERROR(IF($B155="N/A","N/A",IF(MOD(COLUMNS($H$151:T$151)-1,$E155)=0,$F155*$D155*$G155,)),)</f>
        <v>0</v>
      </c>
      <c r="U155" s="288">
        <f>IFERROR(IF($B155="N/A","N/A",IF(MOD(COLUMNS($H$151:U$151)-1,$E155)=0,$F155*$D155*$G155,)),)</f>
        <v>0</v>
      </c>
      <c r="V155" s="288">
        <f>IFERROR(IF($B155="N/A","N/A",IF(MOD(COLUMNS($H$151:V$151)-1,$E155)=0,$F155*$D155*$G155,)),)</f>
        <v>0</v>
      </c>
      <c r="W155" s="288">
        <f>IFERROR(IF($B155="N/A","N/A",IF(MOD(COLUMNS($H$151:W$151)-1,$E155)=0,$F155*$D155*$G155,)),)</f>
        <v>56.648317332544039</v>
      </c>
    </row>
    <row r="156" spans="2:23">
      <c r="B156" s="70" t="str">
        <f t="array" ref="B156">IF(COUNTIFS(INDEX(Equipment_Allocation_New,0,MATCH($C$107,Unit_codes,0)),"&gt;0")&lt;ROWS('2.2-Equipment input'!$X$8:$X12),"N/A",INDEX('2.2-Equipment input'!B:B,SMALL(IF(INDEX(Equipment_Allocation_New,0,MATCH($C$107,Unit_codes,0))&gt;0,ROW(equipment_ID)),ROW('2.2-Equipment input'!B5))))</f>
        <v>eq0032</v>
      </c>
      <c r="C156" s="70" t="str">
        <f>IF($B156="N/A","N/A",INDEX(Equipment_name[],MATCH(B156,equipment_ID,0)))</f>
        <v>Measuring balance (nursery)</v>
      </c>
      <c r="D156" s="288">
        <f t="shared" si="21"/>
        <v>354.05198332840024</v>
      </c>
      <c r="E156" s="88">
        <f t="shared" si="22"/>
        <v>5</v>
      </c>
      <c r="F156" s="88">
        <f t="shared" si="23"/>
        <v>1</v>
      </c>
      <c r="G156" s="86">
        <f t="shared" si="24"/>
        <v>0.25</v>
      </c>
      <c r="H156" s="288">
        <f>IFERROR(IF($B156="N/A","N/A",IF(MOD(COLUMNS(H$151:$H$151)-1,$E156)=0,$F156*$D156*$G156,)),)</f>
        <v>88.51299583210006</v>
      </c>
      <c r="I156" s="288">
        <f>IFERROR(IF($B156="N/A","N/A",IF(MOD(COLUMNS($H$151:I$151)-1,$E156)=0,$F156*$D156*$G156,)),)</f>
        <v>0</v>
      </c>
      <c r="J156" s="288">
        <f>IFERROR(IF($B156="N/A","N/A",IF(MOD(COLUMNS($H$151:J$151)-1,$E156)=0,$F156*$D156*$G156,)),)</f>
        <v>0</v>
      </c>
      <c r="K156" s="288">
        <f>IFERROR(IF($B156="N/A","N/A",IF(MOD(COLUMNS($H$151:K$151)-1,$E156)=0,$F156*$D156*$G156,)),)</f>
        <v>0</v>
      </c>
      <c r="L156" s="288">
        <f>IFERROR(IF($B156="N/A","N/A",IF(MOD(COLUMNS($H$151:L$151)-1,$E156)=0,$F156*$D156*$G156,)),)</f>
        <v>0</v>
      </c>
      <c r="M156" s="288">
        <f>IFERROR(IF($B156="N/A","N/A",IF(MOD(COLUMNS($H$151:M$151)-1,$E156)=0,$F156*$D156*$G156,)),)</f>
        <v>88.51299583210006</v>
      </c>
      <c r="N156" s="288">
        <f>IFERROR(IF($B156="N/A","N/A",IF(MOD(COLUMNS($H$151:N$151)-1,$E156)=0,$F156*$D156*$G156,)),)</f>
        <v>0</v>
      </c>
      <c r="O156" s="288">
        <f>IFERROR(IF($B156="N/A","N/A",IF(MOD(COLUMNS($H$151:O$151)-1,$E156)=0,$F156*$D156*$G156,)),)</f>
        <v>0</v>
      </c>
      <c r="P156" s="288">
        <f>IFERROR(IF($B156="N/A","N/A",IF(MOD(COLUMNS($H$151:P$151)-1,$E156)=0,$F156*$D156*$G156,)),)</f>
        <v>0</v>
      </c>
      <c r="Q156" s="288">
        <f>IFERROR(IF($B156="N/A","N/A",IF(MOD(COLUMNS($H$151:Q$151)-1,$E156)=0,$F156*$D156*$G156,)),)</f>
        <v>0</v>
      </c>
      <c r="R156" s="288">
        <f>IFERROR(IF($B156="N/A","N/A",IF(MOD(COLUMNS($H$151:R$151)-1,$E156)=0,$F156*$D156*$G156,)),)</f>
        <v>88.51299583210006</v>
      </c>
      <c r="S156" s="288">
        <f>IFERROR(IF($B156="N/A","N/A",IF(MOD(COLUMNS($H$151:S$151)-1,$E156)=0,$F156*$D156*$G156,)),)</f>
        <v>0</v>
      </c>
      <c r="T156" s="288">
        <f>IFERROR(IF($B156="N/A","N/A",IF(MOD(COLUMNS($H$151:T$151)-1,$E156)=0,$F156*$D156*$G156,)),)</f>
        <v>0</v>
      </c>
      <c r="U156" s="288">
        <f>IFERROR(IF($B156="N/A","N/A",IF(MOD(COLUMNS($H$151:U$151)-1,$E156)=0,$F156*$D156*$G156,)),)</f>
        <v>0</v>
      </c>
      <c r="V156" s="288">
        <f>IFERROR(IF($B156="N/A","N/A",IF(MOD(COLUMNS($H$151:V$151)-1,$E156)=0,$F156*$D156*$G156,)),)</f>
        <v>0</v>
      </c>
      <c r="W156" s="288">
        <f>IFERROR(IF($B156="N/A","N/A",IF(MOD(COLUMNS($H$151:W$151)-1,$E156)=0,$F156*$D156*$G156,)),)</f>
        <v>88.51299583210006</v>
      </c>
    </row>
    <row r="157" spans="2:23">
      <c r="B157" s="70" t="str">
        <f t="array" ref="B157">IF(COUNTIFS(INDEX(Equipment_Allocation_New,0,MATCH($C$107,Unit_codes,0)),"&gt;0")&lt;ROWS('2.2-Equipment input'!$X$8:$X13),"N/A",INDEX('2.2-Equipment input'!B:B,SMALL(IF(INDEX(Equipment_Allocation_New,0,MATCH($C$107,Unit_codes,0))&gt;0,ROW(equipment_ID)),ROW('2.2-Equipment input'!B6))))</f>
        <v>eq0038</v>
      </c>
      <c r="C157" s="70">
        <f>IF($B157="N/A","N/A",INDEX(Equipment_name[],MATCH(B157,equipment_ID,0)))</f>
        <v>0</v>
      </c>
      <c r="D157" s="288">
        <f t="shared" si="21"/>
        <v>48.434311319325154</v>
      </c>
      <c r="E157" s="88">
        <f t="shared" si="22"/>
        <v>2</v>
      </c>
      <c r="F157" s="88">
        <f t="shared" si="23"/>
        <v>0</v>
      </c>
      <c r="G157" s="86">
        <f t="shared" si="24"/>
        <v>1</v>
      </c>
      <c r="H157" s="288">
        <f>IFERROR(IF($B157="N/A","N/A",IF(MOD(COLUMNS(H$151:$H$151)-1,$E157)=0,$F157*$D157*$G157,)),)</f>
        <v>0</v>
      </c>
      <c r="I157" s="288">
        <f>IFERROR(IF($B157="N/A","N/A",IF(MOD(COLUMNS($H$151:I$151)-1,$E157)=0,$F157*$D157*$G157,)),)</f>
        <v>0</v>
      </c>
      <c r="J157" s="288">
        <f>IFERROR(IF($B157="N/A","N/A",IF(MOD(COLUMNS($H$151:J$151)-1,$E157)=0,$F157*$D157*$G157,)),)</f>
        <v>0</v>
      </c>
      <c r="K157" s="288">
        <f>IFERROR(IF($B157="N/A","N/A",IF(MOD(COLUMNS($H$151:K$151)-1,$E157)=0,$F157*$D157*$G157,)),)</f>
        <v>0</v>
      </c>
      <c r="L157" s="288">
        <f>IFERROR(IF($B157="N/A","N/A",IF(MOD(COLUMNS($H$151:L$151)-1,$E157)=0,$F157*$D157*$G157,)),)</f>
        <v>0</v>
      </c>
      <c r="M157" s="288">
        <f>IFERROR(IF($B157="N/A","N/A",IF(MOD(COLUMNS($H$151:M$151)-1,$E157)=0,$F157*$D157*$G157,)),)</f>
        <v>0</v>
      </c>
      <c r="N157" s="288">
        <f>IFERROR(IF($B157="N/A","N/A",IF(MOD(COLUMNS($H$151:N$151)-1,$E157)=0,$F157*$D157*$G157,)),)</f>
        <v>0</v>
      </c>
      <c r="O157" s="288">
        <f>IFERROR(IF($B157="N/A","N/A",IF(MOD(COLUMNS($H$151:O$151)-1,$E157)=0,$F157*$D157*$G157,)),)</f>
        <v>0</v>
      </c>
      <c r="P157" s="288">
        <f>IFERROR(IF($B157="N/A","N/A",IF(MOD(COLUMNS($H$151:P$151)-1,$E157)=0,$F157*$D157*$G157,)),)</f>
        <v>0</v>
      </c>
      <c r="Q157" s="288">
        <f>IFERROR(IF($B157="N/A","N/A",IF(MOD(COLUMNS($H$151:Q$151)-1,$E157)=0,$F157*$D157*$G157,)),)</f>
        <v>0</v>
      </c>
      <c r="R157" s="288">
        <f>IFERROR(IF($B157="N/A","N/A",IF(MOD(COLUMNS($H$151:R$151)-1,$E157)=0,$F157*$D157*$G157,)),)</f>
        <v>0</v>
      </c>
      <c r="S157" s="288">
        <f>IFERROR(IF($B157="N/A","N/A",IF(MOD(COLUMNS($H$151:S$151)-1,$E157)=0,$F157*$D157*$G157,)),)</f>
        <v>0</v>
      </c>
      <c r="T157" s="288">
        <f>IFERROR(IF($B157="N/A","N/A",IF(MOD(COLUMNS($H$151:T$151)-1,$E157)=0,$F157*$D157*$G157,)),)</f>
        <v>0</v>
      </c>
      <c r="U157" s="288">
        <f>IFERROR(IF($B157="N/A","N/A",IF(MOD(COLUMNS($H$151:U$151)-1,$E157)=0,$F157*$D157*$G157,)),)</f>
        <v>0</v>
      </c>
      <c r="V157" s="288">
        <f>IFERROR(IF($B157="N/A","N/A",IF(MOD(COLUMNS($H$151:V$151)-1,$E157)=0,$F157*$D157*$G157,)),)</f>
        <v>0</v>
      </c>
      <c r="W157" s="288">
        <f>IFERROR(IF($B157="N/A","N/A",IF(MOD(COLUMNS($H$151:W$151)-1,$E157)=0,$F157*$D157*$G157,)),)</f>
        <v>0</v>
      </c>
    </row>
    <row r="158" spans="2:23">
      <c r="B158" s="70" t="str">
        <f t="array" ref="B158">IF(COUNTIFS(INDEX(Equipment_Allocation_New,0,MATCH($C$107,Unit_codes,0)),"&gt;0")&lt;ROWS('2.2-Equipment input'!$X$8:$X14),"N/A",INDEX('2.2-Equipment input'!B:B,SMALL(IF(INDEX(Equipment_Allocation_New,0,MATCH($C$107,Unit_codes,0))&gt;0,ROW(equipment_ID)),ROW('2.2-Equipment input'!B7))))</f>
        <v>eq0039</v>
      </c>
      <c r="C158" s="70">
        <f>IF($B158="N/A","N/A",INDEX(Equipment_name[],MATCH(B158,equipment_ID,0)))</f>
        <v>0</v>
      </c>
      <c r="D158" s="288">
        <f t="shared" si="21"/>
        <v>13099.923383150808</v>
      </c>
      <c r="E158" s="88">
        <f t="shared" si="22"/>
        <v>5</v>
      </c>
      <c r="F158" s="88">
        <f t="shared" si="23"/>
        <v>0</v>
      </c>
      <c r="G158" s="86">
        <f t="shared" si="24"/>
        <v>1</v>
      </c>
      <c r="H158" s="288">
        <f>IFERROR(IF($B158="N/A","N/A",IF(MOD(COLUMNS(H$151:$H$151)-1,$E158)=0,$F158*$D158*$G158,)),)</f>
        <v>0</v>
      </c>
      <c r="I158" s="288">
        <f>IFERROR(IF($B158="N/A","N/A",IF(MOD(COLUMNS($H$151:I$151)-1,$E158)=0,$F158*$D158*$G158,)),)</f>
        <v>0</v>
      </c>
      <c r="J158" s="288">
        <f>IFERROR(IF($B158="N/A","N/A",IF(MOD(COLUMNS($H$151:J$151)-1,$E158)=0,$F158*$D158*$G158,)),)</f>
        <v>0</v>
      </c>
      <c r="K158" s="288">
        <f>IFERROR(IF($B158="N/A","N/A",IF(MOD(COLUMNS($H$151:K$151)-1,$E158)=0,$F158*$D158*$G158,)),)</f>
        <v>0</v>
      </c>
      <c r="L158" s="288">
        <f>IFERROR(IF($B158="N/A","N/A",IF(MOD(COLUMNS($H$151:L$151)-1,$E158)=0,$F158*$D158*$G158,)),)</f>
        <v>0</v>
      </c>
      <c r="M158" s="288">
        <f>IFERROR(IF($B158="N/A","N/A",IF(MOD(COLUMNS($H$151:M$151)-1,$E158)=0,$F158*$D158*$G158,)),)</f>
        <v>0</v>
      </c>
      <c r="N158" s="288">
        <f>IFERROR(IF($B158="N/A","N/A",IF(MOD(COLUMNS($H$151:N$151)-1,$E158)=0,$F158*$D158*$G158,)),)</f>
        <v>0</v>
      </c>
      <c r="O158" s="288">
        <f>IFERROR(IF($B158="N/A","N/A",IF(MOD(COLUMNS($H$151:O$151)-1,$E158)=0,$F158*$D158*$G158,)),)</f>
        <v>0</v>
      </c>
      <c r="P158" s="288">
        <f>IFERROR(IF($B158="N/A","N/A",IF(MOD(COLUMNS($H$151:P$151)-1,$E158)=0,$F158*$D158*$G158,)),)</f>
        <v>0</v>
      </c>
      <c r="Q158" s="288">
        <f>IFERROR(IF($B158="N/A","N/A",IF(MOD(COLUMNS($H$151:Q$151)-1,$E158)=0,$F158*$D158*$G158,)),)</f>
        <v>0</v>
      </c>
      <c r="R158" s="288">
        <f>IFERROR(IF($B158="N/A","N/A",IF(MOD(COLUMNS($H$151:R$151)-1,$E158)=0,$F158*$D158*$G158,)),)</f>
        <v>0</v>
      </c>
      <c r="S158" s="288">
        <f>IFERROR(IF($B158="N/A","N/A",IF(MOD(COLUMNS($H$151:S$151)-1,$E158)=0,$F158*$D158*$G158,)),)</f>
        <v>0</v>
      </c>
      <c r="T158" s="288">
        <f>IFERROR(IF($B158="N/A","N/A",IF(MOD(COLUMNS($H$151:T$151)-1,$E158)=0,$F158*$D158*$G158,)),)</f>
        <v>0</v>
      </c>
      <c r="U158" s="288">
        <f>IFERROR(IF($B158="N/A","N/A",IF(MOD(COLUMNS($H$151:U$151)-1,$E158)=0,$F158*$D158*$G158,)),)</f>
        <v>0</v>
      </c>
      <c r="V158" s="288">
        <f>IFERROR(IF($B158="N/A","N/A",IF(MOD(COLUMNS($H$151:V$151)-1,$E158)=0,$F158*$D158*$G158,)),)</f>
        <v>0</v>
      </c>
      <c r="W158" s="288">
        <f>IFERROR(IF($B158="N/A","N/A",IF(MOD(COLUMNS($H$151:W$151)-1,$E158)=0,$F158*$D158*$G158,)),)</f>
        <v>0</v>
      </c>
    </row>
    <row r="159" spans="2:23">
      <c r="B159" s="70" t="str">
        <f t="array" ref="B159">IF(COUNTIFS(INDEX(Equipment_Allocation_New,0,MATCH($C$107,Unit_codes,0)),"&gt;0")&lt;ROWS('2.2-Equipment input'!$X$8:$X15),"N/A",INDEX('2.2-Equipment input'!B:B,SMALL(IF(INDEX(Equipment_Allocation_New,0,MATCH($C$107,Unit_codes,0))&gt;0,ROW(equipment_ID)),ROW('2.2-Equipment input'!B8))))</f>
        <v>eq0040</v>
      </c>
      <c r="C159" s="70">
        <f>IF($B159="N/A","N/A",INDEX(Equipment_name[],MATCH(B159,equipment_ID,0)))</f>
        <v>0</v>
      </c>
      <c r="D159" s="288">
        <f t="shared" si="21"/>
        <v>2974.0366599585618</v>
      </c>
      <c r="E159" s="88">
        <f t="shared" si="22"/>
        <v>5</v>
      </c>
      <c r="F159" s="88">
        <f t="shared" si="23"/>
        <v>0</v>
      </c>
      <c r="G159" s="86">
        <f t="shared" si="24"/>
        <v>1</v>
      </c>
      <c r="H159" s="288">
        <f>IFERROR(IF($B159="N/A","N/A",IF(MOD(COLUMNS(H$151:$H$151)-1,$E159)=0,$F159*$D159*$G159,)),)</f>
        <v>0</v>
      </c>
      <c r="I159" s="288">
        <f>IFERROR(IF($B159="N/A","N/A",IF(MOD(COLUMNS($H$151:I$151)-1,$E159)=0,$F159*$D159*$G159,)),)</f>
        <v>0</v>
      </c>
      <c r="J159" s="288">
        <f>IFERROR(IF($B159="N/A","N/A",IF(MOD(COLUMNS($H$151:J$151)-1,$E159)=0,$F159*$D159*$G159,)),)</f>
        <v>0</v>
      </c>
      <c r="K159" s="288">
        <f>IFERROR(IF($B159="N/A","N/A",IF(MOD(COLUMNS($H$151:K$151)-1,$E159)=0,$F159*$D159*$G159,)),)</f>
        <v>0</v>
      </c>
      <c r="L159" s="288">
        <f>IFERROR(IF($B159="N/A","N/A",IF(MOD(COLUMNS($H$151:L$151)-1,$E159)=0,$F159*$D159*$G159,)),)</f>
        <v>0</v>
      </c>
      <c r="M159" s="288">
        <f>IFERROR(IF($B159="N/A","N/A",IF(MOD(COLUMNS($H$151:M$151)-1,$E159)=0,$F159*$D159*$G159,)),)</f>
        <v>0</v>
      </c>
      <c r="N159" s="288">
        <f>IFERROR(IF($B159="N/A","N/A",IF(MOD(COLUMNS($H$151:N$151)-1,$E159)=0,$F159*$D159*$G159,)),)</f>
        <v>0</v>
      </c>
      <c r="O159" s="288">
        <f>IFERROR(IF($B159="N/A","N/A",IF(MOD(COLUMNS($H$151:O$151)-1,$E159)=0,$F159*$D159*$G159,)),)</f>
        <v>0</v>
      </c>
      <c r="P159" s="288">
        <f>IFERROR(IF($B159="N/A","N/A",IF(MOD(COLUMNS($H$151:P$151)-1,$E159)=0,$F159*$D159*$G159,)),)</f>
        <v>0</v>
      </c>
      <c r="Q159" s="288">
        <f>IFERROR(IF($B159="N/A","N/A",IF(MOD(COLUMNS($H$151:Q$151)-1,$E159)=0,$F159*$D159*$G159,)),)</f>
        <v>0</v>
      </c>
      <c r="R159" s="288">
        <f>IFERROR(IF($B159="N/A","N/A",IF(MOD(COLUMNS($H$151:R$151)-1,$E159)=0,$F159*$D159*$G159,)),)</f>
        <v>0</v>
      </c>
      <c r="S159" s="288">
        <f>IFERROR(IF($B159="N/A","N/A",IF(MOD(COLUMNS($H$151:S$151)-1,$E159)=0,$F159*$D159*$G159,)),)</f>
        <v>0</v>
      </c>
      <c r="T159" s="288">
        <f>IFERROR(IF($B159="N/A","N/A",IF(MOD(COLUMNS($H$151:T$151)-1,$E159)=0,$F159*$D159*$G159,)),)</f>
        <v>0</v>
      </c>
      <c r="U159" s="288">
        <f>IFERROR(IF($B159="N/A","N/A",IF(MOD(COLUMNS($H$151:U$151)-1,$E159)=0,$F159*$D159*$G159,)),)</f>
        <v>0</v>
      </c>
      <c r="V159" s="288">
        <f>IFERROR(IF($B159="N/A","N/A",IF(MOD(COLUMNS($H$151:V$151)-1,$E159)=0,$F159*$D159*$G159,)),)</f>
        <v>0</v>
      </c>
      <c r="W159" s="288">
        <f>IFERROR(IF($B159="N/A","N/A",IF(MOD(COLUMNS($H$151:W$151)-1,$E159)=0,$F159*$D159*$G159,)),)</f>
        <v>0</v>
      </c>
    </row>
    <row r="160" spans="2:23">
      <c r="B160" s="70" t="str">
        <f t="array" ref="B160">IF(COUNTIFS(INDEX(Equipment_Allocation_New,0,MATCH($C$107,Unit_codes,0)),"&gt;0")&lt;ROWS('2.2-Equipment input'!$X$8:$X16),"N/A",INDEX('2.2-Equipment input'!B:B,SMALL(IF(INDEX(Equipment_Allocation_New,0,MATCH($C$107,Unit_codes,0))&gt;0,ROW(equipment_ID)),ROW('2.2-Equipment input'!B9))))</f>
        <v>eq0041</v>
      </c>
      <c r="C160" s="70">
        <f>IF($B160="N/A","N/A",INDEX(Equipment_name[],MATCH(B160,equipment_ID,0)))</f>
        <v>0</v>
      </c>
      <c r="D160" s="288">
        <f t="shared" si="21"/>
        <v>332.80886432869619</v>
      </c>
      <c r="E160" s="88">
        <f t="shared" si="22"/>
        <v>5</v>
      </c>
      <c r="F160" s="88">
        <f t="shared" si="23"/>
        <v>0</v>
      </c>
      <c r="G160" s="86">
        <f t="shared" si="24"/>
        <v>1</v>
      </c>
      <c r="H160" s="288">
        <f>IFERROR(IF($B160="N/A","N/A",IF(MOD(COLUMNS(H$151:$H$151)-1,$E160)=0,$F160*$D160*$G160,)),)</f>
        <v>0</v>
      </c>
      <c r="I160" s="288">
        <f>IFERROR(IF($B160="N/A","N/A",IF(MOD(COLUMNS($H$151:I$151)-1,$E160)=0,$F160*$D160*$G160,)),)</f>
        <v>0</v>
      </c>
      <c r="J160" s="288">
        <f>IFERROR(IF($B160="N/A","N/A",IF(MOD(COLUMNS($H$151:J$151)-1,$E160)=0,$F160*$D160*$G160,)),)</f>
        <v>0</v>
      </c>
      <c r="K160" s="288">
        <f>IFERROR(IF($B160="N/A","N/A",IF(MOD(COLUMNS($H$151:K$151)-1,$E160)=0,$F160*$D160*$G160,)),)</f>
        <v>0</v>
      </c>
      <c r="L160" s="288">
        <f>IFERROR(IF($B160="N/A","N/A",IF(MOD(COLUMNS($H$151:L$151)-1,$E160)=0,$F160*$D160*$G160,)),)</f>
        <v>0</v>
      </c>
      <c r="M160" s="288">
        <f>IFERROR(IF($B160="N/A","N/A",IF(MOD(COLUMNS($H$151:M$151)-1,$E160)=0,$F160*$D160*$G160,)),)</f>
        <v>0</v>
      </c>
      <c r="N160" s="288">
        <f>IFERROR(IF($B160="N/A","N/A",IF(MOD(COLUMNS($H$151:N$151)-1,$E160)=0,$F160*$D160*$G160,)),)</f>
        <v>0</v>
      </c>
      <c r="O160" s="288">
        <f>IFERROR(IF($B160="N/A","N/A",IF(MOD(COLUMNS($H$151:O$151)-1,$E160)=0,$F160*$D160*$G160,)),)</f>
        <v>0</v>
      </c>
      <c r="P160" s="288">
        <f>IFERROR(IF($B160="N/A","N/A",IF(MOD(COLUMNS($H$151:P$151)-1,$E160)=0,$F160*$D160*$G160,)),)</f>
        <v>0</v>
      </c>
      <c r="Q160" s="288">
        <f>IFERROR(IF($B160="N/A","N/A",IF(MOD(COLUMNS($H$151:Q$151)-1,$E160)=0,$F160*$D160*$G160,)),)</f>
        <v>0</v>
      </c>
      <c r="R160" s="288">
        <f>IFERROR(IF($B160="N/A","N/A",IF(MOD(COLUMNS($H$151:R$151)-1,$E160)=0,$F160*$D160*$G160,)),)</f>
        <v>0</v>
      </c>
      <c r="S160" s="288">
        <f>IFERROR(IF($B160="N/A","N/A",IF(MOD(COLUMNS($H$151:S$151)-1,$E160)=0,$F160*$D160*$G160,)),)</f>
        <v>0</v>
      </c>
      <c r="T160" s="288">
        <f>IFERROR(IF($B160="N/A","N/A",IF(MOD(COLUMNS($H$151:T$151)-1,$E160)=0,$F160*$D160*$G160,)),)</f>
        <v>0</v>
      </c>
      <c r="U160" s="288">
        <f>IFERROR(IF($B160="N/A","N/A",IF(MOD(COLUMNS($H$151:U$151)-1,$E160)=0,$F160*$D160*$G160,)),)</f>
        <v>0</v>
      </c>
      <c r="V160" s="288">
        <f>IFERROR(IF($B160="N/A","N/A",IF(MOD(COLUMNS($H$151:V$151)-1,$E160)=0,$F160*$D160*$G160,)),)</f>
        <v>0</v>
      </c>
      <c r="W160" s="288">
        <f>IFERROR(IF($B160="N/A","N/A",IF(MOD(COLUMNS($H$151:W$151)-1,$E160)=0,$F160*$D160*$G160,)),)</f>
        <v>0</v>
      </c>
    </row>
    <row r="161" spans="2:23">
      <c r="B161" s="70" t="str">
        <f t="array" ref="B161">IF(COUNTIFS(INDEX(Equipment_Allocation_New,0,MATCH($C$107,Unit_codes,0)),"&gt;0")&lt;ROWS('2.2-Equipment input'!$X$8:$X17),"N/A",INDEX('2.2-Equipment input'!B:B,SMALL(IF(INDEX(Equipment_Allocation_New,0,MATCH($C$107,Unit_codes,0))&gt;0,ROW(equipment_ID)),ROW('2.2-Equipment input'!B10))))</f>
        <v>eq0042</v>
      </c>
      <c r="C161" s="70">
        <f>IF($B161="N/A","N/A",INDEX(Equipment_name[],MATCH(B161,equipment_ID,0)))</f>
        <v>0</v>
      </c>
      <c r="D161" s="288">
        <f t="shared" si="21"/>
        <v>1416.207933313601</v>
      </c>
      <c r="E161" s="88">
        <f t="shared" si="22"/>
        <v>5</v>
      </c>
      <c r="F161" s="88">
        <f t="shared" si="23"/>
        <v>0</v>
      </c>
      <c r="G161" s="88">
        <f t="shared" si="24"/>
        <v>1</v>
      </c>
      <c r="H161" s="288">
        <f>IFERROR(IF($B161="N/A","N/A",IF(MOD(COLUMNS(H$151:$H$151)-1,$E161)=0,$F161*$D161*$G161,)),)</f>
        <v>0</v>
      </c>
      <c r="I161" s="288">
        <f>IFERROR(IF($B161="N/A","N/A",IF(MOD(COLUMNS($H$151:I$151)-1,$E161)=0,$F161*$D161*$G161,)),)</f>
        <v>0</v>
      </c>
      <c r="J161" s="288">
        <f>IFERROR(IF($B161="N/A","N/A",IF(MOD(COLUMNS($H$151:J$151)-1,$E161)=0,$F161*$D161*$G161,)),)</f>
        <v>0</v>
      </c>
      <c r="K161" s="288">
        <f>IFERROR(IF($B161="N/A","N/A",IF(MOD(COLUMNS($H$151:K$151)-1,$E161)=0,$F161*$D161*$G161,)),)</f>
        <v>0</v>
      </c>
      <c r="L161" s="288">
        <f>IFERROR(IF($B161="N/A","N/A",IF(MOD(COLUMNS($H$151:L$151)-1,$E161)=0,$F161*$D161*$G161,)),)</f>
        <v>0</v>
      </c>
      <c r="M161" s="288">
        <f>IFERROR(IF($B161="N/A","N/A",IF(MOD(COLUMNS($H$151:M$151)-1,$E161)=0,$F161*$D161*$G161,)),)</f>
        <v>0</v>
      </c>
      <c r="N161" s="288">
        <f>IFERROR(IF($B161="N/A","N/A",IF(MOD(COLUMNS($H$151:N$151)-1,$E161)=0,$F161*$D161*$G161,)),)</f>
        <v>0</v>
      </c>
      <c r="O161" s="288">
        <f>IFERROR(IF($B161="N/A","N/A",IF(MOD(COLUMNS($H$151:O$151)-1,$E161)=0,$F161*$D161*$G161,)),)</f>
        <v>0</v>
      </c>
      <c r="P161" s="288">
        <f>IFERROR(IF($B161="N/A","N/A",IF(MOD(COLUMNS($H$151:P$151)-1,$E161)=0,$F161*$D161*$G161,)),)</f>
        <v>0</v>
      </c>
      <c r="Q161" s="288">
        <f>IFERROR(IF($B161="N/A","N/A",IF(MOD(COLUMNS($H$151:Q$151)-1,$E161)=0,$F161*$D161*$G161,)),)</f>
        <v>0</v>
      </c>
      <c r="R161" s="288">
        <f>IFERROR(IF($B161="N/A","N/A",IF(MOD(COLUMNS($H$151:R$151)-1,$E161)=0,$F161*$D161*$G161,)),)</f>
        <v>0</v>
      </c>
      <c r="S161" s="288">
        <f>IFERROR(IF($B161="N/A","N/A",IF(MOD(COLUMNS($H$151:S$151)-1,$E161)=0,$F161*$D161*$G161,)),)</f>
        <v>0</v>
      </c>
      <c r="T161" s="288">
        <f>IFERROR(IF($B161="N/A","N/A",IF(MOD(COLUMNS($H$151:T$151)-1,$E161)=0,$F161*$D161*$G161,)),)</f>
        <v>0</v>
      </c>
      <c r="U161" s="288">
        <f>IFERROR(IF($B161="N/A","N/A",IF(MOD(COLUMNS($H$151:U$151)-1,$E161)=0,$F161*$D161*$G161,)),)</f>
        <v>0</v>
      </c>
      <c r="V161" s="288">
        <f>IFERROR(IF($B161="N/A","N/A",IF(MOD(COLUMNS($H$151:V$151)-1,$E161)=0,$F161*$D161*$G161,)),)</f>
        <v>0</v>
      </c>
      <c r="W161" s="288">
        <f>IFERROR(IF($B161="N/A","N/A",IF(MOD(COLUMNS($H$151:W$151)-1,$E161)=0,$F161*$D161*$G161,)),)</f>
        <v>0</v>
      </c>
    </row>
    <row r="162" spans="2:23">
      <c r="B162" s="70" t="str">
        <f t="array" ref="B162">IF(COUNTIFS(INDEX(Equipment_Allocation_New,0,MATCH($C$107,Unit_codes,0)),"&gt;0")&lt;ROWS('2.2-Equipment input'!$X$8:$X18),"N/A",INDEX('2.2-Equipment input'!B:B,SMALL(IF(INDEX(Equipment_Allocation_New,0,MATCH($C$107,Unit_codes,0))&gt;0,ROW(equipment_ID)),ROW('2.2-Equipment input'!B11))))</f>
        <v>eq0043</v>
      </c>
      <c r="C162" s="70">
        <f>IF($B162="N/A","N/A",INDEX(Equipment_name[],MATCH(B162,equipment_ID,0)))</f>
        <v>0</v>
      </c>
      <c r="D162" s="288">
        <f t="shared" si="21"/>
        <v>601.88837165828033</v>
      </c>
      <c r="E162" s="88">
        <f t="shared" si="22"/>
        <v>10</v>
      </c>
      <c r="F162" s="88">
        <f t="shared" si="23"/>
        <v>0</v>
      </c>
      <c r="G162" s="88">
        <f t="shared" si="24"/>
        <v>1</v>
      </c>
      <c r="H162" s="288">
        <f>IFERROR(IF($B162="N/A","N/A",IF(MOD(COLUMNS(H$151:$H$151)-1,$E162)=0,$F162*$D162*$G162,)),)</f>
        <v>0</v>
      </c>
      <c r="I162" s="288">
        <f>IFERROR(IF($B162="N/A","N/A",IF(MOD(COLUMNS($H$151:I$151)-1,$E162)=0,$F162*$D162*$G162,)),)</f>
        <v>0</v>
      </c>
      <c r="J162" s="288">
        <f>IFERROR(IF($B162="N/A","N/A",IF(MOD(COLUMNS($H$151:J$151)-1,$E162)=0,$F162*$D162*$G162,)),)</f>
        <v>0</v>
      </c>
      <c r="K162" s="288">
        <f>IFERROR(IF($B162="N/A","N/A",IF(MOD(COLUMNS($H$151:K$151)-1,$E162)=0,$F162*$D162*$G162,)),)</f>
        <v>0</v>
      </c>
      <c r="L162" s="288">
        <f>IFERROR(IF($B162="N/A","N/A",IF(MOD(COLUMNS($H$151:L$151)-1,$E162)=0,$F162*$D162*$G162,)),)</f>
        <v>0</v>
      </c>
      <c r="M162" s="288">
        <f>IFERROR(IF($B162="N/A","N/A",IF(MOD(COLUMNS($H$151:M$151)-1,$E162)=0,$F162*$D162*$G162,)),)</f>
        <v>0</v>
      </c>
      <c r="N162" s="288">
        <f>IFERROR(IF($B162="N/A","N/A",IF(MOD(COLUMNS($H$151:N$151)-1,$E162)=0,$F162*$D162*$G162,)),)</f>
        <v>0</v>
      </c>
      <c r="O162" s="288">
        <f>IFERROR(IF($B162="N/A","N/A",IF(MOD(COLUMNS($H$151:O$151)-1,$E162)=0,$F162*$D162*$G162,)),)</f>
        <v>0</v>
      </c>
      <c r="P162" s="288">
        <f>IFERROR(IF($B162="N/A","N/A",IF(MOD(COLUMNS($H$151:P$151)-1,$E162)=0,$F162*$D162*$G162,)),)</f>
        <v>0</v>
      </c>
      <c r="Q162" s="288">
        <f>IFERROR(IF($B162="N/A","N/A",IF(MOD(COLUMNS($H$151:Q$151)-1,$E162)=0,$F162*$D162*$G162,)),)</f>
        <v>0</v>
      </c>
      <c r="R162" s="288">
        <f>IFERROR(IF($B162="N/A","N/A",IF(MOD(COLUMNS($H$151:R$151)-1,$E162)=0,$F162*$D162*$G162,)),)</f>
        <v>0</v>
      </c>
      <c r="S162" s="288">
        <f>IFERROR(IF($B162="N/A","N/A",IF(MOD(COLUMNS($H$151:S$151)-1,$E162)=0,$F162*$D162*$G162,)),)</f>
        <v>0</v>
      </c>
      <c r="T162" s="288">
        <f>IFERROR(IF($B162="N/A","N/A",IF(MOD(COLUMNS($H$151:T$151)-1,$E162)=0,$F162*$D162*$G162,)),)</f>
        <v>0</v>
      </c>
      <c r="U162" s="288">
        <f>IFERROR(IF($B162="N/A","N/A",IF(MOD(COLUMNS($H$151:U$151)-1,$E162)=0,$F162*$D162*$G162,)),)</f>
        <v>0</v>
      </c>
      <c r="V162" s="288">
        <f>IFERROR(IF($B162="N/A","N/A",IF(MOD(COLUMNS($H$151:V$151)-1,$E162)=0,$F162*$D162*$G162,)),)</f>
        <v>0</v>
      </c>
      <c r="W162" s="288">
        <f>IFERROR(IF($B162="N/A","N/A",IF(MOD(COLUMNS($H$151:W$151)-1,$E162)=0,$F162*$D162*$G162,)),)</f>
        <v>0</v>
      </c>
    </row>
    <row r="163" spans="2:23">
      <c r="B163" s="70" t="str">
        <f t="array" ref="B163">IF(COUNTIFS(INDEX(Equipment_Allocation_New,0,MATCH($C$107,Unit_codes,0)),"&gt;0")&lt;ROWS('2.2-Equipment input'!$X$8:$X19),"N/A",INDEX('2.2-Equipment input'!B:B,SMALL(IF(INDEX(Equipment_Allocation_New,0,MATCH($C$107,Unit_codes,0))&gt;0,ROW(equipment_ID)),ROW('2.2-Equipment input'!B12))))</f>
        <v>eq0044</v>
      </c>
      <c r="C163" s="70">
        <f>IF($B163="N/A","N/A",INDEX(Equipment_name[],MATCH(B163,equipment_ID,0)))</f>
        <v>0</v>
      </c>
      <c r="D163" s="288">
        <f t="shared" si="21"/>
        <v>442.56497916050029</v>
      </c>
      <c r="E163" s="88">
        <f t="shared" si="22"/>
        <v>5</v>
      </c>
      <c r="F163" s="88">
        <f t="shared" si="23"/>
        <v>0</v>
      </c>
      <c r="G163" s="88">
        <f t="shared" si="24"/>
        <v>1</v>
      </c>
      <c r="H163" s="288">
        <f>IFERROR(IF($B163="N/A","N/A",IF(MOD(COLUMNS(H$151:$H$151)-1,$E163)=0,$F163*$D163*$G163,)),)</f>
        <v>0</v>
      </c>
      <c r="I163" s="288">
        <f>IFERROR(IF($B163="N/A","N/A",IF(MOD(COLUMNS($H$151:I$151)-1,$E163)=0,$F163*$D163*$G163,)),)</f>
        <v>0</v>
      </c>
      <c r="J163" s="288">
        <f>IFERROR(IF($B163="N/A","N/A",IF(MOD(COLUMNS($H$151:J$151)-1,$E163)=0,$F163*$D163*$G163,)),)</f>
        <v>0</v>
      </c>
      <c r="K163" s="288">
        <f>IFERROR(IF($B163="N/A","N/A",IF(MOD(COLUMNS($H$151:K$151)-1,$E163)=0,$F163*$D163*$G163,)),)</f>
        <v>0</v>
      </c>
      <c r="L163" s="288">
        <f>IFERROR(IF($B163="N/A","N/A",IF(MOD(COLUMNS($H$151:L$151)-1,$E163)=0,$F163*$D163*$G163,)),)</f>
        <v>0</v>
      </c>
      <c r="M163" s="288">
        <f>IFERROR(IF($B163="N/A","N/A",IF(MOD(COLUMNS($H$151:M$151)-1,$E163)=0,$F163*$D163*$G163,)),)</f>
        <v>0</v>
      </c>
      <c r="N163" s="288">
        <f>IFERROR(IF($B163="N/A","N/A",IF(MOD(COLUMNS($H$151:N$151)-1,$E163)=0,$F163*$D163*$G163,)),)</f>
        <v>0</v>
      </c>
      <c r="O163" s="288">
        <f>IFERROR(IF($B163="N/A","N/A",IF(MOD(COLUMNS($H$151:O$151)-1,$E163)=0,$F163*$D163*$G163,)),)</f>
        <v>0</v>
      </c>
      <c r="P163" s="288">
        <f>IFERROR(IF($B163="N/A","N/A",IF(MOD(COLUMNS($H$151:P$151)-1,$E163)=0,$F163*$D163*$G163,)),)</f>
        <v>0</v>
      </c>
      <c r="Q163" s="288">
        <f>IFERROR(IF($B163="N/A","N/A",IF(MOD(COLUMNS($H$151:Q$151)-1,$E163)=0,$F163*$D163*$G163,)),)</f>
        <v>0</v>
      </c>
      <c r="R163" s="288">
        <f>IFERROR(IF($B163="N/A","N/A",IF(MOD(COLUMNS($H$151:R$151)-1,$E163)=0,$F163*$D163*$G163,)),)</f>
        <v>0</v>
      </c>
      <c r="S163" s="288">
        <f>IFERROR(IF($B163="N/A","N/A",IF(MOD(COLUMNS($H$151:S$151)-1,$E163)=0,$F163*$D163*$G163,)),)</f>
        <v>0</v>
      </c>
      <c r="T163" s="288">
        <f>IFERROR(IF($B163="N/A","N/A",IF(MOD(COLUMNS($H$151:T$151)-1,$E163)=0,$F163*$D163*$G163,)),)</f>
        <v>0</v>
      </c>
      <c r="U163" s="288">
        <f>IFERROR(IF($B163="N/A","N/A",IF(MOD(COLUMNS($H$151:U$151)-1,$E163)=0,$F163*$D163*$G163,)),)</f>
        <v>0</v>
      </c>
      <c r="V163" s="288">
        <f>IFERROR(IF($B163="N/A","N/A",IF(MOD(COLUMNS($H$151:V$151)-1,$E163)=0,$F163*$D163*$G163,)),)</f>
        <v>0</v>
      </c>
      <c r="W163" s="288">
        <f>IFERROR(IF($B163="N/A","N/A",IF(MOD(COLUMNS($H$151:W$151)-1,$E163)=0,$F163*$D163*$G163,)),)</f>
        <v>0</v>
      </c>
    </row>
    <row r="164" spans="2:23">
      <c r="B164" s="70" t="str">
        <f t="array" ref="B164">IF(COUNTIFS(INDEX(Equipment_Allocation_New,0,MATCH($C$107,Unit_codes,0)),"&gt;0")&lt;ROWS('2.2-Equipment input'!$X$8:$X20),"N/A",INDEX('2.2-Equipment input'!B:B,SMALL(IF(INDEX(Equipment_Allocation_New,0,MATCH($C$107,Unit_codes,0))&gt;0,ROW(equipment_ID)),ROW('2.2-Equipment input'!B13))))</f>
        <v>eq0045</v>
      </c>
      <c r="C164" s="70">
        <f>IF($B164="N/A","N/A",INDEX(Equipment_name[],MATCH(B164,equipment_ID,0)))</f>
        <v>0</v>
      </c>
      <c r="D164" s="288">
        <f t="shared" si="21"/>
        <v>198.19830026723844</v>
      </c>
      <c r="E164" s="88">
        <f t="shared" si="22"/>
        <v>5</v>
      </c>
      <c r="F164" s="88">
        <f t="shared" si="23"/>
        <v>0</v>
      </c>
      <c r="G164" s="88">
        <f t="shared" si="24"/>
        <v>1</v>
      </c>
      <c r="H164" s="288">
        <f>IFERROR(IF($B164="N/A","N/A",IF(MOD(COLUMNS(H$151:$H$151)-1,$E164)=0,$F164*$D164*$G164,)),)</f>
        <v>0</v>
      </c>
      <c r="I164" s="288">
        <f>IFERROR(IF($B164="N/A","N/A",IF(MOD(COLUMNS($H$151:I$151)-1,$E164)=0,$F164*$D164*$G164,)),)</f>
        <v>0</v>
      </c>
      <c r="J164" s="288">
        <f>IFERROR(IF($B164="N/A","N/A",IF(MOD(COLUMNS($H$151:J$151)-1,$E164)=0,$F164*$D164*$G164,)),)</f>
        <v>0</v>
      </c>
      <c r="K164" s="288">
        <f>IFERROR(IF($B164="N/A","N/A",IF(MOD(COLUMNS($H$151:K$151)-1,$E164)=0,$F164*$D164*$G164,)),)</f>
        <v>0</v>
      </c>
      <c r="L164" s="288">
        <f>IFERROR(IF($B164="N/A","N/A",IF(MOD(COLUMNS($H$151:L$151)-1,$E164)=0,$F164*$D164*$G164,)),)</f>
        <v>0</v>
      </c>
      <c r="M164" s="288">
        <f>IFERROR(IF($B164="N/A","N/A",IF(MOD(COLUMNS($H$151:M$151)-1,$E164)=0,$F164*$D164*$G164,)),)</f>
        <v>0</v>
      </c>
      <c r="N164" s="288">
        <f>IFERROR(IF($B164="N/A","N/A",IF(MOD(COLUMNS($H$151:N$151)-1,$E164)=0,$F164*$D164*$G164,)),)</f>
        <v>0</v>
      </c>
      <c r="O164" s="288">
        <f>IFERROR(IF($B164="N/A","N/A",IF(MOD(COLUMNS($H$151:O$151)-1,$E164)=0,$F164*$D164*$G164,)),)</f>
        <v>0</v>
      </c>
      <c r="P164" s="288">
        <f>IFERROR(IF($B164="N/A","N/A",IF(MOD(COLUMNS($H$151:P$151)-1,$E164)=0,$F164*$D164*$G164,)),)</f>
        <v>0</v>
      </c>
      <c r="Q164" s="288">
        <f>IFERROR(IF($B164="N/A","N/A",IF(MOD(COLUMNS($H$151:Q$151)-1,$E164)=0,$F164*$D164*$G164,)),)</f>
        <v>0</v>
      </c>
      <c r="R164" s="288">
        <f>IFERROR(IF($B164="N/A","N/A",IF(MOD(COLUMNS($H$151:R$151)-1,$E164)=0,$F164*$D164*$G164,)),)</f>
        <v>0</v>
      </c>
      <c r="S164" s="288">
        <f>IFERROR(IF($B164="N/A","N/A",IF(MOD(COLUMNS($H$151:S$151)-1,$E164)=0,$F164*$D164*$G164,)),)</f>
        <v>0</v>
      </c>
      <c r="T164" s="288">
        <f>IFERROR(IF($B164="N/A","N/A",IF(MOD(COLUMNS($H$151:T$151)-1,$E164)=0,$F164*$D164*$G164,)),)</f>
        <v>0</v>
      </c>
      <c r="U164" s="288">
        <f>IFERROR(IF($B164="N/A","N/A",IF(MOD(COLUMNS($H$151:U$151)-1,$E164)=0,$F164*$D164*$G164,)),)</f>
        <v>0</v>
      </c>
      <c r="V164" s="288">
        <f>IFERROR(IF($B164="N/A","N/A",IF(MOD(COLUMNS($H$151:V$151)-1,$E164)=0,$F164*$D164*$G164,)),)</f>
        <v>0</v>
      </c>
      <c r="W164" s="288">
        <f>IFERROR(IF($B164="N/A","N/A",IF(MOD(COLUMNS($H$151:W$151)-1,$E164)=0,$F164*$D164*$G164,)),)</f>
        <v>0</v>
      </c>
    </row>
    <row r="165" spans="2:23">
      <c r="B165" s="70" t="str">
        <f t="array" ref="B165">IF(COUNTIFS(INDEX(Equipment_Allocation_New,0,MATCH($C$107,Unit_codes,0)),"&gt;0")&lt;ROWS('2.2-Equipment input'!$X$8:$X21),"N/A",INDEX('2.2-Equipment input'!B:B,SMALL(IF(INDEX(Equipment_Allocation_New,0,MATCH($C$107,Unit_codes,0))&gt;0,ROW(equipment_ID)),ROW('2.2-Equipment input'!B14))))</f>
        <v>eq0046</v>
      </c>
      <c r="C165" s="70">
        <f>IF($B165="N/A","N/A",INDEX(Equipment_name[],MATCH(B165,equipment_ID,0)))</f>
        <v>0</v>
      </c>
      <c r="D165" s="288">
        <f t="shared" si="21"/>
        <v>42.486237999408026</v>
      </c>
      <c r="E165" s="88">
        <f t="shared" si="22"/>
        <v>2</v>
      </c>
      <c r="F165" s="88">
        <f t="shared" si="23"/>
        <v>0</v>
      </c>
      <c r="G165" s="88">
        <f t="shared" si="24"/>
        <v>1</v>
      </c>
      <c r="H165" s="288">
        <f>IFERROR(IF($B165="N/A","N/A",IF(MOD(COLUMNS(H$151:$H$151)-1,$E165)=0,$F165*$D165*$G165,)),)</f>
        <v>0</v>
      </c>
      <c r="I165" s="288">
        <f>IFERROR(IF($B165="N/A","N/A",IF(MOD(COLUMNS($H$151:I$151)-1,$E165)=0,$F165*$D165*$G165,)),)</f>
        <v>0</v>
      </c>
      <c r="J165" s="288">
        <f>IFERROR(IF($B165="N/A","N/A",IF(MOD(COLUMNS($H$151:J$151)-1,$E165)=0,$F165*$D165*$G165,)),)</f>
        <v>0</v>
      </c>
      <c r="K165" s="288">
        <f>IFERROR(IF($B165="N/A","N/A",IF(MOD(COLUMNS($H$151:K$151)-1,$E165)=0,$F165*$D165*$G165,)),)</f>
        <v>0</v>
      </c>
      <c r="L165" s="288">
        <f>IFERROR(IF($B165="N/A","N/A",IF(MOD(COLUMNS($H$151:L$151)-1,$E165)=0,$F165*$D165*$G165,)),)</f>
        <v>0</v>
      </c>
      <c r="M165" s="288">
        <f>IFERROR(IF($B165="N/A","N/A",IF(MOD(COLUMNS($H$151:M$151)-1,$E165)=0,$F165*$D165*$G165,)),)</f>
        <v>0</v>
      </c>
      <c r="N165" s="288">
        <f>IFERROR(IF($B165="N/A","N/A",IF(MOD(COLUMNS($H$151:N$151)-1,$E165)=0,$F165*$D165*$G165,)),)</f>
        <v>0</v>
      </c>
      <c r="O165" s="288">
        <f>IFERROR(IF($B165="N/A","N/A",IF(MOD(COLUMNS($H$151:O$151)-1,$E165)=0,$F165*$D165*$G165,)),)</f>
        <v>0</v>
      </c>
      <c r="P165" s="288">
        <f>IFERROR(IF($B165="N/A","N/A",IF(MOD(COLUMNS($H$151:P$151)-1,$E165)=0,$F165*$D165*$G165,)),)</f>
        <v>0</v>
      </c>
      <c r="Q165" s="288">
        <f>IFERROR(IF($B165="N/A","N/A",IF(MOD(COLUMNS($H$151:Q$151)-1,$E165)=0,$F165*$D165*$G165,)),)</f>
        <v>0</v>
      </c>
      <c r="R165" s="288">
        <f>IFERROR(IF($B165="N/A","N/A",IF(MOD(COLUMNS($H$151:R$151)-1,$E165)=0,$F165*$D165*$G165,)),)</f>
        <v>0</v>
      </c>
      <c r="S165" s="288">
        <f>IFERROR(IF($B165="N/A","N/A",IF(MOD(COLUMNS($H$151:S$151)-1,$E165)=0,$F165*$D165*$G165,)),)</f>
        <v>0</v>
      </c>
      <c r="T165" s="288">
        <f>IFERROR(IF($B165="N/A","N/A",IF(MOD(COLUMNS($H$151:T$151)-1,$E165)=0,$F165*$D165*$G165,)),)</f>
        <v>0</v>
      </c>
      <c r="U165" s="288">
        <f>IFERROR(IF($B165="N/A","N/A",IF(MOD(COLUMNS($H$151:U$151)-1,$E165)=0,$F165*$D165*$G165,)),)</f>
        <v>0</v>
      </c>
      <c r="V165" s="288">
        <f>IFERROR(IF($B165="N/A","N/A",IF(MOD(COLUMNS($H$151:V$151)-1,$E165)=0,$F165*$D165*$G165,)),)</f>
        <v>0</v>
      </c>
      <c r="W165" s="288">
        <f>IFERROR(IF($B165="N/A","N/A",IF(MOD(COLUMNS($H$151:W$151)-1,$E165)=0,$F165*$D165*$G165,)),)</f>
        <v>0</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21"/>
        <v>N/A</v>
      </c>
      <c r="E166" s="88" t="str">
        <f t="shared" si="22"/>
        <v>N/A</v>
      </c>
      <c r="F166" s="88" t="str">
        <f t="shared" si="23"/>
        <v>N/A</v>
      </c>
      <c r="G166" s="88" t="str">
        <f t="shared" si="24"/>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21"/>
        <v>N/A</v>
      </c>
      <c r="E167" s="88" t="str">
        <f t="shared" si="22"/>
        <v>N/A</v>
      </c>
      <c r="F167" s="88" t="str">
        <f t="shared" si="23"/>
        <v>N/A</v>
      </c>
      <c r="G167" s="88" t="str">
        <f t="shared" si="24"/>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21"/>
        <v>N/A</v>
      </c>
      <c r="E168" s="88" t="str">
        <f t="shared" si="22"/>
        <v>N/A</v>
      </c>
      <c r="F168" s="88" t="str">
        <f t="shared" si="23"/>
        <v>N/A</v>
      </c>
      <c r="G168" s="88" t="str">
        <f t="shared" si="24"/>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21"/>
        <v>N/A</v>
      </c>
      <c r="E169" s="88" t="str">
        <f t="shared" si="22"/>
        <v>N/A</v>
      </c>
      <c r="F169" s="88" t="str">
        <f t="shared" si="23"/>
        <v>N/A</v>
      </c>
      <c r="G169" s="88" t="str">
        <f t="shared" si="24"/>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21"/>
        <v>N/A</v>
      </c>
      <c r="E170" s="88" t="str">
        <f t="shared" si="22"/>
        <v>N/A</v>
      </c>
      <c r="F170" s="88" t="str">
        <f t="shared" si="23"/>
        <v>N/A</v>
      </c>
      <c r="G170" s="88" t="str">
        <f t="shared" si="24"/>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21"/>
        <v>N/A</v>
      </c>
      <c r="E171" s="88" t="str">
        <f t="shared" si="22"/>
        <v>N/A</v>
      </c>
      <c r="F171" s="88" t="str">
        <f t="shared" si="23"/>
        <v>N/A</v>
      </c>
      <c r="G171" s="88" t="str">
        <f t="shared" si="24"/>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21"/>
        <v>N/A</v>
      </c>
      <c r="E172" s="88" t="str">
        <f t="shared" si="22"/>
        <v>N/A</v>
      </c>
      <c r="F172" s="88" t="str">
        <f t="shared" si="23"/>
        <v>N/A</v>
      </c>
      <c r="G172" s="88" t="str">
        <f t="shared" si="24"/>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21"/>
        <v>N/A</v>
      </c>
      <c r="E173" s="88" t="str">
        <f t="shared" si="22"/>
        <v>N/A</v>
      </c>
      <c r="F173" s="88" t="str">
        <f t="shared" si="23"/>
        <v>N/A</v>
      </c>
      <c r="G173" s="88" t="str">
        <f t="shared" si="24"/>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21"/>
        <v>N/A</v>
      </c>
      <c r="E174" s="88" t="str">
        <f t="shared" si="22"/>
        <v>N/A</v>
      </c>
      <c r="F174" s="88" t="str">
        <f t="shared" si="23"/>
        <v>N/A</v>
      </c>
      <c r="G174" s="88" t="str">
        <f t="shared" si="24"/>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21"/>
        <v>N/A</v>
      </c>
      <c r="E175" s="88" t="str">
        <f t="shared" si="22"/>
        <v>N/A</v>
      </c>
      <c r="F175" s="88" t="str">
        <f t="shared" si="23"/>
        <v>N/A</v>
      </c>
      <c r="G175" s="88" t="str">
        <f t="shared" si="24"/>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21"/>
        <v>N/A</v>
      </c>
      <c r="E176" s="88" t="str">
        <f t="shared" si="22"/>
        <v>N/A</v>
      </c>
      <c r="F176" s="88" t="str">
        <f t="shared" si="23"/>
        <v>N/A</v>
      </c>
      <c r="G176" s="88" t="str">
        <f t="shared" si="24"/>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21"/>
        <v>N/A</v>
      </c>
      <c r="E177" s="88" t="str">
        <f t="shared" si="22"/>
        <v>N/A</v>
      </c>
      <c r="F177" s="88" t="str">
        <f t="shared" si="23"/>
        <v>N/A</v>
      </c>
      <c r="G177" s="88" t="str">
        <f t="shared" si="24"/>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21"/>
        <v>N/A</v>
      </c>
      <c r="E178" s="88" t="str">
        <f t="shared" si="22"/>
        <v>N/A</v>
      </c>
      <c r="F178" s="88" t="str">
        <f t="shared" si="23"/>
        <v>N/A</v>
      </c>
      <c r="G178" s="88" t="str">
        <f t="shared" si="24"/>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21"/>
        <v>N/A</v>
      </c>
      <c r="E179" s="88" t="str">
        <f t="shared" si="22"/>
        <v>N/A</v>
      </c>
      <c r="F179" s="88" t="str">
        <f t="shared" si="23"/>
        <v>N/A</v>
      </c>
      <c r="G179" s="88" t="str">
        <f t="shared" si="24"/>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21"/>
        <v>N/A</v>
      </c>
      <c r="E180" s="88" t="str">
        <f t="shared" si="22"/>
        <v>N/A</v>
      </c>
      <c r="F180" s="88" t="str">
        <f t="shared" si="23"/>
        <v>N/A</v>
      </c>
      <c r="G180" s="88" t="str">
        <f t="shared" si="24"/>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21"/>
        <v>N/A</v>
      </c>
      <c r="E181" s="88" t="str">
        <f t="shared" si="22"/>
        <v>N/A</v>
      </c>
      <c r="F181" s="88" t="str">
        <f t="shared" si="23"/>
        <v>N/A</v>
      </c>
      <c r="G181" s="88" t="str">
        <f t="shared" si="24"/>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21"/>
        <v>N/A</v>
      </c>
      <c r="E182" s="88" t="str">
        <f t="shared" si="22"/>
        <v>N/A</v>
      </c>
      <c r="F182" s="88" t="str">
        <f t="shared" si="23"/>
        <v>N/A</v>
      </c>
      <c r="G182" s="88" t="str">
        <f t="shared" si="24"/>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21"/>
        <v>N/A</v>
      </c>
      <c r="E183" s="88" t="str">
        <f t="shared" si="22"/>
        <v>N/A</v>
      </c>
      <c r="F183" s="88" t="str">
        <f t="shared" si="23"/>
        <v>N/A</v>
      </c>
      <c r="G183" s="88" t="str">
        <f t="shared" si="24"/>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21"/>
        <v>N/A</v>
      </c>
      <c r="E184" s="88" t="str">
        <f t="shared" si="22"/>
        <v>N/A</v>
      </c>
      <c r="F184" s="88" t="str">
        <f t="shared" si="23"/>
        <v>N/A</v>
      </c>
      <c r="G184" s="88" t="str">
        <f t="shared" si="24"/>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21"/>
        <v>N/A</v>
      </c>
      <c r="E185" s="88" t="str">
        <f t="shared" si="22"/>
        <v>N/A</v>
      </c>
      <c r="F185" s="88" t="str">
        <f t="shared" si="23"/>
        <v>N/A</v>
      </c>
      <c r="G185" s="88" t="str">
        <f t="shared" si="24"/>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21"/>
        <v>N/A</v>
      </c>
      <c r="E186" s="88" t="str">
        <f t="shared" si="22"/>
        <v>N/A</v>
      </c>
      <c r="F186" s="88" t="str">
        <f t="shared" si="23"/>
        <v>N/A</v>
      </c>
      <c r="G186" s="88" t="str">
        <f t="shared" si="24"/>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21"/>
        <v>N/A</v>
      </c>
      <c r="E187" s="88" t="str">
        <f t="shared" si="22"/>
        <v>N/A</v>
      </c>
      <c r="F187" s="88" t="str">
        <f t="shared" si="23"/>
        <v>N/A</v>
      </c>
      <c r="G187" s="88" t="str">
        <f t="shared" si="24"/>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21"/>
        <v>N/A</v>
      </c>
      <c r="E188" s="88" t="str">
        <f t="shared" si="22"/>
        <v>N/A</v>
      </c>
      <c r="F188" s="88" t="str">
        <f t="shared" si="23"/>
        <v>N/A</v>
      </c>
      <c r="G188" s="88" t="str">
        <f t="shared" si="24"/>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21"/>
        <v>N/A</v>
      </c>
      <c r="E189" s="88" t="str">
        <f t="shared" si="22"/>
        <v>N/A</v>
      </c>
      <c r="F189" s="88" t="str">
        <f t="shared" si="23"/>
        <v>N/A</v>
      </c>
      <c r="G189" s="88" t="str">
        <f t="shared" si="24"/>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jeZQ/IbOP4+Kc+LRmuA3JnbMeRoPmQMTc/oKzseLdJlr4+xZhsyWbonH95HIFEOVMGBDgLZ765QSWO7j/q9vNA==" saltValue="Pc40dfwSk1JwLUmLT+Aazw==" spinCount="100000" sheet="1" objects="1" scenarios="1" selectLockedCells="1" selectUnlockedCells="1"/>
  <mergeCells count="6">
    <mergeCell ref="B33:D33"/>
    <mergeCell ref="C48:D48"/>
    <mergeCell ref="C49:D49"/>
    <mergeCell ref="C79:D79"/>
    <mergeCell ref="C80:D80"/>
    <mergeCell ref="B43:D43"/>
  </mergeCells>
  <conditionalFormatting sqref="B20:D31 B110:C147">
    <cfRule type="containsText" dxfId="217" priority="121" operator="containsText" text="N/A">
      <formula>NOT(ISERROR(SEARCH("N/A",B20)))</formula>
    </cfRule>
  </conditionalFormatting>
  <conditionalFormatting sqref="E110:E147">
    <cfRule type="containsText" dxfId="216" priority="120" operator="containsText" text="N/A">
      <formula>NOT(ISERROR(SEARCH("N/A",E110)))</formula>
    </cfRule>
  </conditionalFormatting>
  <conditionalFormatting sqref="E83:E103 B83:B103">
    <cfRule type="containsText" dxfId="215" priority="119" operator="containsText" text="N/A">
      <formula>NOT(ISERROR(SEARCH("N/A",B83)))</formula>
    </cfRule>
  </conditionalFormatting>
  <conditionalFormatting sqref="C83:C103">
    <cfRule type="containsText" dxfId="214" priority="118" operator="containsText" text="N/A">
      <formula>NOT(ISERROR(SEARCH("N/A",C83)))</formula>
    </cfRule>
  </conditionalFormatting>
  <conditionalFormatting sqref="F83:F103">
    <cfRule type="containsText" dxfId="213" priority="116" operator="containsText" text="N/A">
      <formula>NOT(ISERROR(SEARCH("N/A",F83)))</formula>
    </cfRule>
  </conditionalFormatting>
  <conditionalFormatting sqref="E52:E74 B52:B74">
    <cfRule type="containsText" dxfId="212" priority="115" operator="containsText" text="N/A">
      <formula>NOT(ISERROR(SEARCH("N/A",B52)))</formula>
    </cfRule>
  </conditionalFormatting>
  <conditionalFormatting sqref="C52:C74">
    <cfRule type="containsText" dxfId="211" priority="114" operator="containsText" text="N/A">
      <formula>NOT(ISERROR(SEARCH("N/A",C52)))</formula>
    </cfRule>
  </conditionalFormatting>
  <conditionalFormatting sqref="O110:O147">
    <cfRule type="containsText" dxfId="210" priority="87" operator="containsText" text="N/A">
      <formula>NOT(ISERROR(SEARCH("N/A",O110)))</formula>
    </cfRule>
  </conditionalFormatting>
  <conditionalFormatting sqref="F52:F74">
    <cfRule type="containsText" dxfId="209" priority="112" operator="containsText" text="N/A">
      <formula>NOT(ISERROR(SEARCH("N/A",F52)))</formula>
    </cfRule>
  </conditionalFormatting>
  <conditionalFormatting sqref="G110:G147">
    <cfRule type="containsText" dxfId="208" priority="110" operator="containsText" text="N/A">
      <formula>NOT(ISERROR(SEARCH("N/A",G110)))</formula>
    </cfRule>
  </conditionalFormatting>
  <conditionalFormatting sqref="I110:I147">
    <cfRule type="containsText" dxfId="207" priority="109" operator="containsText" text="N/A">
      <formula>NOT(ISERROR(SEARCH("N/A",I110)))</formula>
    </cfRule>
  </conditionalFormatting>
  <conditionalFormatting sqref="K110:K147">
    <cfRule type="containsText" dxfId="206" priority="108" operator="containsText" text="N/A">
      <formula>NOT(ISERROR(SEARCH("N/A",K110)))</formula>
    </cfRule>
  </conditionalFormatting>
  <conditionalFormatting sqref="F110:F147">
    <cfRule type="containsText" dxfId="205" priority="107" operator="containsText" text="N/A">
      <formula>NOT(ISERROR(SEARCH("N/A",F110)))</formula>
    </cfRule>
  </conditionalFormatting>
  <conditionalFormatting sqref="B152:B189">
    <cfRule type="containsText" dxfId="204" priority="105" operator="containsText" text="N/A">
      <formula>NOT(ISERROR(SEARCH("N/A",B152)))</formula>
    </cfRule>
  </conditionalFormatting>
  <conditionalFormatting sqref="C152:C189">
    <cfRule type="containsText" dxfId="203" priority="104" operator="containsText" text="N/A">
      <formula>NOT(ISERROR(SEARCH("N/A",C152)))</formula>
    </cfRule>
  </conditionalFormatting>
  <conditionalFormatting sqref="F152:F189">
    <cfRule type="containsText" dxfId="202" priority="103" operator="containsText" text="N/A">
      <formula>NOT(ISERROR(SEARCH("N/A",F152)))</formula>
    </cfRule>
  </conditionalFormatting>
  <conditionalFormatting sqref="E152:E189">
    <cfRule type="containsText" dxfId="201" priority="101" operator="containsText" text="N/A">
      <formula>NOT(ISERROR(SEARCH("N/A",E152)))</formula>
    </cfRule>
  </conditionalFormatting>
  <conditionalFormatting sqref="E21:E31">
    <cfRule type="containsText" dxfId="200" priority="92" operator="containsText" text="N/A">
      <formula>NOT(ISERROR(SEARCH("N/A",E21)))</formula>
    </cfRule>
  </conditionalFormatting>
  <conditionalFormatting sqref="H153:W189 I152:W152">
    <cfRule type="containsText" dxfId="199" priority="98" operator="containsText" text="N/A">
      <formula>NOT(ISERROR(SEARCH("N/A",H152)))</formula>
    </cfRule>
  </conditionalFormatting>
  <conditionalFormatting sqref="G152:G189">
    <cfRule type="containsText" dxfId="198" priority="95" operator="containsText" text="N/A">
      <formula>NOT(ISERROR(SEARCH("N/A",G152)))</formula>
    </cfRule>
  </conditionalFormatting>
  <conditionalFormatting sqref="E20">
    <cfRule type="containsText" dxfId="197" priority="90" operator="containsText" text="N/A">
      <formula>NOT(ISERROR(SEARCH("N/A",E20)))</formula>
    </cfRule>
  </conditionalFormatting>
  <conditionalFormatting sqref="F39:F41">
    <cfRule type="expression" dxfId="196" priority="81">
      <formula>IF(INDIRECT("General_Currency_Selection")="CHF",TRUE)</formula>
    </cfRule>
    <cfRule type="expression" dxfId="195" priority="82">
      <formula>IF(INDIRECT("General_Currency_Selection")="EUR",TRUE)</formula>
    </cfRule>
    <cfRule type="expression" dxfId="194" priority="83">
      <formula>IF(INDIRECT("General_Currency_Selection")="USD",TRUE)</formula>
    </cfRule>
  </conditionalFormatting>
  <conditionalFormatting sqref="E39:E41">
    <cfRule type="expression" dxfId="193" priority="78">
      <formula>IF(INDIRECT("General_Currency_Selection")="CHF",TRUE)</formula>
    </cfRule>
    <cfRule type="expression" dxfId="192" priority="79">
      <formula>IF(INDIRECT("General_Currency_Selection")="EUR",TRUE)</formula>
    </cfRule>
    <cfRule type="expression" dxfId="191" priority="80">
      <formula>IF(INDIRECT("General_Currency_Selection")="USD",TRUE)</formula>
    </cfRule>
  </conditionalFormatting>
  <conditionalFormatting sqref="E43:F43">
    <cfRule type="expression" dxfId="190" priority="75">
      <formula>IF(INDIRECT("General_Currency_Selection")="CHF",TRUE)</formula>
    </cfRule>
    <cfRule type="expression" dxfId="189" priority="76">
      <formula>IF(INDIRECT("General_Currency_Selection")="EUR",TRUE)</formula>
    </cfRule>
    <cfRule type="expression" dxfId="188" priority="77">
      <formula>IF(INDIRECT("General_Currency_Selection")="USD",TRUE)</formula>
    </cfRule>
  </conditionalFormatting>
  <conditionalFormatting sqref="G35">
    <cfRule type="expression" dxfId="187" priority="72">
      <formula>IF(INDIRECT("General_Currency_Selection")="CHF",TRUE)</formula>
    </cfRule>
    <cfRule type="expression" dxfId="186" priority="73">
      <formula>IF(INDIRECT("General_Currency_Selection")="EUR",TRUE)</formula>
    </cfRule>
    <cfRule type="expression" dxfId="185" priority="74">
      <formula>IF(INDIRECT("General_Currency_Selection")="USD",TRUE)</formula>
    </cfRule>
  </conditionalFormatting>
  <conditionalFormatting sqref="G15">
    <cfRule type="expression" dxfId="184" priority="69">
      <formula>IF(INDIRECT("General_Currency_Selection")="CHF",TRUE)</formula>
    </cfRule>
    <cfRule type="expression" dxfId="183" priority="70">
      <formula>IF(INDIRECT("General_Currency_Selection")="EUR",TRUE)</formula>
    </cfRule>
    <cfRule type="expression" dxfId="182" priority="71">
      <formula>IF(INDIRECT("General_Currency_Selection")="USD",TRUE)</formula>
    </cfRule>
  </conditionalFormatting>
  <conditionalFormatting sqref="G45">
    <cfRule type="expression" dxfId="181" priority="66">
      <formula>IF(INDIRECT("General_Currency_Selection")="CHF",TRUE)</formula>
    </cfRule>
    <cfRule type="expression" dxfId="180" priority="67">
      <formula>IF(INDIRECT("General_Currency_Selection")="EUR",TRUE)</formula>
    </cfRule>
    <cfRule type="expression" dxfId="179" priority="68">
      <formula>IF(INDIRECT("General_Currency_Selection")="USD",TRUE)</formula>
    </cfRule>
  </conditionalFormatting>
  <conditionalFormatting sqref="F20:F31">
    <cfRule type="expression" dxfId="178" priority="63">
      <formula>IF(INDIRECT("General_Currency_Selection")="CHF",TRUE)</formula>
    </cfRule>
    <cfRule type="expression" dxfId="177" priority="64">
      <formula>IF(INDIRECT("General_Currency_Selection")="EUR",TRUE)</formula>
    </cfRule>
    <cfRule type="expression" dxfId="176" priority="65">
      <formula>IF(INDIRECT("General_Currency_Selection")="USD",TRUE)</formula>
    </cfRule>
  </conditionalFormatting>
  <conditionalFormatting sqref="E33">
    <cfRule type="expression" dxfId="175" priority="60">
      <formula>IF(INDIRECT("General_Currency_Selection")="CHF",TRUE)</formula>
    </cfRule>
    <cfRule type="expression" dxfId="174" priority="61">
      <formula>IF(INDIRECT("General_Currency_Selection")="EUR",TRUE)</formula>
    </cfRule>
    <cfRule type="expression" dxfId="173" priority="62">
      <formula>IF(INDIRECT("General_Currency_Selection")="USD",TRUE)</formula>
    </cfRule>
  </conditionalFormatting>
  <conditionalFormatting sqref="D52:D74">
    <cfRule type="expression" dxfId="172" priority="57">
      <formula>IF(INDIRECT("General_Currency_Selection")="CHF",TRUE)</formula>
    </cfRule>
    <cfRule type="expression" dxfId="171" priority="58">
      <formula>IF(INDIRECT("General_Currency_Selection")="EUR",TRUE)</formula>
    </cfRule>
    <cfRule type="expression" dxfId="170" priority="59">
      <formula>IF(INDIRECT("General_Currency_Selection")="USD",TRUE)</formula>
    </cfRule>
  </conditionalFormatting>
  <conditionalFormatting sqref="G52:G74">
    <cfRule type="expression" dxfId="169" priority="54">
      <formula>IF(INDIRECT("General_Currency_Selection")="CHF",TRUE)</formula>
    </cfRule>
    <cfRule type="expression" dxfId="168" priority="55">
      <formula>IF(INDIRECT("General_Currency_Selection")="EUR",TRUE)</formula>
    </cfRule>
    <cfRule type="expression" dxfId="167" priority="56">
      <formula>IF(INDIRECT("General_Currency_Selection")="USD",TRUE)</formula>
    </cfRule>
  </conditionalFormatting>
  <conditionalFormatting sqref="G76">
    <cfRule type="expression" dxfId="166" priority="51">
      <formula>IF(INDIRECT("General_Currency_Selection")="CHF",TRUE)</formula>
    </cfRule>
    <cfRule type="expression" dxfId="165" priority="52">
      <formula>IF(INDIRECT("General_Currency_Selection")="EUR",TRUE)</formula>
    </cfRule>
    <cfRule type="expression" dxfId="164" priority="53">
      <formula>IF(INDIRECT("General_Currency_Selection")="USD",TRUE)</formula>
    </cfRule>
  </conditionalFormatting>
  <conditionalFormatting sqref="D83:D103">
    <cfRule type="expression" dxfId="163" priority="48">
      <formula>IF(INDIRECT("General_Currency_Selection")="CHF",TRUE)</formula>
    </cfRule>
    <cfRule type="expression" dxfId="162" priority="49">
      <formula>IF(INDIRECT("General_Currency_Selection")="EUR",TRUE)</formula>
    </cfRule>
    <cfRule type="expression" dxfId="161" priority="50">
      <formula>IF(INDIRECT("General_Currency_Selection")="USD",TRUE)</formula>
    </cfRule>
  </conditionalFormatting>
  <conditionalFormatting sqref="G83:G103">
    <cfRule type="expression" dxfId="160" priority="45">
      <formula>IF(INDIRECT("General_Currency_Selection")="CHF",TRUE)</formula>
    </cfRule>
    <cfRule type="expression" dxfId="159" priority="46">
      <formula>IF(INDIRECT("General_Currency_Selection")="EUR",TRUE)</formula>
    </cfRule>
    <cfRule type="expression" dxfId="158" priority="47">
      <formula>IF(INDIRECT("General_Currency_Selection")="USD",TRUE)</formula>
    </cfRule>
  </conditionalFormatting>
  <conditionalFormatting sqref="G105">
    <cfRule type="expression" dxfId="157" priority="42">
      <formula>IF(INDIRECT("General_Currency_Selection")="CHF",TRUE)</formula>
    </cfRule>
    <cfRule type="expression" dxfId="156" priority="43">
      <formula>IF(INDIRECT("General_Currency_Selection")="EUR",TRUE)</formula>
    </cfRule>
    <cfRule type="expression" dxfId="155" priority="44">
      <formula>IF(INDIRECT("General_Currency_Selection")="USD",TRUE)</formula>
    </cfRule>
  </conditionalFormatting>
  <conditionalFormatting sqref="D110:D147">
    <cfRule type="expression" dxfId="154" priority="39">
      <formula>IF(INDIRECT("General_Currency_Selection")="CHF",TRUE)</formula>
    </cfRule>
    <cfRule type="expression" dxfId="153" priority="40">
      <formula>IF(INDIRECT("General_Currency_Selection")="EUR",TRUE)</formula>
    </cfRule>
    <cfRule type="expression" dxfId="152" priority="41">
      <formula>IF(INDIRECT("General_Currency_Selection")="USD",TRUE)</formula>
    </cfRule>
  </conditionalFormatting>
  <conditionalFormatting sqref="N110:N147">
    <cfRule type="expression" dxfId="151" priority="36">
      <formula>IF(INDIRECT("General_Currency_Selection")="CHF",TRUE)</formula>
    </cfRule>
    <cfRule type="expression" dxfId="150" priority="37">
      <formula>IF(INDIRECT("General_Currency_Selection")="EUR",TRUE)</formula>
    </cfRule>
    <cfRule type="expression" dxfId="149" priority="38">
      <formula>IF(INDIRECT("General_Currency_Selection")="USD",TRUE)</formula>
    </cfRule>
  </conditionalFormatting>
  <conditionalFormatting sqref="D152:D189">
    <cfRule type="expression" dxfId="148" priority="33">
      <formula>IF(INDIRECT("General_Currency_Selection")="CHF",TRUE)</formula>
    </cfRule>
    <cfRule type="expression" dxfId="147" priority="34">
      <formula>IF(INDIRECT("General_Currency_Selection")="EUR",TRUE)</formula>
    </cfRule>
    <cfRule type="expression" dxfId="146" priority="35">
      <formula>IF(INDIRECT("General_Currency_Selection")="USD",TRUE)</formula>
    </cfRule>
  </conditionalFormatting>
  <conditionalFormatting sqref="H149:W149">
    <cfRule type="expression" dxfId="145" priority="30">
      <formula>IF(INDIRECT("General_Currency_Selection")="CHF",TRUE)</formula>
    </cfRule>
    <cfRule type="expression" dxfId="144" priority="31">
      <formula>IF(INDIRECT("General_Currency_Selection")="EUR",TRUE)</formula>
    </cfRule>
    <cfRule type="expression" dxfId="143" priority="32">
      <formula>IF(INDIRECT("General_Currency_Selection")="USD",TRUE)</formula>
    </cfRule>
  </conditionalFormatting>
  <conditionalFormatting sqref="H152:W189">
    <cfRule type="expression" dxfId="142" priority="27">
      <formula>IF(INDIRECT("General_Currency_Selection")="CHF",TRUE)</formula>
    </cfRule>
    <cfRule type="expression" dxfId="141" priority="28">
      <formula>IF(INDIRECT("General_Currency_Selection")="EUR",TRUE)</formula>
    </cfRule>
    <cfRule type="expression" dxfId="140" priority="29">
      <formula>IF(INDIRECT("General_Currency_Selection")="USD",TRUE)</formula>
    </cfRule>
  </conditionalFormatting>
  <conditionalFormatting sqref="H110:H147">
    <cfRule type="expression" dxfId="139" priority="22">
      <formula>IF(INDIRECT("General_Currency_Selection")="CHF",TRUE)</formula>
    </cfRule>
    <cfRule type="expression" dxfId="138" priority="23">
      <formula>IF(INDIRECT("General_Currency_Selection")="EUR",TRUE)</formula>
    </cfRule>
    <cfRule type="expression" dxfId="137" priority="24">
      <formula>IF(INDIRECT("General_Currency_Selection")="USD",TRUE)</formula>
    </cfRule>
  </conditionalFormatting>
  <conditionalFormatting sqref="J110:J147">
    <cfRule type="expression" dxfId="136" priority="19">
      <formula>IF(INDIRECT("General_Currency_Selection")="CHF",TRUE)</formula>
    </cfRule>
    <cfRule type="expression" dxfId="135" priority="20">
      <formula>IF(INDIRECT("General_Currency_Selection")="EUR",TRUE)</formula>
    </cfRule>
    <cfRule type="expression" dxfId="134" priority="21">
      <formula>IF(INDIRECT("General_Currency_Selection")="USD",TRUE)</formula>
    </cfRule>
  </conditionalFormatting>
  <conditionalFormatting sqref="L110:L147">
    <cfRule type="expression" dxfId="133" priority="16">
      <formula>IF(INDIRECT("General_Currency_Selection")="CHF",TRUE)</formula>
    </cfRule>
    <cfRule type="expression" dxfId="132" priority="17">
      <formula>IF(INDIRECT("General_Currency_Selection")="EUR",TRUE)</formula>
    </cfRule>
    <cfRule type="expression" dxfId="131" priority="18">
      <formula>IF(INDIRECT("General_Currency_Selection")="USD",TRUE)</formula>
    </cfRule>
  </conditionalFormatting>
  <conditionalFormatting sqref="G17">
    <cfRule type="expression" dxfId="130" priority="13">
      <formula>IF(INDIRECT("General_Currency_Selection")="CHF",TRUE)</formula>
    </cfRule>
    <cfRule type="expression" dxfId="129" priority="14">
      <formula>IF(INDIRECT("General_Currency_Selection")="EUR",TRUE)</formula>
    </cfRule>
    <cfRule type="expression" dxfId="128" priority="15">
      <formula>IF(INDIRECT("General_Currency_Selection")="USD",TRUE)</formula>
    </cfRule>
  </conditionalFormatting>
  <conditionalFormatting sqref="G33">
    <cfRule type="expression" dxfId="127" priority="10">
      <formula>IF(INDIRECT("General_Currency_Selection")="CHF",TRUE)</formula>
    </cfRule>
    <cfRule type="expression" dxfId="126" priority="11">
      <formula>IF(INDIRECT("General_Currency_Selection")="EUR",TRUE)</formula>
    </cfRule>
    <cfRule type="expression" dxfId="125" priority="12">
      <formula>IF(INDIRECT("General_Currency_Selection")="USD",TRUE)</formula>
    </cfRule>
  </conditionalFormatting>
  <conditionalFormatting sqref="H20">
    <cfRule type="expression" dxfId="124" priority="7">
      <formula>IF(INDIRECT("General_Currency_Selection")="CHF",TRUE)</formula>
    </cfRule>
    <cfRule type="expression" dxfId="123" priority="8">
      <formula>IF(INDIRECT("General_Currency_Selection")="EUR",TRUE)</formula>
    </cfRule>
    <cfRule type="expression" dxfId="122" priority="9">
      <formula>IF(INDIRECT("General_Currency_Selection")="USD",TRUE)</formula>
    </cfRule>
  </conditionalFormatting>
  <conditionalFormatting sqref="G20">
    <cfRule type="expression" dxfId="121" priority="4">
      <formula>IF(INDIRECT("General_Currency_Selection")="CHF",TRUE)</formula>
    </cfRule>
    <cfRule type="expression" dxfId="120" priority="5">
      <formula>IF(INDIRECT("General_Currency_Selection")="EUR",TRUE)</formula>
    </cfRule>
    <cfRule type="expression" dxfId="119" priority="6">
      <formula>IF(INDIRECT("General_Currency_Selection")="USD",TRUE)</formula>
    </cfRule>
  </conditionalFormatting>
  <conditionalFormatting sqref="G21:H31">
    <cfRule type="expression" dxfId="118" priority="1">
      <formula>IF(INDIRECT("General_Currency_Selection")="CHF",TRUE)</formula>
    </cfRule>
    <cfRule type="expression" dxfId="117" priority="2">
      <formula>IF(INDIRECT("General_Currency_Selection")="EUR",TRUE)</formula>
    </cfRule>
    <cfRule type="expression" dxfId="116"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79998168889431442"/>
  </sheetPr>
  <dimension ref="B1:W189"/>
  <sheetViews>
    <sheetView showGridLines="0" showRowColHeaders="0" zoomScale="70" zoomScaleNormal="70" workbookViewId="0">
      <selection activeCell="G10" sqref="G10"/>
    </sheetView>
  </sheetViews>
  <sheetFormatPr defaultColWidth="11.1796875" defaultRowHeight="14.5"/>
  <cols>
    <col min="1" max="1" width="0.81640625" style="15" customWidth="1"/>
    <col min="2" max="2" width="13.81640625" style="15" customWidth="1"/>
    <col min="3" max="3" width="18.453125" style="15" customWidth="1"/>
    <col min="4" max="4" width="21.54296875" style="15" bestFit="1" customWidth="1"/>
    <col min="5" max="5" width="17.81640625" style="15" customWidth="1"/>
    <col min="6" max="6" width="21" style="15" customWidth="1"/>
    <col min="7" max="23" width="16.54296875" style="15" customWidth="1"/>
    <col min="24" max="16384" width="11.1796875" style="15"/>
  </cols>
  <sheetData>
    <row r="1" spans="2:16" ht="21">
      <c r="B1" s="1" t="s">
        <v>200</v>
      </c>
      <c r="C1" s="6"/>
      <c r="D1" s="6"/>
    </row>
    <row r="2" spans="2:16" ht="15" thickBot="1"/>
    <row r="3" spans="2:16" ht="18.5">
      <c r="B3" s="56" t="s">
        <v>0</v>
      </c>
      <c r="C3" s="51"/>
      <c r="D3" s="51"/>
      <c r="E3" s="51"/>
      <c r="F3" s="51"/>
      <c r="G3" s="51"/>
      <c r="H3" s="51"/>
      <c r="I3" s="51"/>
      <c r="J3" s="51"/>
      <c r="K3" s="51"/>
      <c r="L3" s="51"/>
      <c r="M3" s="51"/>
      <c r="N3" s="51"/>
      <c r="O3" s="51"/>
      <c r="P3" s="51"/>
    </row>
    <row r="4" spans="2:16" ht="15.5">
      <c r="B4" s="61"/>
    </row>
    <row r="5" spans="2:16" ht="15.5">
      <c r="B5" s="61"/>
    </row>
    <row r="6" spans="2:16" ht="15.5">
      <c r="B6" s="61"/>
    </row>
    <row r="7" spans="2:16" ht="15.5">
      <c r="B7" s="61"/>
    </row>
    <row r="12" spans="2:16" ht="29">
      <c r="B12" s="126" t="s">
        <v>68</v>
      </c>
      <c r="C12" s="126" t="s">
        <v>69</v>
      </c>
      <c r="E12" s="61"/>
    </row>
    <row r="13" spans="2:16">
      <c r="B13" s="119" t="s">
        <v>115</v>
      </c>
      <c r="C13" s="395">
        <f>General_Residue_TotalProd*'4.1-Settings Database'!$J$41</f>
        <v>0.33590623234712541</v>
      </c>
    </row>
    <row r="14" spans="2:16" ht="15" thickBot="1">
      <c r="G14" s="54"/>
    </row>
    <row r="15" spans="2:16" ht="30">
      <c r="B15" s="2" t="s">
        <v>71</v>
      </c>
      <c r="C15" s="103"/>
      <c r="D15" s="51"/>
      <c r="E15" s="51"/>
      <c r="F15" s="101" t="s">
        <v>128</v>
      </c>
      <c r="G15" s="836">
        <f>E33*C13*1000</f>
        <v>0</v>
      </c>
      <c r="H15" s="51"/>
      <c r="I15" s="51"/>
      <c r="J15" s="51"/>
      <c r="K15" s="51"/>
      <c r="L15" s="51"/>
      <c r="M15" s="51"/>
      <c r="N15" s="51"/>
      <c r="O15" s="51"/>
      <c r="P15" s="51"/>
    </row>
    <row r="16" spans="2:16" ht="15.5">
      <c r="B16" s="61" t="s">
        <v>429</v>
      </c>
      <c r="I16" s="22"/>
      <c r="J16" s="22"/>
      <c r="K16" s="22"/>
      <c r="L16" s="22"/>
    </row>
    <row r="17" spans="2:12">
      <c r="B17" s="98" t="s">
        <v>76</v>
      </c>
      <c r="C17" s="80" t="s">
        <v>523</v>
      </c>
      <c r="I17" s="22"/>
      <c r="J17" s="22"/>
      <c r="K17" s="22"/>
      <c r="L17" s="22"/>
    </row>
    <row r="18" spans="2:12">
      <c r="I18" s="22"/>
      <c r="J18" s="22"/>
      <c r="K18" s="114"/>
      <c r="L18" s="114"/>
    </row>
    <row r="19" spans="2:12">
      <c r="B19" s="108" t="s">
        <v>404</v>
      </c>
      <c r="C19" s="108" t="s">
        <v>405</v>
      </c>
      <c r="D19" s="98" t="s">
        <v>851</v>
      </c>
      <c r="E19" s="98" t="s">
        <v>107</v>
      </c>
      <c r="F19" s="98" t="s">
        <v>621</v>
      </c>
      <c r="I19" s="22"/>
      <c r="J19" s="148"/>
      <c r="K19" s="114"/>
      <c r="L19" s="114"/>
    </row>
    <row r="20" spans="2:12">
      <c r="B20" s="71" t="str">
        <f t="array" ref="B20">IF(COUNTIFS(INDEX(Material_Input,0,MATCH($C$17,Unit_codes,0)),"&gt;0")&lt;ROWS('2.1-Material input'!$J$4:J4),"N/A",INDEX('2.1-Material input'!B:B,SMALL(IF(INDEX(Material_Input,0,MATCH($C$17,Unit_codes,0))&gt;0,ROW(Material_Code)),ROW('2.1-Material input'!B1))))</f>
        <v>N/A</v>
      </c>
      <c r="C20" s="71" t="str">
        <f t="shared" ref="C20:C31" si="0">IF($B20="N/A","N/A",INDEX(Material_Name,MATCH(B20,Material_Code,0)))</f>
        <v>N/A</v>
      </c>
      <c r="D20" s="102" t="str">
        <f t="shared" ref="D20:D31" si="1">IF($B20="N/A","N/A",INDEX(Material_Input,MATCH($B20,Material_Code,0),MATCH($C$17,Unit_codes,0)))</f>
        <v>N/A</v>
      </c>
      <c r="E20" s="87" t="str">
        <f t="shared" ref="E20:E31" si="2">IF($B20="N/A","N/A",INDEX(Material_Unit_Price,MATCH($B20,Material_Code,0)))</f>
        <v>N/A</v>
      </c>
      <c r="F20" s="288" t="str">
        <f>IFERROR(E20*D20,"")</f>
        <v/>
      </c>
      <c r="I20" s="22"/>
      <c r="J20" s="115"/>
      <c r="K20" s="114"/>
      <c r="L20" s="114"/>
    </row>
    <row r="21" spans="2:12">
      <c r="B21" s="71" t="str">
        <f t="array" ref="B21">IF(COUNTIFS(INDEX(Material_Input,0,MATCH($C$17,Unit_codes,0)),"&gt;0")&lt;ROWS('2.1-Material input'!$J$4:J5),"N/A",INDEX('2.1-Material input'!B:B,SMALL(IF(INDEX(Material_Input,0,MATCH($C$17,Unit_codes,0))&gt;0,ROW(Material_Code)),ROW('2.1-Material input'!B2))))</f>
        <v>N/A</v>
      </c>
      <c r="C21" s="71" t="str">
        <f t="shared" si="0"/>
        <v>N/A</v>
      </c>
      <c r="D21" s="102" t="str">
        <f t="shared" si="1"/>
        <v>N/A</v>
      </c>
      <c r="E21" s="87" t="str">
        <f t="shared" si="2"/>
        <v>N/A</v>
      </c>
      <c r="F21" s="288" t="str">
        <f t="shared" ref="F21:F31" si="3">IFERROR(E21*D21,"")</f>
        <v/>
      </c>
      <c r="I21" s="22"/>
      <c r="J21" s="115"/>
      <c r="K21" s="114"/>
      <c r="L21" s="114"/>
    </row>
    <row r="22" spans="2:12">
      <c r="B22" s="71" t="str">
        <f t="array" ref="B22">IF(COUNTIFS(INDEX(Material_Input,0,MATCH($C$17,Unit_codes,0)),"&gt;0")&lt;ROWS('2.1-Material input'!$J$4:J6),"N/A",INDEX('2.1-Material input'!B:B,SMALL(IF(INDEX(Material_Input,0,MATCH($C$17,Unit_codes,0))&gt;0,ROW(Material_Code)),ROW('2.1-Material input'!B3))))</f>
        <v>N/A</v>
      </c>
      <c r="C22" s="71" t="str">
        <f t="shared" si="0"/>
        <v>N/A</v>
      </c>
      <c r="D22" s="102" t="str">
        <f t="shared" si="1"/>
        <v>N/A</v>
      </c>
      <c r="E22" s="87" t="str">
        <f t="shared" si="2"/>
        <v>N/A</v>
      </c>
      <c r="F22" s="288" t="str">
        <f t="shared" si="3"/>
        <v/>
      </c>
      <c r="I22" s="22"/>
      <c r="J22" s="115"/>
      <c r="K22" s="114"/>
      <c r="L22" s="114"/>
    </row>
    <row r="23" spans="2:12">
      <c r="B23" s="71" t="str">
        <f t="array" ref="B23">IF(COUNTIFS(INDEX(Material_Input,0,MATCH($C$17,Unit_codes,0)),"&gt;0")&lt;ROWS('2.1-Material input'!$J$4:J7),"N/A",INDEX('2.1-Material input'!B:B,SMALL(IF(INDEX(Material_Input,0,MATCH($C$17,Unit_codes,0))&gt;0,ROW(Material_Code)),ROW('2.1-Material input'!B4))))</f>
        <v>N/A</v>
      </c>
      <c r="C23" s="71" t="str">
        <f t="shared" si="0"/>
        <v>N/A</v>
      </c>
      <c r="D23" s="102" t="str">
        <f t="shared" si="1"/>
        <v>N/A</v>
      </c>
      <c r="E23" s="87" t="str">
        <f t="shared" si="2"/>
        <v>N/A</v>
      </c>
      <c r="F23" s="288" t="str">
        <f t="shared" si="3"/>
        <v/>
      </c>
      <c r="K23" s="114"/>
      <c r="L23" s="114"/>
    </row>
    <row r="24" spans="2:12">
      <c r="B24" s="71" t="str">
        <f t="array" ref="B24">IF(COUNTIFS(INDEX(Material_Input,0,MATCH($C$17,Unit_codes,0)),"&gt;0")&lt;ROWS('2.1-Material input'!$J$4:J8),"N/A",INDEX('2.1-Material input'!B:B,SMALL(IF(INDEX(Material_Input,0,MATCH($C$17,Unit_codes,0))&gt;0,ROW(Material_Code)),ROW('2.1-Material input'!B5))))</f>
        <v>N/A</v>
      </c>
      <c r="C24" s="71" t="str">
        <f t="shared" si="0"/>
        <v>N/A</v>
      </c>
      <c r="D24" s="102" t="str">
        <f t="shared" si="1"/>
        <v>N/A</v>
      </c>
      <c r="E24" s="87" t="str">
        <f t="shared" si="2"/>
        <v>N/A</v>
      </c>
      <c r="F24" s="288" t="str">
        <f t="shared" si="3"/>
        <v/>
      </c>
      <c r="K24" s="114"/>
      <c r="L24" s="114"/>
    </row>
    <row r="25" spans="2:12">
      <c r="B25" s="71" t="str">
        <f t="array" ref="B25">IF(COUNTIFS(INDEX(Material_Input,0,MATCH($C$17,Unit_codes,0)),"&gt;0")&lt;ROWS('2.1-Material input'!$J$4:J9),"N/A",INDEX('2.1-Material input'!B:B,SMALL(IF(INDEX(Material_Input,0,MATCH($C$17,Unit_codes,0))&gt;0,ROW(Material_Code)),ROW('2.1-Material input'!B6))))</f>
        <v>N/A</v>
      </c>
      <c r="C25" s="71" t="str">
        <f t="shared" si="0"/>
        <v>N/A</v>
      </c>
      <c r="D25" s="102" t="str">
        <f t="shared" si="1"/>
        <v>N/A</v>
      </c>
      <c r="E25" s="87" t="str">
        <f t="shared" si="2"/>
        <v>N/A</v>
      </c>
      <c r="F25" s="288" t="str">
        <f t="shared" si="3"/>
        <v/>
      </c>
      <c r="I25" s="22"/>
      <c r="J25" s="115"/>
      <c r="K25" s="114"/>
      <c r="L25" s="114"/>
    </row>
    <row r="26" spans="2:12">
      <c r="B26" s="71" t="str">
        <f t="array" ref="B26">IF(COUNTIFS(INDEX(Material_Input,0,MATCH($C$17,Unit_codes,0)),"&gt;0")&lt;ROWS('2.1-Material input'!$J$4:J10),"N/A",INDEX('2.1-Material input'!B:B,SMALL(IF(INDEX(Material_Input,0,MATCH($C$17,Unit_codes,0))&gt;0,ROW(Material_Code)),ROW('2.1-Material input'!B7))))</f>
        <v>N/A</v>
      </c>
      <c r="C26" s="71" t="str">
        <f t="shared" si="0"/>
        <v>N/A</v>
      </c>
      <c r="D26" s="102" t="str">
        <f t="shared" si="1"/>
        <v>N/A</v>
      </c>
      <c r="E26" s="87" t="str">
        <f t="shared" si="2"/>
        <v>N/A</v>
      </c>
      <c r="F26" s="288" t="str">
        <f t="shared" si="3"/>
        <v/>
      </c>
      <c r="I26" s="22"/>
      <c r="J26" s="115"/>
      <c r="K26" s="114"/>
      <c r="L26" s="114"/>
    </row>
    <row r="27" spans="2:12">
      <c r="B27" s="71" t="str">
        <f t="array" ref="B27">IF(COUNTIFS(INDEX(Material_Input,0,MATCH($C$17,Unit_codes,0)),"&gt;0")&lt;ROWS('2.1-Material input'!$J$4:J11),"N/A",INDEX('2.1-Material input'!B:B,SMALL(IF(INDEX(Material_Input,0,MATCH($C$17,Unit_codes,0))&gt;0,ROW(Material_Code)),ROW('2.1-Material input'!B8))))</f>
        <v>N/A</v>
      </c>
      <c r="C27" s="71" t="str">
        <f t="shared" si="0"/>
        <v>N/A</v>
      </c>
      <c r="D27" s="102" t="str">
        <f t="shared" si="1"/>
        <v>N/A</v>
      </c>
      <c r="E27" s="87" t="str">
        <f t="shared" si="2"/>
        <v>N/A</v>
      </c>
      <c r="F27" s="288" t="str">
        <f t="shared" si="3"/>
        <v/>
      </c>
      <c r="I27" s="22"/>
      <c r="J27" s="115"/>
      <c r="K27" s="114"/>
      <c r="L27" s="114"/>
    </row>
    <row r="28" spans="2:12">
      <c r="B28" s="71" t="str">
        <f t="array" ref="B28">IF(COUNTIFS(INDEX(Material_Input,0,MATCH($C$17,Unit_codes,0)),"&gt;0")&lt;ROWS('2.1-Material input'!$J$4:J12),"N/A",INDEX('2.1-Material input'!B:B,SMALL(IF(INDEX(Material_Input,0,MATCH($C$17,Unit_codes,0))&gt;0,ROW(Material_Code)),ROW('2.1-Material input'!B9))))</f>
        <v>N/A</v>
      </c>
      <c r="C28" s="71" t="str">
        <f t="shared" si="0"/>
        <v>N/A</v>
      </c>
      <c r="D28" s="102" t="str">
        <f t="shared" si="1"/>
        <v>N/A</v>
      </c>
      <c r="E28" s="87" t="str">
        <f t="shared" si="2"/>
        <v>N/A</v>
      </c>
      <c r="F28" s="288" t="str">
        <f t="shared" si="3"/>
        <v/>
      </c>
      <c r="I28" s="22"/>
      <c r="J28" s="115"/>
      <c r="K28" s="114"/>
      <c r="L28" s="114"/>
    </row>
    <row r="29" spans="2:12">
      <c r="B29" s="71" t="str">
        <f t="array" ref="B29">IF(COUNTIFS(INDEX(Material_Input,0,MATCH($C$17,Unit_codes,0)),"&gt;0")&lt;ROWS('2.1-Material input'!$J$4:J13),"N/A",INDEX('2.1-Material input'!B:B,SMALL(IF(INDEX(Material_Input,0,MATCH($C$17,Unit_codes,0))&gt;0,ROW(Material_Code)),ROW('2.1-Material input'!B10))))</f>
        <v>N/A</v>
      </c>
      <c r="C29" s="71" t="str">
        <f t="shared" si="0"/>
        <v>N/A</v>
      </c>
      <c r="D29" s="102" t="str">
        <f t="shared" si="1"/>
        <v>N/A</v>
      </c>
      <c r="E29" s="87" t="str">
        <f t="shared" si="2"/>
        <v>N/A</v>
      </c>
      <c r="F29" s="288" t="str">
        <f t="shared" si="3"/>
        <v/>
      </c>
      <c r="I29" s="22"/>
      <c r="J29" s="115"/>
      <c r="K29" s="114"/>
      <c r="L29" s="114"/>
    </row>
    <row r="30" spans="2:12">
      <c r="B30" s="71" t="str">
        <f t="array" ref="B30">IF(COUNTIFS(INDEX(Material_Input,0,MATCH($C$17,Unit_codes,0)),"&gt;0")&lt;ROWS('2.1-Material input'!$J$4:J14),"N/A",INDEX('2.1-Material input'!B:B,SMALL(IF(INDEX(Material_Input,0,MATCH($C$17,Unit_codes,0))&gt;0,ROW(Material_Code)),ROW('2.1-Material input'!B11))))</f>
        <v>N/A</v>
      </c>
      <c r="C30" s="71" t="str">
        <f t="shared" si="0"/>
        <v>N/A</v>
      </c>
      <c r="D30" s="102" t="str">
        <f t="shared" si="1"/>
        <v>N/A</v>
      </c>
      <c r="E30" s="87" t="str">
        <f t="shared" si="2"/>
        <v>N/A</v>
      </c>
      <c r="F30" s="288" t="str">
        <f t="shared" si="3"/>
        <v/>
      </c>
      <c r="I30" s="22"/>
      <c r="J30" s="115"/>
      <c r="K30" s="114"/>
      <c r="L30" s="114"/>
    </row>
    <row r="31" spans="2:12">
      <c r="B31" s="71" t="str">
        <f t="array" ref="B31">IF(COUNTIFS(INDEX(Material_Input,0,MATCH($C$17,Unit_codes,0)),"&gt;0")&lt;ROWS('2.1-Material input'!$J$4:J15),"N/A",INDEX('2.1-Material input'!B:B,SMALL(IF(INDEX(Material_Input,0,MATCH($C$17,Unit_codes,0))&gt;0,ROW(Material_Code)),ROW('2.1-Material input'!B12))))</f>
        <v>N/A</v>
      </c>
      <c r="C31" s="71" t="str">
        <f t="shared" si="0"/>
        <v>N/A</v>
      </c>
      <c r="D31" s="102" t="str">
        <f t="shared" si="1"/>
        <v>N/A</v>
      </c>
      <c r="E31" s="87" t="str">
        <f t="shared" si="2"/>
        <v>N/A</v>
      </c>
      <c r="F31" s="288" t="str">
        <f t="shared" si="3"/>
        <v/>
      </c>
      <c r="I31" s="22"/>
      <c r="J31" s="115"/>
      <c r="K31" s="114"/>
      <c r="L31" s="114"/>
    </row>
    <row r="32" spans="2:12">
      <c r="E32" s="78"/>
    </row>
    <row r="33" spans="2:16">
      <c r="B33" s="902" t="s">
        <v>197</v>
      </c>
      <c r="C33" s="902"/>
      <c r="D33" s="902"/>
      <c r="E33" s="307">
        <f>SUM(F20:F31)</f>
        <v>0</v>
      </c>
    </row>
    <row r="34" spans="2:16" ht="15" thickBot="1">
      <c r="B34" s="123"/>
      <c r="C34" s="123"/>
      <c r="D34" s="123"/>
      <c r="E34" s="114"/>
      <c r="G34" s="54"/>
    </row>
    <row r="35" spans="2:16" ht="18.5">
      <c r="B35" s="2" t="s">
        <v>144</v>
      </c>
      <c r="C35" s="103"/>
      <c r="D35" s="51"/>
      <c r="E35" s="51"/>
      <c r="F35" s="101" t="s">
        <v>195</v>
      </c>
      <c r="G35" s="836">
        <f>F43</f>
        <v>0</v>
      </c>
      <c r="H35" s="51"/>
      <c r="I35" s="51"/>
      <c r="J35" s="51"/>
      <c r="K35" s="51"/>
      <c r="L35" s="51"/>
      <c r="M35" s="51"/>
      <c r="N35" s="51"/>
      <c r="O35" s="51"/>
      <c r="P35" s="51"/>
    </row>
    <row r="36" spans="2:16" ht="15.5">
      <c r="B36" s="61" t="s">
        <v>529</v>
      </c>
      <c r="C36" s="22"/>
      <c r="D36" s="22"/>
      <c r="E36" s="22"/>
      <c r="I36" s="22"/>
      <c r="J36" s="22"/>
      <c r="K36" s="22"/>
      <c r="L36" s="22"/>
      <c r="M36" s="22"/>
    </row>
    <row r="37" spans="2:16">
      <c r="B37" s="29"/>
      <c r="C37" s="131"/>
      <c r="D37" s="22"/>
      <c r="E37" s="22"/>
      <c r="I37" s="22"/>
      <c r="J37" s="22"/>
      <c r="K37" s="22"/>
      <c r="L37" s="22"/>
      <c r="M37" s="22"/>
    </row>
    <row r="38" spans="2:16" ht="15.5">
      <c r="C38" s="91" t="s">
        <v>515</v>
      </c>
      <c r="D38" s="91" t="s">
        <v>76</v>
      </c>
      <c r="E38" s="91" t="s">
        <v>620</v>
      </c>
      <c r="F38" s="91" t="s">
        <v>619</v>
      </c>
      <c r="I38" s="22"/>
      <c r="J38" s="208"/>
      <c r="K38" s="90"/>
      <c r="L38" s="114"/>
      <c r="M38" s="22"/>
    </row>
    <row r="39" spans="2:16">
      <c r="B39" s="98" t="str">
        <f>INDEX(Equipment_Utility_Spec_List,2)</f>
        <v>Water</v>
      </c>
      <c r="C39" s="134">
        <f>SUMPRODUCT($F$110:$F$147,$G$110:$G$147,$M$110:$M$147)</f>
        <v>0</v>
      </c>
      <c r="D39" s="133" t="s">
        <v>516</v>
      </c>
      <c r="E39" s="288">
        <f>SUMIF($B$110:$B$147,("&lt;&gt;N/A"),$H$110:$H$147)</f>
        <v>0</v>
      </c>
      <c r="F39" s="288">
        <f>E39*Staff_Days_Operation</f>
        <v>0</v>
      </c>
      <c r="I39" s="22"/>
      <c r="J39" s="148"/>
      <c r="K39" s="90"/>
      <c r="L39" s="114"/>
      <c r="M39" s="22"/>
    </row>
    <row r="40" spans="2:16">
      <c r="B40" s="98" t="str">
        <f>INDEX(Equipment_Utility_Spec_List,3)</f>
        <v>Electricity</v>
      </c>
      <c r="C40" s="134">
        <f>SUMPRODUCT($F$110:$F$147,$I$110:$I$147,$M$110:$M$147)</f>
        <v>0</v>
      </c>
      <c r="D40" s="133" t="s">
        <v>518</v>
      </c>
      <c r="E40" s="288">
        <f>SUMIF($B$110:$B$147,("&lt;&gt;N/A"),$J$110:$J$147)</f>
        <v>0</v>
      </c>
      <c r="F40" s="288">
        <f>E40*Staff_Days_Operation</f>
        <v>0</v>
      </c>
      <c r="I40" s="22"/>
      <c r="J40" s="148"/>
      <c r="K40" s="114"/>
      <c r="L40" s="114"/>
      <c r="M40" s="22"/>
    </row>
    <row r="41" spans="2:16">
      <c r="B41" s="98" t="str">
        <f>INDEX(Equipment_Utility_Spec_List,4)</f>
        <v>Fuel</v>
      </c>
      <c r="C41" s="134">
        <f>SUMPRODUCT($F$110:$F$147,$K$110:$K$147,$M$110:$M$147)</f>
        <v>0</v>
      </c>
      <c r="D41" s="133" t="s">
        <v>517</v>
      </c>
      <c r="E41" s="288">
        <f>SUMIF($B$110:$B$147,("&lt;&gt;N/A"),$L$110:$L$147)</f>
        <v>0</v>
      </c>
      <c r="F41" s="288">
        <f>E41*Staff_Days_Operation</f>
        <v>0</v>
      </c>
      <c r="I41" s="22"/>
      <c r="J41" s="115"/>
      <c r="K41" s="114"/>
      <c r="L41" s="114"/>
      <c r="M41" s="22"/>
    </row>
    <row r="42" spans="2:16">
      <c r="B42" s="8"/>
      <c r="C42" s="115"/>
      <c r="D42" s="22"/>
      <c r="E42" s="132"/>
      <c r="I42" s="22"/>
      <c r="J42" s="22"/>
      <c r="K42" s="22"/>
      <c r="L42" s="261"/>
      <c r="M42" s="22"/>
    </row>
    <row r="43" spans="2:16">
      <c r="B43" s="901" t="s">
        <v>440</v>
      </c>
      <c r="C43" s="901"/>
      <c r="D43" s="901"/>
      <c r="E43" s="288">
        <f>SUM(E39:E41)</f>
        <v>0</v>
      </c>
      <c r="F43" s="288">
        <f>SUM(F39:F41)</f>
        <v>0</v>
      </c>
      <c r="I43" s="910"/>
      <c r="J43" s="910"/>
      <c r="K43" s="910"/>
      <c r="L43" s="114"/>
      <c r="M43" s="22"/>
    </row>
    <row r="44" spans="2:16" ht="15" thickBot="1">
      <c r="F44" s="54"/>
      <c r="G44" s="54"/>
    </row>
    <row r="45" spans="2:16" ht="18.5">
      <c r="B45" s="104" t="s">
        <v>2</v>
      </c>
      <c r="C45" s="105"/>
      <c r="D45" s="79"/>
      <c r="E45" s="79"/>
      <c r="F45" s="141" t="s">
        <v>83</v>
      </c>
      <c r="G45" s="306">
        <f>SUMIF(G52:G74,("&lt;&gt;N/A"),G52:G74)</f>
        <v>0</v>
      </c>
      <c r="H45" s="79"/>
      <c r="I45" s="79"/>
      <c r="J45" s="79"/>
      <c r="K45" s="79"/>
      <c r="L45" s="79"/>
      <c r="M45" s="79"/>
      <c r="N45" s="79"/>
      <c r="O45" s="79"/>
      <c r="P45" s="79"/>
    </row>
    <row r="46" spans="2:16" ht="15.5">
      <c r="B46" s="61" t="s">
        <v>78</v>
      </c>
    </row>
    <row r="47" spans="2:16" ht="15.5">
      <c r="B47" s="61" t="s">
        <v>79</v>
      </c>
    </row>
    <row r="48" spans="2:16">
      <c r="B48" s="98" t="s">
        <v>75</v>
      </c>
      <c r="C48" s="900" t="s">
        <v>66</v>
      </c>
      <c r="D48" s="900"/>
    </row>
    <row r="49" spans="2:9">
      <c r="B49" s="98" t="s">
        <v>76</v>
      </c>
      <c r="C49" s="900" t="s">
        <v>523</v>
      </c>
      <c r="D49" s="900"/>
      <c r="I49" s="83"/>
    </row>
    <row r="51" spans="2:9" ht="31">
      <c r="B51" s="93" t="s">
        <v>220</v>
      </c>
      <c r="C51" s="93" t="s">
        <v>4</v>
      </c>
      <c r="D51" s="93" t="s">
        <v>77</v>
      </c>
      <c r="E51" s="122" t="s">
        <v>242</v>
      </c>
      <c r="F51" s="93" t="s">
        <v>119</v>
      </c>
      <c r="G51" s="93" t="s">
        <v>120</v>
      </c>
    </row>
    <row r="52" spans="2:9">
      <c r="B52" s="71" t="str">
        <f t="array" ref="B52">IF(COUNTIFS(Position_Category,$C$48,INDEX(Staff_Position_Allocation,0,MATCH($C$49,Unit_codes,0)),"&gt;0")&lt;ROWS('2.3-Staff input'!$I$5:$I5),"N/A",INDEX('2.3-Staff input'!B:B,SMALL(IF((Position_Category=$C$48)+(INDEX(Staff_Position_Allocation,0,MATCH($C$49,Unit_codes,0))&gt;0)=2,ROW(Staff_Position_ID)),ROW('2.3-Staff input'!B1))))</f>
        <v>N/A</v>
      </c>
      <c r="C52" s="71" t="str">
        <f>IF($B52="N/A","N/A",INDEX(Staff_position[],MATCH(B52,Staff_Position_ID,0)))</f>
        <v>N/A</v>
      </c>
      <c r="D52" s="288" t="str">
        <f>IF($B52="N/A","N/A",INDEX(Staff_net_salary[],MATCH(B52,Staff_Position_ID,0)))</f>
        <v>N/A</v>
      </c>
      <c r="E52" s="85" t="str">
        <f t="shared" ref="E52:E74" si="4">IF($B52="N/A","N/A",INDEX(Staff_number_of_employees,MATCH(B52,Staff_Position_ID,0)))</f>
        <v>N/A</v>
      </c>
      <c r="F52" s="86" t="str">
        <f t="shared" ref="F52:F74" si="5">IFERROR(INDEX(Staff_Position_Allocation,MATCH(B52,Staff_Position_ID),MATCH($C$49,Unit_codes,0)),"")</f>
        <v/>
      </c>
      <c r="G52" s="288" t="str">
        <f>IFERROR(D52*E52*F52,"")</f>
        <v/>
      </c>
    </row>
    <row r="53" spans="2:9">
      <c r="B53" s="71" t="str">
        <f t="array" ref="B53">IF(COUNTIFS(Position_Category,$C$48,INDEX(Staff_Position_Allocation,0,MATCH($C$49,Unit_codes,0)),"&gt;0")&lt;ROWS('2.3-Staff input'!$I$5:$I6),"N/A",INDEX('2.3-Staff input'!B:B,SMALL(IF((Position_Category=$C$48)+(INDEX(Staff_Position_Allocation,0,MATCH($C$49,Unit_codes,0))&gt;0)=2,ROW(Staff_Position_ID)),ROW('2.3-Staff input'!B2))))</f>
        <v>N/A</v>
      </c>
      <c r="C53" s="71" t="str">
        <f>IF($B53="N/A","N/A",INDEX(Staff_position[],MATCH(B53,Staff_Position_ID,0)))</f>
        <v>N/A</v>
      </c>
      <c r="D53" s="288" t="str">
        <f>IF($B53="N/A","N/A",INDEX(Staff_net_salary[],MATCH(B53,Staff_Position_ID,0)))</f>
        <v>N/A</v>
      </c>
      <c r="E53" s="85" t="str">
        <f t="shared" si="4"/>
        <v>N/A</v>
      </c>
      <c r="F53" s="86" t="str">
        <f t="shared" si="5"/>
        <v/>
      </c>
      <c r="G53" s="288" t="str">
        <f t="shared" ref="G53:G74" si="6">IFERROR(D53*E53*F53,"")</f>
        <v/>
      </c>
    </row>
    <row r="54" spans="2:9">
      <c r="B54" s="71" t="str">
        <f t="array" ref="B54">IF(COUNTIFS(Position_Category,$C$48,INDEX(Staff_Position_Allocation,0,MATCH($C$49,Unit_codes,0)),"&gt;0")&lt;ROWS('2.3-Staff input'!$I$5:$I7),"N/A",INDEX('2.3-Staff input'!B:B,SMALL(IF((Position_Category=$C$48)+(INDEX(Staff_Position_Allocation,0,MATCH($C$49,Unit_codes,0))&gt;0)=2,ROW(Staff_Position_ID)),ROW('2.3-Staff input'!B3))))</f>
        <v>N/A</v>
      </c>
      <c r="C54" s="71" t="str">
        <f>IF($B54="N/A","N/A",INDEX(Staff_position[],MATCH(B54,Staff_Position_ID,0)))</f>
        <v>N/A</v>
      </c>
      <c r="D54" s="288" t="str">
        <f>IF($B54="N/A","N/A",INDEX(Staff_net_salary[],MATCH(B54,Staff_Position_ID,0)))</f>
        <v>N/A</v>
      </c>
      <c r="E54" s="85" t="str">
        <f t="shared" si="4"/>
        <v>N/A</v>
      </c>
      <c r="F54" s="86" t="str">
        <f t="shared" si="5"/>
        <v/>
      </c>
      <c r="G54" s="288" t="str">
        <f t="shared" si="6"/>
        <v/>
      </c>
    </row>
    <row r="55" spans="2:9">
      <c r="B55" s="71" t="str">
        <f t="array" ref="B55">IF(COUNTIFS(Position_Category,$C$48,INDEX(Staff_Position_Allocation,0,MATCH($C$49,Unit_codes,0)),"&gt;0")&lt;ROWS('2.3-Staff input'!$I$5:$I8),"N/A",INDEX('2.3-Staff input'!B:B,SMALL(IF((Position_Category=$C$48)+(INDEX(Staff_Position_Allocation,0,MATCH($C$49,Unit_codes,0))&gt;0)=2,ROW(Staff_Position_ID)),ROW('2.3-Staff input'!B4))))</f>
        <v>N/A</v>
      </c>
      <c r="C55" s="71" t="str">
        <f>IF($B55="N/A","N/A",INDEX(Staff_position[],MATCH(B55,Staff_Position_ID,0)))</f>
        <v>N/A</v>
      </c>
      <c r="D55" s="288" t="str">
        <f>IF($B55="N/A","N/A",INDEX(Staff_net_salary[],MATCH(B55,Staff_Position_ID,0)))</f>
        <v>N/A</v>
      </c>
      <c r="E55" s="85" t="str">
        <f t="shared" si="4"/>
        <v>N/A</v>
      </c>
      <c r="F55" s="86" t="str">
        <f t="shared" si="5"/>
        <v/>
      </c>
      <c r="G55" s="288" t="str">
        <f t="shared" si="6"/>
        <v/>
      </c>
    </row>
    <row r="56" spans="2:9">
      <c r="B56" s="71" t="str">
        <f t="array" ref="B56">IF(COUNTIFS(Position_Category,$C$48,INDEX(Staff_Position_Allocation,0,MATCH($C$49,Unit_codes,0)),"&gt;0")&lt;ROWS('2.3-Staff input'!$I$5:$I9),"N/A",INDEX('2.3-Staff input'!B:B,SMALL(IF((Position_Category=$C$48)+(INDEX(Staff_Position_Allocation,0,MATCH($C$49,Unit_codes,0))&gt;0)=2,ROW(Staff_Position_ID)),ROW('2.3-Staff input'!B5))))</f>
        <v>N/A</v>
      </c>
      <c r="C56" s="71" t="str">
        <f>IF($B56="N/A","N/A",INDEX(Staff_position[],MATCH(B56,Staff_Position_ID,0)))</f>
        <v>N/A</v>
      </c>
      <c r="D56" s="288" t="str">
        <f>IF($B56="N/A","N/A",INDEX(Staff_net_salary[],MATCH(B56,Staff_Position_ID,0)))</f>
        <v>N/A</v>
      </c>
      <c r="E56" s="85" t="str">
        <f t="shared" si="4"/>
        <v>N/A</v>
      </c>
      <c r="F56" s="86" t="str">
        <f t="shared" si="5"/>
        <v/>
      </c>
      <c r="G56" s="288" t="str">
        <f t="shared" si="6"/>
        <v/>
      </c>
    </row>
    <row r="57" spans="2:9">
      <c r="B57" s="71" t="str">
        <f t="array" ref="B57">IF(COUNTIFS(Position_Category,$C$48,INDEX(Staff_Position_Allocation,0,MATCH($C$49,Unit_codes,0)),"&gt;0")&lt;ROWS('2.3-Staff input'!$I$5:$I10),"N/A",INDEX('2.3-Staff input'!B:B,SMALL(IF((Position_Category=$C$48)+(INDEX(Staff_Position_Allocation,0,MATCH($C$49,Unit_codes,0))&gt;0)=2,ROW(Staff_Position_ID)),ROW('2.3-Staff input'!B6))))</f>
        <v>N/A</v>
      </c>
      <c r="C57" s="71" t="str">
        <f>IF($B57="N/A","N/A",INDEX(Staff_position[],MATCH(B57,Staff_Position_ID,0)))</f>
        <v>N/A</v>
      </c>
      <c r="D57" s="288" t="str">
        <f>IF($B57="N/A","N/A",INDEX(Staff_net_salary[],MATCH(B57,Staff_Position_ID,0)))</f>
        <v>N/A</v>
      </c>
      <c r="E57" s="85" t="str">
        <f t="shared" si="4"/>
        <v>N/A</v>
      </c>
      <c r="F57" s="86" t="str">
        <f t="shared" si="5"/>
        <v/>
      </c>
      <c r="G57" s="288" t="str">
        <f t="shared" si="6"/>
        <v/>
      </c>
    </row>
    <row r="58" spans="2:9">
      <c r="B58" s="71" t="str">
        <f t="array" ref="B58">IF(COUNTIFS(Position_Category,$C$48,INDEX(Staff_Position_Allocation,0,MATCH($C$49,Unit_codes,0)),"&gt;0")&lt;ROWS('2.3-Staff input'!$I$5:$I11),"N/A",INDEX('2.3-Staff input'!B:B,SMALL(IF((Position_Category=$C$48)+(INDEX(Staff_Position_Allocation,0,MATCH($C$49,Unit_codes,0))&gt;0)=2,ROW(Staff_Position_ID)),ROW('2.3-Staff input'!B7))))</f>
        <v>N/A</v>
      </c>
      <c r="C58" s="71" t="str">
        <f>IF($B58="N/A","N/A",INDEX(Staff_position[],MATCH(B58,Staff_Position_ID,0)))</f>
        <v>N/A</v>
      </c>
      <c r="D58" s="288" t="str">
        <f>IF($B58="N/A","N/A",INDEX(Staff_net_salary[],MATCH(B58,Staff_Position_ID,0)))</f>
        <v>N/A</v>
      </c>
      <c r="E58" s="85" t="str">
        <f t="shared" si="4"/>
        <v>N/A</v>
      </c>
      <c r="F58" s="86" t="str">
        <f t="shared" si="5"/>
        <v/>
      </c>
      <c r="G58" s="288" t="str">
        <f t="shared" si="6"/>
        <v/>
      </c>
    </row>
    <row r="59" spans="2:9">
      <c r="B59" s="71" t="str">
        <f t="array" ref="B59">IF(COUNTIFS(Position_Category,$C$48,INDEX(Staff_Position_Allocation,0,MATCH($C$49,Unit_codes,0)),"&gt;0")&lt;ROWS('2.3-Staff input'!$I$5:$I12),"N/A",INDEX('2.3-Staff input'!B:B,SMALL(IF((Position_Category=$C$48)+(INDEX(Staff_Position_Allocation,0,MATCH($C$49,Unit_codes,0))&gt;0)=2,ROW(Staff_Position_ID)),ROW('2.3-Staff input'!B8))))</f>
        <v>N/A</v>
      </c>
      <c r="C59" s="71" t="str">
        <f>IF($B59="N/A","N/A",INDEX(Staff_position[],MATCH(B59,Staff_Position_ID,0)))</f>
        <v>N/A</v>
      </c>
      <c r="D59" s="288" t="str">
        <f>IF($B59="N/A","N/A",INDEX(Staff_net_salary[],MATCH(B59,Staff_Position_ID,0)))</f>
        <v>N/A</v>
      </c>
      <c r="E59" s="85" t="str">
        <f t="shared" si="4"/>
        <v>N/A</v>
      </c>
      <c r="F59" s="86" t="str">
        <f t="shared" si="5"/>
        <v/>
      </c>
      <c r="G59" s="288" t="str">
        <f t="shared" si="6"/>
        <v/>
      </c>
    </row>
    <row r="60" spans="2:9">
      <c r="B60" s="71" t="str">
        <f t="array" ref="B60">IF(COUNTIFS(Position_Category,$C$48,INDEX(Staff_Position_Allocation,0,MATCH($C$49,Unit_codes,0)),"&gt;0")&lt;ROWS('2.3-Staff input'!$I$5:$I13),"N/A",INDEX('2.3-Staff input'!B:B,SMALL(IF((Position_Category=$C$48)+(INDEX(Staff_Position_Allocation,0,MATCH($C$49,Unit_codes,0))&gt;0)=2,ROW(Staff_Position_ID)),ROW('2.3-Staff input'!B9))))</f>
        <v>N/A</v>
      </c>
      <c r="C60" s="71" t="str">
        <f>IF($B60="N/A","N/A",INDEX(Staff_position[],MATCH(B60,Staff_Position_ID,0)))</f>
        <v>N/A</v>
      </c>
      <c r="D60" s="288" t="str">
        <f>IF($B60="N/A","N/A",INDEX(Staff_net_salary[],MATCH(B60,Staff_Position_ID,0)))</f>
        <v>N/A</v>
      </c>
      <c r="E60" s="85" t="str">
        <f t="shared" si="4"/>
        <v>N/A</v>
      </c>
      <c r="F60" s="86" t="str">
        <f t="shared" si="5"/>
        <v/>
      </c>
      <c r="G60" s="288" t="str">
        <f t="shared" si="6"/>
        <v/>
      </c>
    </row>
    <row r="61" spans="2:9">
      <c r="B61" s="71" t="str">
        <f t="array" ref="B61">IF(COUNTIFS(Position_Category,$C$48,INDEX(Staff_Position_Allocation,0,MATCH($C$49,Unit_codes,0)),"&gt;0")&lt;ROWS('2.3-Staff input'!$I$5:$I14),"N/A",INDEX('2.3-Staff input'!B:B,SMALL(IF((Position_Category=$C$48)+(INDEX(Staff_Position_Allocation,0,MATCH($C$49,Unit_codes,0))&gt;0)=2,ROW(Staff_Position_ID)),ROW('2.3-Staff input'!B10))))</f>
        <v>N/A</v>
      </c>
      <c r="C61" s="71" t="str">
        <f>IF($B61="N/A","N/A",INDEX(Staff_position[],MATCH(B61,Staff_Position_ID,0)))</f>
        <v>N/A</v>
      </c>
      <c r="D61" s="288" t="str">
        <f>IF($B61="N/A","N/A",INDEX(Staff_net_salary[],MATCH(B61,Staff_Position_ID,0)))</f>
        <v>N/A</v>
      </c>
      <c r="E61" s="85" t="str">
        <f t="shared" si="4"/>
        <v>N/A</v>
      </c>
      <c r="F61" s="86" t="str">
        <f t="shared" si="5"/>
        <v/>
      </c>
      <c r="G61" s="288" t="str">
        <f t="shared" si="6"/>
        <v/>
      </c>
    </row>
    <row r="62" spans="2:9">
      <c r="B62" s="71" t="str">
        <f t="array" ref="B62">IF(COUNTIFS(Position_Category,$C$48,INDEX(Staff_Position_Allocation,0,MATCH($C$49,Unit_codes,0)),"&gt;0")&lt;ROWS('2.3-Staff input'!$I$5:$I15),"N/A",INDEX('2.3-Staff input'!B:B,SMALL(IF((Position_Category=$C$48)+(INDEX(Staff_Position_Allocation,0,MATCH($C$49,Unit_codes,0))&gt;0)=2,ROW(Staff_Position_ID)),ROW('2.3-Staff input'!B11))))</f>
        <v>N/A</v>
      </c>
      <c r="C62" s="71" t="str">
        <f>IF($B62="N/A","N/A",INDEX(Staff_position[],MATCH(B62,Staff_Position_ID,0)))</f>
        <v>N/A</v>
      </c>
      <c r="D62" s="288" t="str">
        <f>IF($B62="N/A","N/A",INDEX(Staff_net_salary[],MATCH(B62,Staff_Position_ID,0)))</f>
        <v>N/A</v>
      </c>
      <c r="E62" s="85" t="str">
        <f t="shared" si="4"/>
        <v>N/A</v>
      </c>
      <c r="F62" s="86" t="str">
        <f t="shared" si="5"/>
        <v/>
      </c>
      <c r="G62" s="288" t="str">
        <f t="shared" si="6"/>
        <v/>
      </c>
    </row>
    <row r="63" spans="2:9">
      <c r="B63" s="71" t="str">
        <f t="array" ref="B63">IF(COUNTIFS(Position_Category,$C$48,INDEX(Staff_Position_Allocation,0,MATCH($C$49,Unit_codes,0)),"&gt;0")&lt;ROWS('2.3-Staff input'!$I$5:$I16),"N/A",INDEX('2.3-Staff input'!B:B,SMALL(IF((Position_Category=$C$48)+(INDEX(Staff_Position_Allocation,0,MATCH($C$49,Unit_codes,0))&gt;0)=2,ROW(Staff_Position_ID)),ROW('2.3-Staff input'!B12))))</f>
        <v>N/A</v>
      </c>
      <c r="C63" s="71" t="str">
        <f>IF($B63="N/A","N/A",INDEX(Staff_position[],MATCH(B63,Staff_Position_ID,0)))</f>
        <v>N/A</v>
      </c>
      <c r="D63" s="288" t="str">
        <f>IF($B63="N/A","N/A",INDEX(Staff_net_salary[],MATCH(B63,Staff_Position_ID,0)))</f>
        <v>N/A</v>
      </c>
      <c r="E63" s="85" t="str">
        <f t="shared" si="4"/>
        <v>N/A</v>
      </c>
      <c r="F63" s="86" t="str">
        <f t="shared" si="5"/>
        <v/>
      </c>
      <c r="G63" s="288" t="str">
        <f t="shared" si="6"/>
        <v/>
      </c>
    </row>
    <row r="64" spans="2:9">
      <c r="B64" s="71" t="str">
        <f t="array" ref="B64">IF(COUNTIFS(Position_Category,$C$48,INDEX(Staff_Position_Allocation,0,MATCH($C$49,Unit_codes,0)),"&gt;0")&lt;ROWS('2.3-Staff input'!$I$5:$I17),"N/A",INDEX('2.3-Staff input'!B:B,SMALL(IF((Position_Category=$C$48)+(INDEX(Staff_Position_Allocation,0,MATCH($C$49,Unit_codes,0))&gt;0)=2,ROW(Staff_Position_ID)),ROW('2.3-Staff input'!B13))))</f>
        <v>N/A</v>
      </c>
      <c r="C64" s="71" t="str">
        <f>IF($B64="N/A","N/A",INDEX(Staff_position[],MATCH(B64,Staff_Position_ID,0)))</f>
        <v>N/A</v>
      </c>
      <c r="D64" s="288" t="str">
        <f>IF($B64="N/A","N/A",INDEX(Staff_net_salary[],MATCH(B64,Staff_Position_ID,0)))</f>
        <v>N/A</v>
      </c>
      <c r="E64" s="85" t="str">
        <f t="shared" si="4"/>
        <v>N/A</v>
      </c>
      <c r="F64" s="86" t="str">
        <f t="shared" si="5"/>
        <v/>
      </c>
      <c r="G64" s="288" t="str">
        <f t="shared" si="6"/>
        <v/>
      </c>
    </row>
    <row r="65" spans="2:16">
      <c r="B65" s="71" t="str">
        <f t="array" ref="B65">IF(COUNTIFS(Position_Category,$C$48,INDEX(Staff_Position_Allocation,0,MATCH($C$49,Unit_codes,0)),"&gt;0")&lt;ROWS('2.3-Staff input'!$I$5:$I18),"N/A",INDEX('2.3-Staff input'!B:B,SMALL(IF((Position_Category=$C$48)+(INDEX(Staff_Position_Allocation,0,MATCH($C$49,Unit_codes,0))&gt;0)=2,ROW(Staff_Position_ID)),ROW('2.3-Staff input'!B14))))</f>
        <v>N/A</v>
      </c>
      <c r="C65" s="71" t="str">
        <f>IF($B65="N/A","N/A",INDEX(Staff_position[],MATCH(B65,Staff_Position_ID,0)))</f>
        <v>N/A</v>
      </c>
      <c r="D65" s="288" t="str">
        <f>IF($B65="N/A","N/A",INDEX(Staff_net_salary[],MATCH(B65,Staff_Position_ID,0)))</f>
        <v>N/A</v>
      </c>
      <c r="E65" s="85" t="str">
        <f t="shared" si="4"/>
        <v>N/A</v>
      </c>
      <c r="F65" s="86" t="str">
        <f t="shared" si="5"/>
        <v/>
      </c>
      <c r="G65" s="288" t="str">
        <f t="shared" si="6"/>
        <v/>
      </c>
    </row>
    <row r="66" spans="2:16">
      <c r="B66" s="71" t="str">
        <f t="array" ref="B66">IF(COUNTIFS(Position_Category,$C$48,INDEX(Staff_Position_Allocation,0,MATCH($C$49,Unit_codes,0)),"&gt;0")&lt;ROWS('2.3-Staff input'!$I$5:$I19),"N/A",INDEX('2.3-Staff input'!B:B,SMALL(IF((Position_Category=$C$48)+(INDEX(Staff_Position_Allocation,0,MATCH($C$49,Unit_codes,0))&gt;0)=2,ROW(Staff_Position_ID)),ROW('2.3-Staff input'!B15))))</f>
        <v>N/A</v>
      </c>
      <c r="C66" s="71" t="str">
        <f>IF($B66="N/A","N/A",INDEX(Staff_position[],MATCH(B66,Staff_Position_ID,0)))</f>
        <v>N/A</v>
      </c>
      <c r="D66" s="288" t="str">
        <f>IF($B66="N/A","N/A",INDEX(Staff_net_salary[],MATCH(B66,Staff_Position_ID,0)))</f>
        <v>N/A</v>
      </c>
      <c r="E66" s="85" t="str">
        <f t="shared" si="4"/>
        <v>N/A</v>
      </c>
      <c r="F66" s="86" t="str">
        <f t="shared" si="5"/>
        <v/>
      </c>
      <c r="G66" s="288" t="str">
        <f t="shared" si="6"/>
        <v/>
      </c>
    </row>
    <row r="67" spans="2:16">
      <c r="B67" s="71" t="str">
        <f t="array" ref="B67">IF(COUNTIFS(Position_Category,$C$48,INDEX(Staff_Position_Allocation,0,MATCH($C$49,Unit_codes,0)),"&gt;0")&lt;ROWS('2.3-Staff input'!$I$5:$I20),"N/A",INDEX('2.3-Staff input'!B:B,SMALL(IF((Position_Category=$C$48)+(INDEX(Staff_Position_Allocation,0,MATCH($C$49,Unit_codes,0))&gt;0)=2,ROW(Staff_Position_ID)),ROW('2.3-Staff input'!B16))))</f>
        <v>N/A</v>
      </c>
      <c r="C67" s="71" t="str">
        <f>IF($B67="N/A","N/A",INDEX(Staff_position[],MATCH(B67,Staff_Position_ID,0)))</f>
        <v>N/A</v>
      </c>
      <c r="D67" s="288" t="str">
        <f>IF($B67="N/A","N/A",INDEX(Staff_net_salary[],MATCH(B67,Staff_Position_ID,0)))</f>
        <v>N/A</v>
      </c>
      <c r="E67" s="85" t="str">
        <f t="shared" si="4"/>
        <v>N/A</v>
      </c>
      <c r="F67" s="86" t="str">
        <f t="shared" si="5"/>
        <v/>
      </c>
      <c r="G67" s="288" t="str">
        <f t="shared" si="6"/>
        <v/>
      </c>
    </row>
    <row r="68" spans="2:16">
      <c r="B68" s="71" t="str">
        <f t="array" ref="B68">IF(COUNTIFS(Position_Category,$C$48,INDEX(Staff_Position_Allocation,0,MATCH($C$49,Unit_codes,0)),"&gt;0")&lt;ROWS('2.3-Staff input'!$I$5:$I21),"N/A",INDEX('2.3-Staff input'!B:B,SMALL(IF((Position_Category=$C$48)+(INDEX(Staff_Position_Allocation,0,MATCH($C$49,Unit_codes,0))&gt;0)=2,ROW(Staff_Position_ID)),ROW('2.3-Staff input'!B17))))</f>
        <v>N/A</v>
      </c>
      <c r="C68" s="71" t="str">
        <f>IF($B68="N/A","N/A",INDEX(Staff_position[],MATCH(B68,Staff_Position_ID,0)))</f>
        <v>N/A</v>
      </c>
      <c r="D68" s="288" t="str">
        <f>IF($B68="N/A","N/A",INDEX(Staff_net_salary[],MATCH(B68,Staff_Position_ID,0)))</f>
        <v>N/A</v>
      </c>
      <c r="E68" s="85" t="str">
        <f t="shared" si="4"/>
        <v>N/A</v>
      </c>
      <c r="F68" s="86" t="str">
        <f t="shared" si="5"/>
        <v/>
      </c>
      <c r="G68" s="288" t="str">
        <f t="shared" si="6"/>
        <v/>
      </c>
    </row>
    <row r="69" spans="2:16">
      <c r="B69" s="71" t="str">
        <f t="array" ref="B69">IF(COUNTIFS(Position_Category,$C$48,INDEX(Staff_Position_Allocation,0,MATCH($C$49,Unit_codes,0)),"&gt;0")&lt;ROWS('2.3-Staff input'!$I$5:$I22),"N/A",INDEX('2.3-Staff input'!B:B,SMALL(IF((Position_Category=$C$48)+(INDEX(Staff_Position_Allocation,0,MATCH($C$49,Unit_codes,0))&gt;0)=2,ROW(Staff_Position_ID)),ROW('2.3-Staff input'!B18))))</f>
        <v>N/A</v>
      </c>
      <c r="C69" s="71" t="str">
        <f>IF($B69="N/A","N/A",INDEX(Staff_position[],MATCH(B69,Staff_Position_ID,0)))</f>
        <v>N/A</v>
      </c>
      <c r="D69" s="288" t="str">
        <f>IF($B69="N/A","N/A",INDEX(Staff_net_salary[],MATCH(B69,Staff_Position_ID,0)))</f>
        <v>N/A</v>
      </c>
      <c r="E69" s="85" t="str">
        <f t="shared" si="4"/>
        <v>N/A</v>
      </c>
      <c r="F69" s="86" t="str">
        <f t="shared" si="5"/>
        <v/>
      </c>
      <c r="G69" s="288" t="str">
        <f t="shared" si="6"/>
        <v/>
      </c>
    </row>
    <row r="70" spans="2:16">
      <c r="B70" s="71" t="str">
        <f t="array" ref="B70">IF(COUNTIFS(Position_Category,$C$48,INDEX(Staff_Position_Allocation,0,MATCH($C$49,Unit_codes,0)),"&gt;0")&lt;ROWS('2.3-Staff input'!$I$5:$I23),"N/A",INDEX('2.3-Staff input'!B:B,SMALL(IF((Position_Category=$C$48)+(INDEX(Staff_Position_Allocation,0,MATCH($C$49,Unit_codes,0))&gt;0)=2,ROW(Staff_Position_ID)),ROW('2.3-Staff input'!B19))))</f>
        <v>N/A</v>
      </c>
      <c r="C70" s="71" t="str">
        <f>IF($B70="N/A","N/A",INDEX(Staff_position[],MATCH(B70,Staff_Position_ID,0)))</f>
        <v>N/A</v>
      </c>
      <c r="D70" s="288" t="str">
        <f>IF($B70="N/A","N/A",INDEX(Staff_net_salary[],MATCH(B70,Staff_Position_ID,0)))</f>
        <v>N/A</v>
      </c>
      <c r="E70" s="85" t="str">
        <f t="shared" si="4"/>
        <v>N/A</v>
      </c>
      <c r="F70" s="86" t="str">
        <f t="shared" si="5"/>
        <v/>
      </c>
      <c r="G70" s="288" t="str">
        <f t="shared" si="6"/>
        <v/>
      </c>
    </row>
    <row r="71" spans="2:16">
      <c r="B71" s="71" t="str">
        <f t="array" ref="B71">IF(COUNTIFS(Position_Category,$C$48,INDEX(Staff_Position_Allocation,0,MATCH($C$49,Unit_codes,0)),"&gt;0")&lt;ROWS('2.3-Staff input'!$I$5:$I24),"N/A",INDEX('2.3-Staff input'!B:B,SMALL(IF((Position_Category=$C$48)+(INDEX(Staff_Position_Allocation,0,MATCH($C$49,Unit_codes,0))&gt;0)=2,ROW(Staff_Position_ID)),ROW('2.3-Staff input'!B20))))</f>
        <v>N/A</v>
      </c>
      <c r="C71" s="71" t="str">
        <f>IF($B71="N/A","N/A",INDEX(Staff_position[],MATCH(B71,Staff_Position_ID,0)))</f>
        <v>N/A</v>
      </c>
      <c r="D71" s="288" t="str">
        <f>IF($B71="N/A","N/A",INDEX(Staff_net_salary[],MATCH(B71,Staff_Position_ID,0)))</f>
        <v>N/A</v>
      </c>
      <c r="E71" s="85" t="str">
        <f t="shared" si="4"/>
        <v>N/A</v>
      </c>
      <c r="F71" s="86" t="str">
        <f t="shared" si="5"/>
        <v/>
      </c>
      <c r="G71" s="288" t="str">
        <f t="shared" si="6"/>
        <v/>
      </c>
    </row>
    <row r="72" spans="2:16">
      <c r="B72" s="71" t="str">
        <f t="array" ref="B72">IF(COUNTIFS(Position_Category,$C$48,INDEX(Staff_Position_Allocation,0,MATCH($C$49,Unit_codes,0)),"&gt;0")&lt;ROWS('2.3-Staff input'!$I$5:$I25),"N/A",INDEX('2.3-Staff input'!B:B,SMALL(IF((Position_Category=$C$48)+(INDEX(Staff_Position_Allocation,0,MATCH($C$49,Unit_codes,0))&gt;0)=2,ROW(Staff_Position_ID)),ROW('2.3-Staff input'!B21))))</f>
        <v>N/A</v>
      </c>
      <c r="C72" s="71" t="str">
        <f>IF($B72="N/A","N/A",INDEX(Staff_position[],MATCH(B72,Staff_Position_ID,0)))</f>
        <v>N/A</v>
      </c>
      <c r="D72" s="288" t="str">
        <f>IF($B72="N/A","N/A",INDEX(Staff_net_salary[],MATCH(B72,Staff_Position_ID,0)))</f>
        <v>N/A</v>
      </c>
      <c r="E72" s="85" t="str">
        <f t="shared" si="4"/>
        <v>N/A</v>
      </c>
      <c r="F72" s="86" t="str">
        <f t="shared" si="5"/>
        <v/>
      </c>
      <c r="G72" s="288" t="str">
        <f t="shared" si="6"/>
        <v/>
      </c>
    </row>
    <row r="73" spans="2:16">
      <c r="B73" s="71" t="str">
        <f t="array" ref="B73">IF(COUNTIFS(Position_Category,$C$48,INDEX(Staff_Position_Allocation,0,MATCH($C$49,Unit_codes,0)),"&gt;0")&lt;ROWS('2.3-Staff input'!$I$5:$I26),"N/A",INDEX('2.3-Staff input'!B:B,SMALL(IF((Position_Category=$C$48)+(INDEX(Staff_Position_Allocation,0,MATCH($C$49,Unit_codes,0))&gt;0)=2,ROW(Staff_Position_ID)),ROW('2.3-Staff input'!B22))))</f>
        <v>N/A</v>
      </c>
      <c r="C73" s="71" t="str">
        <f>IF($B73="N/A","N/A",INDEX(Staff_position[],MATCH(B73,Staff_Position_ID,0)))</f>
        <v>N/A</v>
      </c>
      <c r="D73" s="288" t="str">
        <f>IF($B73="N/A","N/A",INDEX(Staff_net_salary[],MATCH(B73,Staff_Position_ID,0)))</f>
        <v>N/A</v>
      </c>
      <c r="E73" s="85" t="str">
        <f t="shared" si="4"/>
        <v>N/A</v>
      </c>
      <c r="F73" s="86" t="str">
        <f t="shared" si="5"/>
        <v/>
      </c>
      <c r="G73" s="288" t="str">
        <f t="shared" si="6"/>
        <v/>
      </c>
    </row>
    <row r="74" spans="2:16">
      <c r="B74" s="71" t="str">
        <f t="array" ref="B74">IF(COUNTIFS(Position_Category,$C$48,INDEX(Staff_Position_Allocation,0,MATCH($C$49,Unit_codes,0)),"&gt;0")&lt;ROWS('2.3-Staff input'!$I$5:$I27),"N/A",INDEX('2.3-Staff input'!B:B,SMALL(IF((Position_Category=$C$48)+(INDEX(Staff_Position_Allocation,0,MATCH($C$49,Unit_codes,0))&gt;0)=2,ROW(Staff_Position_ID)),ROW('2.3-Staff input'!B23))))</f>
        <v>N/A</v>
      </c>
      <c r="C74" s="71" t="str">
        <f>IF($B74="N/A","N/A",INDEX(Staff_position[],MATCH(B74,Staff_Position_ID,0)))</f>
        <v>N/A</v>
      </c>
      <c r="D74" s="288" t="str">
        <f>IF($B74="N/A","N/A",INDEX(Staff_net_salary[],MATCH(B74,Staff_Position_ID,0)))</f>
        <v>N/A</v>
      </c>
      <c r="E74" s="85" t="str">
        <f t="shared" si="4"/>
        <v>N/A</v>
      </c>
      <c r="F74" s="86" t="str">
        <f t="shared" si="5"/>
        <v/>
      </c>
      <c r="G74" s="288" t="str">
        <f t="shared" si="6"/>
        <v/>
      </c>
    </row>
    <row r="75" spans="2:16" ht="15" thickBot="1">
      <c r="F75" s="143"/>
      <c r="G75" s="143"/>
    </row>
    <row r="76" spans="2:16" ht="29">
      <c r="B76" s="104" t="s">
        <v>81</v>
      </c>
      <c r="C76" s="105"/>
      <c r="D76" s="79"/>
      <c r="E76" s="79"/>
      <c r="F76" s="145" t="s">
        <v>84</v>
      </c>
      <c r="G76" s="306">
        <f>SUMIF(G83:G103,("&lt;&gt;N/A"),G83:G103)</f>
        <v>0</v>
      </c>
      <c r="H76" s="79"/>
      <c r="I76" s="79"/>
      <c r="J76" s="79"/>
      <c r="K76" s="79"/>
      <c r="L76" s="79"/>
      <c r="M76" s="79"/>
      <c r="N76" s="79"/>
      <c r="O76" s="79"/>
      <c r="P76" s="79"/>
    </row>
    <row r="77" spans="2:16" ht="15.5">
      <c r="B77" s="61" t="s">
        <v>78</v>
      </c>
    </row>
    <row r="78" spans="2:16" ht="15.5">
      <c r="B78" s="61" t="s">
        <v>79</v>
      </c>
    </row>
    <row r="79" spans="2:16">
      <c r="B79" s="98" t="s">
        <v>75</v>
      </c>
      <c r="C79" s="900" t="s">
        <v>67</v>
      </c>
      <c r="D79" s="900"/>
    </row>
    <row r="80" spans="2:16">
      <c r="B80" s="98" t="s">
        <v>76</v>
      </c>
      <c r="C80" s="900" t="s">
        <v>523</v>
      </c>
      <c r="D80" s="900"/>
    </row>
    <row r="82" spans="2:7" ht="15.5">
      <c r="B82" s="91" t="s">
        <v>220</v>
      </c>
      <c r="C82" s="91" t="s">
        <v>4</v>
      </c>
      <c r="D82" s="91" t="s">
        <v>77</v>
      </c>
      <c r="E82" s="92" t="s">
        <v>242</v>
      </c>
      <c r="F82" s="91" t="s">
        <v>119</v>
      </c>
      <c r="G82" s="91" t="s">
        <v>120</v>
      </c>
    </row>
    <row r="83" spans="2:7">
      <c r="B83" s="71" t="str">
        <f t="array" ref="B83">IF(COUNTIFS(Position_Category,$C$79,INDEX(Staff_Position_Allocation,0,MATCH($C$80,Unit_codes,0)),"&gt;0")&lt;ROWS('2.3-Staff input'!$I$5:$I5),"N/A",INDEX('2.3-Staff input'!B:B,SMALL(IF((Position_Category=$C$79)+(INDEX(Staff_Position_Allocation,0,MATCH($C$80,Unit_codes,0))&gt;0)=2,ROW(Staff_Position_ID)),ROW('2.3-Staff input'!B1))))</f>
        <v>N/A</v>
      </c>
      <c r="C83" s="71" t="str">
        <f>IF($B83="N/A","N/A",INDEX(Staff_position[],MATCH(B83,Staff_Position_ID,0)))</f>
        <v>N/A</v>
      </c>
      <c r="D83" s="288" t="str">
        <f>IF($B83="N/A","N/A",INDEX(Staff_net_salary[],MATCH(B83,Staff_Position_ID,0)))</f>
        <v>N/A</v>
      </c>
      <c r="E83" s="85" t="str">
        <f t="shared" ref="E83:E103" si="7">IF($B83="N/A","N/A",INDEX(Staff_number_of_employees,MATCH(B83,Staff_Position_ID,0)))</f>
        <v>N/A</v>
      </c>
      <c r="F83" s="86" t="str">
        <f t="shared" ref="F83:F103" si="8">IFERROR(INDEX(Staff_Position_Allocation,MATCH(B83,Staff_Position_ID),MATCH($C$80,Unit_codes,0)),"")</f>
        <v/>
      </c>
      <c r="G83" s="288" t="str">
        <f>IFERROR(D83*E83*F83,"")</f>
        <v/>
      </c>
    </row>
    <row r="84" spans="2:7">
      <c r="B84" s="71" t="str">
        <f t="array" ref="B84">IF(COUNTIFS(Position_Category,$C$79,INDEX(Staff_Position_Allocation,0,MATCH($C$80,Unit_codes,0)),"&gt;0")&lt;ROWS('2.3-Staff input'!$I$5:$I6),"N/A",INDEX('2.3-Staff input'!B:B,SMALL(IF((Position_Category=$C$79)+(INDEX(Staff_Position_Allocation,0,MATCH($C$80,Unit_codes,0))&gt;0)=2,ROW(Staff_Position_ID)),ROW('2.3-Staff input'!B2))))</f>
        <v>N/A</v>
      </c>
      <c r="C84" s="71" t="str">
        <f>IF($B84="N/A","N/A",INDEX(Staff_position[],MATCH(B84,Staff_Position_ID,0)))</f>
        <v>N/A</v>
      </c>
      <c r="D84" s="288" t="str">
        <f>IF($B84="N/A","N/A",INDEX(Staff_net_salary[],MATCH(B84,Staff_Position_ID,0)))</f>
        <v>N/A</v>
      </c>
      <c r="E84" s="85" t="str">
        <f t="shared" si="7"/>
        <v>N/A</v>
      </c>
      <c r="F84" s="86" t="str">
        <f t="shared" si="8"/>
        <v/>
      </c>
      <c r="G84" s="288" t="str">
        <f t="shared" ref="G84:G103" si="9">IFERROR(D84*E84*F84,"")</f>
        <v/>
      </c>
    </row>
    <row r="85" spans="2:7">
      <c r="B85" s="71" t="str">
        <f t="array" ref="B85">IF(COUNTIFS(Position_Category,$C$79,INDEX(Staff_Position_Allocation,0,MATCH($C$80,Unit_codes,0)),"&gt;0")&lt;ROWS('2.3-Staff input'!$I$5:$I7),"N/A",INDEX('2.3-Staff input'!B:B,SMALL(IF((Position_Category=$C$79)+(INDEX(Staff_Position_Allocation,0,MATCH($C$80,Unit_codes,0))&gt;0)=2,ROW(Staff_Position_ID)),ROW('2.3-Staff input'!B3))))</f>
        <v>N/A</v>
      </c>
      <c r="C85" s="71" t="str">
        <f>IF($B85="N/A","N/A",INDEX(Staff_position[],MATCH(B85,Staff_Position_ID,0)))</f>
        <v>N/A</v>
      </c>
      <c r="D85" s="288" t="str">
        <f>IF($B85="N/A","N/A",INDEX(Staff_net_salary[],MATCH(B85,Staff_Position_ID,0)))</f>
        <v>N/A</v>
      </c>
      <c r="E85" s="85" t="str">
        <f t="shared" si="7"/>
        <v>N/A</v>
      </c>
      <c r="F85" s="86" t="str">
        <f t="shared" si="8"/>
        <v/>
      </c>
      <c r="G85" s="288" t="str">
        <f t="shared" si="9"/>
        <v/>
      </c>
    </row>
    <row r="86" spans="2:7">
      <c r="B86" s="71" t="str">
        <f t="array" ref="B86">IF(COUNTIFS(Position_Category,$C$79,INDEX(Staff_Position_Allocation,0,MATCH($C$80,Unit_codes,0)),"&gt;0")&lt;ROWS('2.3-Staff input'!$I$5:$I8),"N/A",INDEX('2.3-Staff input'!B:B,SMALL(IF((Position_Category=$C$79)+(INDEX(Staff_Position_Allocation,0,MATCH($C$80,Unit_codes,0))&gt;0)=2,ROW(Staff_Position_ID)),ROW('2.3-Staff input'!B4))))</f>
        <v>N/A</v>
      </c>
      <c r="C86" s="71" t="str">
        <f>IF($B86="N/A","N/A",INDEX(Staff_position[],MATCH(B86,Staff_Position_ID,0)))</f>
        <v>N/A</v>
      </c>
      <c r="D86" s="288" t="str">
        <f>IF($B86="N/A","N/A",INDEX(Staff_net_salary[],MATCH(B86,Staff_Position_ID,0)))</f>
        <v>N/A</v>
      </c>
      <c r="E86" s="85" t="str">
        <f t="shared" si="7"/>
        <v>N/A</v>
      </c>
      <c r="F86" s="86" t="str">
        <f t="shared" si="8"/>
        <v/>
      </c>
      <c r="G86" s="288" t="str">
        <f t="shared" si="9"/>
        <v/>
      </c>
    </row>
    <row r="87" spans="2:7">
      <c r="B87" s="71" t="str">
        <f t="array" ref="B87">IF(COUNTIFS(Position_Category,$C$79,INDEX(Staff_Position_Allocation,0,MATCH($C$80,Unit_codes,0)),"&gt;0")&lt;ROWS('2.3-Staff input'!$I$5:$I9),"N/A",INDEX('2.3-Staff input'!B:B,SMALL(IF((Position_Category=$C$79)+(INDEX(Staff_Position_Allocation,0,MATCH($C$80,Unit_codes,0))&gt;0)=2,ROW(Staff_Position_ID)),ROW('2.3-Staff input'!B5))))</f>
        <v>N/A</v>
      </c>
      <c r="C87" s="71" t="str">
        <f>IF($B87="N/A","N/A",INDEX(Staff_position[],MATCH(B87,Staff_Position_ID,0)))</f>
        <v>N/A</v>
      </c>
      <c r="D87" s="288" t="str">
        <f>IF($B87="N/A","N/A",INDEX(Staff_net_salary[],MATCH(B87,Staff_Position_ID,0)))</f>
        <v>N/A</v>
      </c>
      <c r="E87" s="85" t="str">
        <f t="shared" si="7"/>
        <v>N/A</v>
      </c>
      <c r="F87" s="86" t="str">
        <f t="shared" si="8"/>
        <v/>
      </c>
      <c r="G87" s="288" t="str">
        <f t="shared" si="9"/>
        <v/>
      </c>
    </row>
    <row r="88" spans="2:7">
      <c r="B88" s="71" t="str">
        <f t="array" ref="B88">IF(COUNTIFS(Position_Category,$C$79,INDEX(Staff_Position_Allocation,0,MATCH($C$80,Unit_codes,0)),"&gt;0")&lt;ROWS('2.3-Staff input'!$I$5:$I10),"N/A",INDEX('2.3-Staff input'!B:B,SMALL(IF((Position_Category=$C$79)+(INDEX(Staff_Position_Allocation,0,MATCH($C$80,Unit_codes,0))&gt;0)=2,ROW(Staff_Position_ID)),ROW('2.3-Staff input'!B6))))</f>
        <v>N/A</v>
      </c>
      <c r="C88" s="71" t="str">
        <f>IF($B88="N/A","N/A",INDEX(Staff_position[],MATCH(B88,Staff_Position_ID,0)))</f>
        <v>N/A</v>
      </c>
      <c r="D88" s="288" t="str">
        <f>IF($B88="N/A","N/A",INDEX(Staff_net_salary[],MATCH(B88,Staff_Position_ID,0)))</f>
        <v>N/A</v>
      </c>
      <c r="E88" s="85" t="str">
        <f t="shared" si="7"/>
        <v>N/A</v>
      </c>
      <c r="F88" s="86" t="str">
        <f t="shared" si="8"/>
        <v/>
      </c>
      <c r="G88" s="288" t="str">
        <f t="shared" si="9"/>
        <v/>
      </c>
    </row>
    <row r="89" spans="2:7">
      <c r="B89" s="71" t="str">
        <f t="array" ref="B89">IF(COUNTIFS(Position_Category,$C$79,INDEX(Staff_Position_Allocation,0,MATCH($C$80,Unit_codes,0)),"&gt;0")&lt;ROWS('2.3-Staff input'!$I$5:$I11),"N/A",INDEX('2.3-Staff input'!B:B,SMALL(IF((Position_Category=$C$79)+(INDEX(Staff_Position_Allocation,0,MATCH($C$80,Unit_codes,0))&gt;0)=2,ROW(Staff_Position_ID)),ROW('2.3-Staff input'!B7))))</f>
        <v>N/A</v>
      </c>
      <c r="C89" s="71" t="str">
        <f>IF($B89="N/A","N/A",INDEX(Staff_position[],MATCH(B89,Staff_Position_ID,0)))</f>
        <v>N/A</v>
      </c>
      <c r="D89" s="288" t="str">
        <f>IF($B89="N/A","N/A",INDEX(Staff_net_salary[],MATCH(B89,Staff_Position_ID,0)))</f>
        <v>N/A</v>
      </c>
      <c r="E89" s="85" t="str">
        <f t="shared" si="7"/>
        <v>N/A</v>
      </c>
      <c r="F89" s="86" t="str">
        <f t="shared" si="8"/>
        <v/>
      </c>
      <c r="G89" s="288" t="str">
        <f t="shared" si="9"/>
        <v/>
      </c>
    </row>
    <row r="90" spans="2:7">
      <c r="B90" s="71" t="str">
        <f t="array" ref="B90">IF(COUNTIFS(Position_Category,$C$79,INDEX(Staff_Position_Allocation,0,MATCH($C$80,Unit_codes,0)),"&gt;0")&lt;ROWS('2.3-Staff input'!$I$5:$I12),"N/A",INDEX('2.3-Staff input'!B:B,SMALL(IF((Position_Category=$C$79)+(INDEX(Staff_Position_Allocation,0,MATCH($C$80,Unit_codes,0))&gt;0)=2,ROW(Staff_Position_ID)),ROW('2.3-Staff input'!B8))))</f>
        <v>N/A</v>
      </c>
      <c r="C90" s="71" t="str">
        <f>IF($B90="N/A","N/A",INDEX(Staff_position[],MATCH(B90,Staff_Position_ID,0)))</f>
        <v>N/A</v>
      </c>
      <c r="D90" s="288" t="str">
        <f>IF($B90="N/A","N/A",INDEX(Staff_net_salary[],MATCH(B90,Staff_Position_ID,0)))</f>
        <v>N/A</v>
      </c>
      <c r="E90" s="85" t="str">
        <f t="shared" si="7"/>
        <v>N/A</v>
      </c>
      <c r="F90" s="86" t="str">
        <f t="shared" si="8"/>
        <v/>
      </c>
      <c r="G90" s="288" t="str">
        <f t="shared" si="9"/>
        <v/>
      </c>
    </row>
    <row r="91" spans="2:7">
      <c r="B91" s="71" t="str">
        <f t="array" ref="B91">IF(COUNTIFS(Position_Category,$C$79,INDEX(Staff_Position_Allocation,0,MATCH($C$80,Unit_codes,0)),"&gt;0")&lt;ROWS('2.3-Staff input'!$I$5:$I13),"N/A",INDEX('2.3-Staff input'!B:B,SMALL(IF((Position_Category=$C$79)+(INDEX(Staff_Position_Allocation,0,MATCH($C$80,Unit_codes,0))&gt;0)=2,ROW(Staff_Position_ID)),ROW('2.3-Staff input'!B9))))</f>
        <v>N/A</v>
      </c>
      <c r="C91" s="71" t="str">
        <f>IF($B91="N/A","N/A",INDEX(Staff_position[],MATCH(B91,Staff_Position_ID,0)))</f>
        <v>N/A</v>
      </c>
      <c r="D91" s="288" t="str">
        <f>IF($B91="N/A","N/A",INDEX(Staff_net_salary[],MATCH(B91,Staff_Position_ID,0)))</f>
        <v>N/A</v>
      </c>
      <c r="E91" s="85" t="str">
        <f t="shared" si="7"/>
        <v>N/A</v>
      </c>
      <c r="F91" s="86" t="str">
        <f t="shared" si="8"/>
        <v/>
      </c>
      <c r="G91" s="288" t="str">
        <f t="shared" si="9"/>
        <v/>
      </c>
    </row>
    <row r="92" spans="2:7">
      <c r="B92" s="71" t="str">
        <f t="array" ref="B92">IF(COUNTIFS(Position_Category,$C$79,INDEX(Staff_Position_Allocation,0,MATCH($C$80,Unit_codes,0)),"&gt;0")&lt;ROWS('2.3-Staff input'!$I$5:$I14),"N/A",INDEX('2.3-Staff input'!B:B,SMALL(IF((Position_Category=$C$79)+(INDEX(Staff_Position_Allocation,0,MATCH($C$80,Unit_codes,0))&gt;0)=2,ROW(Staff_Position_ID)),ROW('2.3-Staff input'!B10))))</f>
        <v>N/A</v>
      </c>
      <c r="C92" s="71" t="str">
        <f>IF($B92="N/A","N/A",INDEX(Staff_position[],MATCH(B92,Staff_Position_ID,0)))</f>
        <v>N/A</v>
      </c>
      <c r="D92" s="288" t="str">
        <f>IF($B92="N/A","N/A",INDEX(Staff_net_salary[],MATCH(B92,Staff_Position_ID,0)))</f>
        <v>N/A</v>
      </c>
      <c r="E92" s="85" t="str">
        <f t="shared" si="7"/>
        <v>N/A</v>
      </c>
      <c r="F92" s="86" t="str">
        <f t="shared" si="8"/>
        <v/>
      </c>
      <c r="G92" s="288" t="str">
        <f t="shared" si="9"/>
        <v/>
      </c>
    </row>
    <row r="93" spans="2:7">
      <c r="B93" s="71" t="str">
        <f t="array" ref="B93">IF(COUNTIFS(Position_Category,$C$79,INDEX(Staff_Position_Allocation,0,MATCH($C$80,Unit_codes,0)),"&gt;0")&lt;ROWS('2.3-Staff input'!$I$5:$I15),"N/A",INDEX('2.3-Staff input'!B:B,SMALL(IF((Position_Category=$C$79)+(INDEX(Staff_Position_Allocation,0,MATCH($C$80,Unit_codes,0))&gt;0)=2,ROW(Staff_Position_ID)),ROW('2.3-Staff input'!B11))))</f>
        <v>N/A</v>
      </c>
      <c r="C93" s="71" t="str">
        <f>IF($B93="N/A","N/A",INDEX(Staff_position[],MATCH(B93,Staff_Position_ID,0)))</f>
        <v>N/A</v>
      </c>
      <c r="D93" s="288" t="str">
        <f>IF($B93="N/A","N/A",INDEX(Staff_net_salary[],MATCH(B93,Staff_Position_ID,0)))</f>
        <v>N/A</v>
      </c>
      <c r="E93" s="85" t="str">
        <f t="shared" si="7"/>
        <v>N/A</v>
      </c>
      <c r="F93" s="86" t="str">
        <f t="shared" si="8"/>
        <v/>
      </c>
      <c r="G93" s="288" t="str">
        <f t="shared" si="9"/>
        <v/>
      </c>
    </row>
    <row r="94" spans="2:7">
      <c r="B94" s="71" t="str">
        <f t="array" ref="B94">IF(COUNTIFS(Position_Category,$C$79,INDEX(Staff_Position_Allocation,0,MATCH($C$80,Unit_codes,0)),"&gt;0")&lt;ROWS('2.3-Staff input'!$I$5:$I16),"N/A",INDEX('2.3-Staff input'!B:B,SMALL(IF((Position_Category=$C$79)+(INDEX(Staff_Position_Allocation,0,MATCH($C$80,Unit_codes,0))&gt;0)=2,ROW(Staff_Position_ID)),ROW('2.3-Staff input'!B12))))</f>
        <v>N/A</v>
      </c>
      <c r="C94" s="71" t="str">
        <f>IF($B94="N/A","N/A",INDEX(Staff_position[],MATCH(B94,Staff_Position_ID,0)))</f>
        <v>N/A</v>
      </c>
      <c r="D94" s="288" t="str">
        <f>IF($B94="N/A","N/A",INDEX(Staff_net_salary[],MATCH(B94,Staff_Position_ID,0)))</f>
        <v>N/A</v>
      </c>
      <c r="E94" s="85" t="str">
        <f t="shared" si="7"/>
        <v>N/A</v>
      </c>
      <c r="F94" s="86" t="str">
        <f t="shared" si="8"/>
        <v/>
      </c>
      <c r="G94" s="288" t="str">
        <f t="shared" si="9"/>
        <v/>
      </c>
    </row>
    <row r="95" spans="2:7">
      <c r="B95" s="71" t="str">
        <f t="array" ref="B95">IF(COUNTIFS(Position_Category,$C$79,INDEX(Staff_Position_Allocation,0,MATCH($C$80,Unit_codes,0)),"&gt;0")&lt;ROWS('2.3-Staff input'!$I$5:$I17),"N/A",INDEX('2.3-Staff input'!B:B,SMALL(IF((Position_Category=$C$79)+(INDEX(Staff_Position_Allocation,0,MATCH($C$80,Unit_codes,0))&gt;0)=2,ROW(Staff_Position_ID)),ROW('2.3-Staff input'!B13))))</f>
        <v>N/A</v>
      </c>
      <c r="C95" s="71" t="str">
        <f>IF($B95="N/A","N/A",INDEX(Staff_position[],MATCH(B95,Staff_Position_ID,0)))</f>
        <v>N/A</v>
      </c>
      <c r="D95" s="288" t="str">
        <f>IF($B95="N/A","N/A",INDEX(Staff_net_salary[],MATCH(B95,Staff_Position_ID,0)))</f>
        <v>N/A</v>
      </c>
      <c r="E95" s="85" t="str">
        <f t="shared" si="7"/>
        <v>N/A</v>
      </c>
      <c r="F95" s="86" t="str">
        <f t="shared" si="8"/>
        <v/>
      </c>
      <c r="G95" s="288" t="str">
        <f t="shared" si="9"/>
        <v/>
      </c>
    </row>
    <row r="96" spans="2:7">
      <c r="B96" s="71" t="str">
        <f t="array" ref="B96">IF(COUNTIFS(Position_Category,$C$79,INDEX(Staff_Position_Allocation,0,MATCH($C$80,Unit_codes,0)),"&gt;0")&lt;ROWS('2.3-Staff input'!$I$5:$I18),"N/A",INDEX('2.3-Staff input'!B:B,SMALL(IF((Position_Category=$C$79)+(INDEX(Staff_Position_Allocation,0,MATCH($C$80,Unit_codes,0))&gt;0)=2,ROW(Staff_Position_ID)),ROW('2.3-Staff input'!B14))))</f>
        <v>N/A</v>
      </c>
      <c r="C96" s="71" t="str">
        <f>IF($B96="N/A","N/A",INDEX(Staff_position[],MATCH(B96,Staff_Position_ID,0)))</f>
        <v>N/A</v>
      </c>
      <c r="D96" s="288" t="str">
        <f>IF($B96="N/A","N/A",INDEX(Staff_net_salary[],MATCH(B96,Staff_Position_ID,0)))</f>
        <v>N/A</v>
      </c>
      <c r="E96" s="85" t="str">
        <f t="shared" si="7"/>
        <v>N/A</v>
      </c>
      <c r="F96" s="86" t="str">
        <f t="shared" si="8"/>
        <v/>
      </c>
      <c r="G96" s="288" t="str">
        <f t="shared" si="9"/>
        <v/>
      </c>
    </row>
    <row r="97" spans="2:16">
      <c r="B97" s="71" t="str">
        <f t="array" ref="B97">IF(COUNTIFS(Position_Category,$C$79,INDEX(Staff_Position_Allocation,0,MATCH($C$80,Unit_codes,0)),"&gt;0")&lt;ROWS('2.3-Staff input'!$I$5:$I19),"N/A",INDEX('2.3-Staff input'!B:B,SMALL(IF((Position_Category=$C$79)+(INDEX(Staff_Position_Allocation,0,MATCH($C$80,Unit_codes,0))&gt;0)=2,ROW(Staff_Position_ID)),ROW('2.3-Staff input'!B15))))</f>
        <v>N/A</v>
      </c>
      <c r="C97" s="71" t="str">
        <f>IF($B97="N/A","N/A",INDEX(Staff_position[],MATCH(B97,Staff_Position_ID,0)))</f>
        <v>N/A</v>
      </c>
      <c r="D97" s="288" t="str">
        <f>IF($B97="N/A","N/A",INDEX(Staff_net_salary[],MATCH(B97,Staff_Position_ID,0)))</f>
        <v>N/A</v>
      </c>
      <c r="E97" s="85" t="str">
        <f t="shared" si="7"/>
        <v>N/A</v>
      </c>
      <c r="F97" s="86" t="str">
        <f t="shared" si="8"/>
        <v/>
      </c>
      <c r="G97" s="288" t="str">
        <f t="shared" si="9"/>
        <v/>
      </c>
    </row>
    <row r="98" spans="2:16">
      <c r="B98" s="71" t="str">
        <f t="array" ref="B98">IF(COUNTIFS(Position_Category,$C$79,INDEX(Staff_Position_Allocation,0,MATCH($C$80,Unit_codes,0)),"&gt;0")&lt;ROWS('2.3-Staff input'!$I$5:$I20),"N/A",INDEX('2.3-Staff input'!B:B,SMALL(IF((Position_Category=$C$79)+(INDEX(Staff_Position_Allocation,0,MATCH($C$80,Unit_codes,0))&gt;0)=2,ROW(Staff_Position_ID)),ROW('2.3-Staff input'!B16))))</f>
        <v>N/A</v>
      </c>
      <c r="C98" s="71" t="str">
        <f>IF($B98="N/A","N/A",INDEX(Staff_position[],MATCH(B98,Staff_Position_ID,0)))</f>
        <v>N/A</v>
      </c>
      <c r="D98" s="288" t="str">
        <f>IF($B98="N/A","N/A",INDEX(Staff_net_salary[],MATCH(B98,Staff_Position_ID,0)))</f>
        <v>N/A</v>
      </c>
      <c r="E98" s="85" t="str">
        <f t="shared" si="7"/>
        <v>N/A</v>
      </c>
      <c r="F98" s="86" t="str">
        <f t="shared" si="8"/>
        <v/>
      </c>
      <c r="G98" s="288" t="str">
        <f t="shared" si="9"/>
        <v/>
      </c>
    </row>
    <row r="99" spans="2:16">
      <c r="B99" s="71" t="str">
        <f t="array" ref="B99">IF(COUNTIFS(Position_Category,$C$79,INDEX(Staff_Position_Allocation,0,MATCH($C$80,Unit_codes,0)),"&gt;0")&lt;ROWS('2.3-Staff input'!$I$5:$I21),"N/A",INDEX('2.3-Staff input'!B:B,SMALL(IF((Position_Category=$C$79)+(INDEX(Staff_Position_Allocation,0,MATCH($C$80,Unit_codes,0))&gt;0)=2,ROW(Staff_Position_ID)),ROW('2.3-Staff input'!B17))))</f>
        <v>N/A</v>
      </c>
      <c r="C99" s="71" t="str">
        <f>IF($B99="N/A","N/A",INDEX(Staff_position[],MATCH(B99,Staff_Position_ID,0)))</f>
        <v>N/A</v>
      </c>
      <c r="D99" s="288" t="str">
        <f>IF($B99="N/A","N/A",INDEX(Staff_net_salary[],MATCH(B99,Staff_Position_ID,0)))</f>
        <v>N/A</v>
      </c>
      <c r="E99" s="85" t="str">
        <f t="shared" si="7"/>
        <v>N/A</v>
      </c>
      <c r="F99" s="86" t="str">
        <f t="shared" si="8"/>
        <v/>
      </c>
      <c r="G99" s="288" t="str">
        <f t="shared" si="9"/>
        <v/>
      </c>
    </row>
    <row r="100" spans="2:16">
      <c r="B100" s="71" t="str">
        <f t="array" ref="B100">IF(COUNTIFS(Position_Category,$C$79,INDEX(Staff_Position_Allocation,0,MATCH($C$80,Unit_codes,0)),"&gt;0")&lt;ROWS('2.3-Staff input'!$I$5:$I22),"N/A",INDEX('2.3-Staff input'!B:B,SMALL(IF((Position_Category=$C$79)+(INDEX(Staff_Position_Allocation,0,MATCH($C$80,Unit_codes,0))&gt;0)=2,ROW(Staff_Position_ID)),ROW('2.3-Staff input'!B18))))</f>
        <v>N/A</v>
      </c>
      <c r="C100" s="71" t="str">
        <f>IF($B100="N/A","N/A",INDEX(Staff_position[],MATCH(B100,Staff_Position_ID,0)))</f>
        <v>N/A</v>
      </c>
      <c r="D100" s="288" t="str">
        <f>IF($B100="N/A","N/A",INDEX(Staff_net_salary[],MATCH(B100,Staff_Position_ID,0)))</f>
        <v>N/A</v>
      </c>
      <c r="E100" s="85" t="str">
        <f t="shared" si="7"/>
        <v>N/A</v>
      </c>
      <c r="F100" s="86" t="str">
        <f t="shared" si="8"/>
        <v/>
      </c>
      <c r="G100" s="288" t="str">
        <f t="shared" si="9"/>
        <v/>
      </c>
    </row>
    <row r="101" spans="2:16">
      <c r="B101" s="71" t="str">
        <f t="array" ref="B101">IF(COUNTIFS(Position_Category,$C$79,INDEX(Staff_Position_Allocation,0,MATCH($C$80,Unit_codes,0)),"&gt;0")&lt;ROWS('2.3-Staff input'!$I$5:$I23),"N/A",INDEX('2.3-Staff input'!B:B,SMALL(IF((Position_Category=$C$79)+(INDEX(Staff_Position_Allocation,0,MATCH($C$80,Unit_codes,0))&gt;0)=2,ROW(Staff_Position_ID)),ROW('2.3-Staff input'!B19))))</f>
        <v>N/A</v>
      </c>
      <c r="C101" s="71" t="str">
        <f>IF($B101="N/A","N/A",INDEX(Staff_position[],MATCH(B101,Staff_Position_ID,0)))</f>
        <v>N/A</v>
      </c>
      <c r="D101" s="288" t="str">
        <f>IF($B101="N/A","N/A",INDEX(Staff_net_salary[],MATCH(B101,Staff_Position_ID,0)))</f>
        <v>N/A</v>
      </c>
      <c r="E101" s="85" t="str">
        <f t="shared" si="7"/>
        <v>N/A</v>
      </c>
      <c r="F101" s="86" t="str">
        <f t="shared" si="8"/>
        <v/>
      </c>
      <c r="G101" s="288" t="str">
        <f t="shared" si="9"/>
        <v/>
      </c>
    </row>
    <row r="102" spans="2:16">
      <c r="B102" s="71" t="str">
        <f t="array" ref="B102">IF(COUNTIFS(Position_Category,$C$79,INDEX(Staff_Position_Allocation,0,MATCH($C$80,Unit_codes,0)),"&gt;0")&lt;ROWS('2.3-Staff input'!$I$5:$I24),"N/A",INDEX('2.3-Staff input'!B:B,SMALL(IF((Position_Category=$C$79)+(INDEX(Staff_Position_Allocation,0,MATCH($C$80,Unit_codes,0))&gt;0)=2,ROW(Staff_Position_ID)),ROW('2.3-Staff input'!B20))))</f>
        <v>N/A</v>
      </c>
      <c r="C102" s="71" t="str">
        <f>IF($B102="N/A","N/A",INDEX(Staff_position[],MATCH(B102,Staff_Position_ID,0)))</f>
        <v>N/A</v>
      </c>
      <c r="D102" s="288" t="str">
        <f>IF($B102="N/A","N/A",INDEX(Staff_net_salary[],MATCH(B102,Staff_Position_ID,0)))</f>
        <v>N/A</v>
      </c>
      <c r="E102" s="85" t="str">
        <f t="shared" si="7"/>
        <v>N/A</v>
      </c>
      <c r="F102" s="86" t="str">
        <f t="shared" si="8"/>
        <v/>
      </c>
      <c r="G102" s="288" t="str">
        <f t="shared" si="9"/>
        <v/>
      </c>
    </row>
    <row r="103" spans="2:16">
      <c r="B103" s="71" t="str">
        <f t="array" ref="B103">IF(COUNTIFS(Position_Category,$C$79,INDEX(Staff_Position_Allocation,0,MATCH($C$80,Unit_codes,0)),"&gt;0")&lt;ROWS('2.3-Staff input'!$I$5:$I25),"N/A",INDEX('2.3-Staff input'!B:B,SMALL(IF((Position_Category=$C$79)+(INDEX(Staff_Position_Allocation,0,MATCH($C$80,Unit_codes,0))&gt;0)=2,ROW(Staff_Position_ID)),ROW('2.3-Staff input'!B21))))</f>
        <v>N/A</v>
      </c>
      <c r="C103" s="71" t="str">
        <f>IF($B103="N/A","N/A",INDEX(Staff_position[],MATCH(B103,Staff_Position_ID,0)))</f>
        <v>N/A</v>
      </c>
      <c r="D103" s="288" t="str">
        <f>IF($B103="N/A","N/A",INDEX(Staff_net_salary[],MATCH(B103,Staff_Position_ID,0)))</f>
        <v>N/A</v>
      </c>
      <c r="E103" s="85" t="str">
        <f t="shared" si="7"/>
        <v>N/A</v>
      </c>
      <c r="F103" s="86" t="str">
        <f t="shared" si="8"/>
        <v/>
      </c>
      <c r="G103" s="288" t="str">
        <f t="shared" si="9"/>
        <v/>
      </c>
    </row>
    <row r="104" spans="2:16" ht="15" thickBot="1">
      <c r="E104" s="54"/>
      <c r="F104" s="54"/>
      <c r="G104" s="54"/>
      <c r="H104" s="54"/>
    </row>
    <row r="105" spans="2:16" ht="43.5">
      <c r="B105" s="2" t="s">
        <v>1</v>
      </c>
      <c r="C105" s="103"/>
      <c r="D105" s="51"/>
      <c r="F105" s="145" t="s">
        <v>151</v>
      </c>
      <c r="G105" s="306">
        <f>SUMIF(B110:B147,("&lt;&gt;N/A"),N110:N147)</f>
        <v>0</v>
      </c>
      <c r="H105" s="22"/>
      <c r="I105" s="51"/>
      <c r="J105" s="51"/>
      <c r="K105" s="51"/>
      <c r="L105" s="51"/>
      <c r="M105" s="51"/>
      <c r="N105" s="51"/>
      <c r="O105" s="51"/>
      <c r="P105" s="51"/>
    </row>
    <row r="106" spans="2:16" ht="15.5">
      <c r="B106" s="61" t="s">
        <v>80</v>
      </c>
    </row>
    <row r="107" spans="2:16">
      <c r="B107" s="98" t="s">
        <v>76</v>
      </c>
      <c r="C107" s="80" t="s">
        <v>523</v>
      </c>
    </row>
    <row r="109" spans="2:16" ht="46.5">
      <c r="B109" s="93" t="s">
        <v>82</v>
      </c>
      <c r="C109" s="93" t="s">
        <v>51</v>
      </c>
      <c r="D109" s="93" t="s">
        <v>150</v>
      </c>
      <c r="E109" s="93" t="s">
        <v>48</v>
      </c>
      <c r="F109" s="93" t="s">
        <v>502</v>
      </c>
      <c r="G109" s="93" t="s">
        <v>439</v>
      </c>
      <c r="H109" s="93" t="s">
        <v>503</v>
      </c>
      <c r="I109" s="93" t="s">
        <v>507</v>
      </c>
      <c r="J109" s="93" t="s">
        <v>504</v>
      </c>
      <c r="K109" s="93" t="s">
        <v>506</v>
      </c>
      <c r="L109" s="93" t="s">
        <v>505</v>
      </c>
      <c r="M109" s="93" t="s">
        <v>85</v>
      </c>
      <c r="N109" s="93" t="s">
        <v>152</v>
      </c>
      <c r="O109" s="93" t="s">
        <v>685</v>
      </c>
    </row>
    <row r="110" spans="2:16">
      <c r="B110" s="70" t="str">
        <f t="array" ref="B110">IF(COUNTIFS(INDEX(Equipment_Allocation_New,0,MATCH($C$107,Unit_codes,0)),"&gt;0")&lt;ROWS('2.2-Equipment input'!$X$8:$X8),"N/A",INDEX('2.2-Equipment input'!B:B,SMALL(IF(INDEX(Equipment_Allocation_New,0,MATCH($C$107,Unit_codes,0))&gt;0,ROW(equipment_ID)),ROW('2.2-Equipment input'!B1))))</f>
        <v>N/A</v>
      </c>
      <c r="C110" s="70" t="str">
        <f>IF($B110="N/A","N/A",INDEX(Equipment_name[],MATCH(B110,equipment_ID,0)))</f>
        <v>N/A</v>
      </c>
      <c r="D110" s="288" t="str">
        <f t="shared" ref="D110:D147" si="10">IF($B110="N/A","N/A",INDEX(Equipment_Depreciation,MATCH(B110,equipment_ID,0)))</f>
        <v>N/A</v>
      </c>
      <c r="E110" s="88" t="str">
        <f t="shared" ref="E110:E147" si="11">IF($B110="N/A","N/A",INDEX(Equipment_Quantity_New,MATCH(B110,equipment_ID,0)))</f>
        <v>N/A</v>
      </c>
      <c r="F110" s="130" t="str">
        <f>IF($B110="N/A","",IF(INDEX(Equipment_Utility_Decision,MATCH($B110,equipment_ID,0))='4.2-Settings Internal'!$B$30,INDEX(Equipment_Utility_Run,MATCH($B110,equipment_ID,0)),""))</f>
        <v/>
      </c>
      <c r="G110" s="130" t="str">
        <f>IF($B110="N/A","",IF(INDEX(Equipment_Utility_Decision,MATCH($B110,equipment_ID,0))='4.2-Settings Internal'!$B$30,INDEX(Equipment_Utility_Water,MATCH($B110,equipment_ID,0)),""))</f>
        <v/>
      </c>
      <c r="H110" s="288" t="str">
        <f t="shared" ref="H110:H147" si="12">IFERROR($E110*$F110*G110*$M110*General_Water_Price,"")</f>
        <v/>
      </c>
      <c r="I110" s="130" t="str">
        <f>IF($B110="N/A","",IF(INDEX(Equipment_Utility_Decision,MATCH($B110,equipment_ID,0))='4.2-Settings Internal'!$B$30,INDEX(Equipment_Utility_Electricity,MATCH($B110,equipment_ID,0)),""))</f>
        <v/>
      </c>
      <c r="J110" s="288" t="str">
        <f t="shared" ref="J110:J147" si="13">IFERROR($E110*$F110*I110*$M110*General_Electricity_Price,"")</f>
        <v/>
      </c>
      <c r="K110" s="130" t="str">
        <f>IF($B110="N/A","",IF(INDEX(Equipment_Utility_Decision,MATCH($B110,equipment_ID,0))=INDEX(Yes_No_Choice[],1),INDEX(Equipment_Utility_Fuel,MATCH($B110,equipment_ID,0)),""))</f>
        <v/>
      </c>
      <c r="L110" s="288" t="str">
        <f t="shared" ref="L110:L147" si="14">IFERROR($E110*$F110*$K110*$M110*INDEX(General_Utilities,MATCH(INDEX(Equipment_Utility_Fuel_Selection,MATCH($B110,equipment_ID,0)),General_Utilities_Type,0),4),"")</f>
        <v/>
      </c>
      <c r="M110" s="125" t="str">
        <f t="shared" ref="M110:M147" si="15">IFERROR(INDEX(Equipment_Allocation_New,MATCH(B110,equipment_ID,0),MATCH($C$107,Unit_codes,0)),"")</f>
        <v/>
      </c>
      <c r="N110" s="288" t="str">
        <f t="shared" ref="N110:N147" si="16">IFERROR($D110*E110*M110,"")</f>
        <v/>
      </c>
      <c r="O110" s="130" t="str">
        <f t="shared" ref="O110:O147" si="17">IF($B110="N/A","",IF(INDEX(Equipment_Space_Selection,MATCH(B110,equipment_ID,0))="Yes",INDEX(Equipment_Space_Footprint,MATCH(B110,equipment_ID,0))*INDEX(Equipment_Quantity_New,MATCH(B110,equipment_ID,0))*M110,""))</f>
        <v/>
      </c>
    </row>
    <row r="111" spans="2:16">
      <c r="B111" s="70" t="str">
        <f t="array" ref="B111">IF(COUNTIFS(INDEX(Equipment_Allocation_New,0,MATCH($C$107,Unit_codes,0)),"&gt;0")&lt;ROWS('2.2-Equipment input'!$X$8:$X9),"N/A",INDEX('2.2-Equipment input'!B:B,SMALL(IF(INDEX(Equipment_Allocation_New,0,MATCH($C$107,Unit_codes,0))&gt;0,ROW(equipment_ID)),ROW('2.2-Equipment input'!B2))))</f>
        <v>N/A</v>
      </c>
      <c r="C111" s="70" t="str">
        <f>IF($B111="N/A","N/A",INDEX(Equipment_name[],MATCH(B111,equipment_ID,0)))</f>
        <v>N/A</v>
      </c>
      <c r="D111" s="288" t="str">
        <f t="shared" si="10"/>
        <v>N/A</v>
      </c>
      <c r="E111" s="88" t="str">
        <f t="shared" si="11"/>
        <v>N/A</v>
      </c>
      <c r="F111" s="130" t="str">
        <f>IF($B111="N/A","",IF(INDEX(Equipment_Utility_Decision,MATCH($B111,equipment_ID,0))='4.2-Settings Internal'!$B$30,INDEX(Equipment_Utility_Run,MATCH($B111,equipment_ID,0)),""))</f>
        <v/>
      </c>
      <c r="G111" s="130" t="str">
        <f>IF($B111="N/A","",IF(INDEX(Equipment_Utility_Decision,MATCH($B111,equipment_ID,0))='4.2-Settings Internal'!$B$30,INDEX(Equipment_Utility_Water,MATCH($B111,equipment_ID,0)),""))</f>
        <v/>
      </c>
      <c r="H111" s="288" t="str">
        <f t="shared" si="12"/>
        <v/>
      </c>
      <c r="I111" s="130" t="str">
        <f>IF($B111="N/A","",IF(INDEX(Equipment_Utility_Decision,MATCH($B111,equipment_ID,0))='4.2-Settings Internal'!$B$30,INDEX(Equipment_Utility_Electricity,MATCH($B111,equipment_ID,0)),""))</f>
        <v/>
      </c>
      <c r="J111" s="288" t="str">
        <f t="shared" si="13"/>
        <v/>
      </c>
      <c r="K111" s="130" t="str">
        <f>IF($B111="N/A","",IF(INDEX(Equipment_Utility_Decision,MATCH($B111,equipment_ID,0))=INDEX(Yes_No_Choice[],1),INDEX(Equipment_Utility_Fuel,MATCH($B111,equipment_ID,0)),""))</f>
        <v/>
      </c>
      <c r="L111" s="288" t="str">
        <f t="shared" si="14"/>
        <v/>
      </c>
      <c r="M111" s="125" t="str">
        <f t="shared" si="15"/>
        <v/>
      </c>
      <c r="N111" s="288" t="str">
        <f t="shared" si="16"/>
        <v/>
      </c>
      <c r="O111" s="130" t="str">
        <f t="shared" si="17"/>
        <v/>
      </c>
    </row>
    <row r="112" spans="2:16">
      <c r="B112" s="70" t="str">
        <f t="array" ref="B112">IF(COUNTIFS(INDEX(Equipment_Allocation_New,0,MATCH($C$107,Unit_codes,0)),"&gt;0")&lt;ROWS('2.2-Equipment input'!$X$8:$X10),"N/A",INDEX('2.2-Equipment input'!B:B,SMALL(IF(INDEX(Equipment_Allocation_New,0,MATCH($C$107,Unit_codes,0))&gt;0,ROW(equipment_ID)),ROW('2.2-Equipment input'!B3))))</f>
        <v>N/A</v>
      </c>
      <c r="C112" s="70" t="str">
        <f>IF($B112="N/A","N/A",INDEX(Equipment_name[],MATCH(B112,equipment_ID,0)))</f>
        <v>N/A</v>
      </c>
      <c r="D112" s="288" t="str">
        <f t="shared" si="10"/>
        <v>N/A</v>
      </c>
      <c r="E112" s="88" t="str">
        <f t="shared" si="11"/>
        <v>N/A</v>
      </c>
      <c r="F112" s="130" t="str">
        <f>IF($B112="N/A","",IF(INDEX(Equipment_Utility_Decision,MATCH($B112,equipment_ID,0))='4.2-Settings Internal'!$B$30,INDEX(Equipment_Utility_Run,MATCH($B112,equipment_ID,0)),""))</f>
        <v/>
      </c>
      <c r="G112" s="130" t="str">
        <f>IF($B112="N/A","",IF(INDEX(Equipment_Utility_Decision,MATCH($B112,equipment_ID,0))='4.2-Settings Internal'!$B$30,INDEX(Equipment_Utility_Water,MATCH($B112,equipment_ID,0)),""))</f>
        <v/>
      </c>
      <c r="H112" s="288" t="str">
        <f t="shared" si="12"/>
        <v/>
      </c>
      <c r="I112" s="130" t="str">
        <f>IF($B112="N/A","",IF(INDEX(Equipment_Utility_Decision,MATCH($B112,equipment_ID,0))='4.2-Settings Internal'!$B$30,INDEX(Equipment_Utility_Electricity,MATCH($B112,equipment_ID,0)),""))</f>
        <v/>
      </c>
      <c r="J112" s="288" t="str">
        <f t="shared" si="13"/>
        <v/>
      </c>
      <c r="K112" s="130" t="str">
        <f>IF($B112="N/A","",IF(INDEX(Equipment_Utility_Decision,MATCH($B112,equipment_ID,0))=INDEX(Yes_No_Choice[],1),INDEX(Equipment_Utility_Fuel,MATCH($B112,equipment_ID,0)),""))</f>
        <v/>
      </c>
      <c r="L112" s="288" t="str">
        <f t="shared" si="14"/>
        <v/>
      </c>
      <c r="M112" s="125" t="str">
        <f t="shared" si="15"/>
        <v/>
      </c>
      <c r="N112" s="288" t="str">
        <f t="shared" si="16"/>
        <v/>
      </c>
      <c r="O112" s="130" t="str">
        <f t="shared" si="17"/>
        <v/>
      </c>
    </row>
    <row r="113" spans="2:15">
      <c r="B113" s="70" t="str">
        <f t="array" ref="B113">IF(COUNTIFS(INDEX(Equipment_Allocation_New,0,MATCH($C$107,Unit_codes,0)),"&gt;0")&lt;ROWS('2.2-Equipment input'!$X$8:$X11),"N/A",INDEX('2.2-Equipment input'!B:B,SMALL(IF(INDEX(Equipment_Allocation_New,0,MATCH($C$107,Unit_codes,0))&gt;0,ROW(equipment_ID)),ROW('2.2-Equipment input'!B4))))</f>
        <v>N/A</v>
      </c>
      <c r="C113" s="70" t="str">
        <f>IF($B113="N/A","N/A",INDEX(Equipment_name[],MATCH(B113,equipment_ID,0)))</f>
        <v>N/A</v>
      </c>
      <c r="D113" s="288" t="str">
        <f t="shared" si="10"/>
        <v>N/A</v>
      </c>
      <c r="E113" s="88" t="str">
        <f t="shared" si="11"/>
        <v>N/A</v>
      </c>
      <c r="F113" s="130" t="str">
        <f>IF($B113="N/A","",IF(INDEX(Equipment_Utility_Decision,MATCH($B113,equipment_ID,0))='4.2-Settings Internal'!$B$30,INDEX(Equipment_Utility_Run,MATCH($B113,equipment_ID,0)),""))</f>
        <v/>
      </c>
      <c r="G113" s="130" t="str">
        <f>IF($B113="N/A","",IF(INDEX(Equipment_Utility_Decision,MATCH($B113,equipment_ID,0))='4.2-Settings Internal'!$B$30,INDEX(Equipment_Utility_Water,MATCH($B113,equipment_ID,0)),""))</f>
        <v/>
      </c>
      <c r="H113" s="288" t="str">
        <f t="shared" si="12"/>
        <v/>
      </c>
      <c r="I113" s="130" t="str">
        <f>IF($B113="N/A","",IF(INDEX(Equipment_Utility_Decision,MATCH($B113,equipment_ID,0))='4.2-Settings Internal'!$B$30,INDEX(Equipment_Utility_Electricity,MATCH($B113,equipment_ID,0)),""))</f>
        <v/>
      </c>
      <c r="J113" s="288" t="str">
        <f t="shared" si="13"/>
        <v/>
      </c>
      <c r="K113" s="130" t="str">
        <f>IF($B113="N/A","",IF(INDEX(Equipment_Utility_Decision,MATCH($B113,equipment_ID,0))=INDEX(Yes_No_Choice[],1),INDEX(Equipment_Utility_Fuel,MATCH($B113,equipment_ID,0)),""))</f>
        <v/>
      </c>
      <c r="L113" s="288" t="str">
        <f t="shared" si="14"/>
        <v/>
      </c>
      <c r="M113" s="125" t="str">
        <f t="shared" si="15"/>
        <v/>
      </c>
      <c r="N113" s="288" t="str">
        <f t="shared" si="16"/>
        <v/>
      </c>
      <c r="O113" s="130" t="str">
        <f t="shared" si="17"/>
        <v/>
      </c>
    </row>
    <row r="114" spans="2:15">
      <c r="B114" s="70" t="str">
        <f t="array" ref="B114">IF(COUNTIFS(INDEX(Equipment_Allocation_New,0,MATCH($C$107,Unit_codes,0)),"&gt;0")&lt;ROWS('2.2-Equipment input'!$X$8:$X12),"N/A",INDEX('2.2-Equipment input'!B:B,SMALL(IF(INDEX(Equipment_Allocation_New,0,MATCH($C$107,Unit_codes,0))&gt;0,ROW(equipment_ID)),ROW('2.2-Equipment input'!B5))))</f>
        <v>N/A</v>
      </c>
      <c r="C114" s="70" t="str">
        <f>IF($B114="N/A","N/A",INDEX(Equipment_name[],MATCH(B114,equipment_ID,0)))</f>
        <v>N/A</v>
      </c>
      <c r="D114" s="288" t="str">
        <f t="shared" si="10"/>
        <v>N/A</v>
      </c>
      <c r="E114" s="88" t="str">
        <f t="shared" si="11"/>
        <v>N/A</v>
      </c>
      <c r="F114" s="130" t="str">
        <f>IF($B114="N/A","",IF(INDEX(Equipment_Utility_Decision,MATCH($B114,equipment_ID,0))='4.2-Settings Internal'!$B$30,INDEX(Equipment_Utility_Run,MATCH($B114,equipment_ID,0)),""))</f>
        <v/>
      </c>
      <c r="G114" s="130" t="str">
        <f>IF($B114="N/A","",IF(INDEX(Equipment_Utility_Decision,MATCH($B114,equipment_ID,0))='4.2-Settings Internal'!$B$30,INDEX(Equipment_Utility_Water,MATCH($B114,equipment_ID,0)),""))</f>
        <v/>
      </c>
      <c r="H114" s="288" t="str">
        <f t="shared" si="12"/>
        <v/>
      </c>
      <c r="I114" s="130" t="str">
        <f>IF($B114="N/A","",IF(INDEX(Equipment_Utility_Decision,MATCH($B114,equipment_ID,0))='4.2-Settings Internal'!$B$30,INDEX(Equipment_Utility_Electricity,MATCH($B114,equipment_ID,0)),""))</f>
        <v/>
      </c>
      <c r="J114" s="288" t="str">
        <f t="shared" si="13"/>
        <v/>
      </c>
      <c r="K114" s="130" t="str">
        <f>IF($B114="N/A","",IF(INDEX(Equipment_Utility_Decision,MATCH($B114,equipment_ID,0))=INDEX(Yes_No_Choice[],1),INDEX(Equipment_Utility_Fuel,MATCH($B114,equipment_ID,0)),""))</f>
        <v/>
      </c>
      <c r="L114" s="288" t="str">
        <f t="shared" si="14"/>
        <v/>
      </c>
      <c r="M114" s="125" t="str">
        <f t="shared" si="15"/>
        <v/>
      </c>
      <c r="N114" s="288" t="str">
        <f t="shared" si="16"/>
        <v/>
      </c>
      <c r="O114" s="130" t="str">
        <f t="shared" si="17"/>
        <v/>
      </c>
    </row>
    <row r="115" spans="2:15">
      <c r="B115" s="70" t="str">
        <f t="array" ref="B115">IF(COUNTIFS(INDEX(Equipment_Allocation_New,0,MATCH($C$107,Unit_codes,0)),"&gt;0")&lt;ROWS('2.2-Equipment input'!$X$8:$X13),"N/A",INDEX('2.2-Equipment input'!B:B,SMALL(IF(INDEX(Equipment_Allocation_New,0,MATCH($C$107,Unit_codes,0))&gt;0,ROW(equipment_ID)),ROW('2.2-Equipment input'!B6))))</f>
        <v>N/A</v>
      </c>
      <c r="C115" s="70" t="str">
        <f>IF($B115="N/A","N/A",INDEX(Equipment_name[],MATCH(B115,equipment_ID,0)))</f>
        <v>N/A</v>
      </c>
      <c r="D115" s="288" t="str">
        <f t="shared" si="10"/>
        <v>N/A</v>
      </c>
      <c r="E115" s="88" t="str">
        <f t="shared" si="11"/>
        <v>N/A</v>
      </c>
      <c r="F115" s="130" t="str">
        <f>IF($B115="N/A","",IF(INDEX(Equipment_Utility_Decision,MATCH($B115,equipment_ID,0))='4.2-Settings Internal'!$B$30,INDEX(Equipment_Utility_Run,MATCH($B115,equipment_ID,0)),""))</f>
        <v/>
      </c>
      <c r="G115" s="130" t="str">
        <f>IF($B115="N/A","",IF(INDEX(Equipment_Utility_Decision,MATCH($B115,equipment_ID,0))='4.2-Settings Internal'!$B$30,INDEX(Equipment_Utility_Water,MATCH($B115,equipment_ID,0)),""))</f>
        <v/>
      </c>
      <c r="H115" s="288" t="str">
        <f t="shared" si="12"/>
        <v/>
      </c>
      <c r="I115" s="130" t="str">
        <f>IF($B115="N/A","",IF(INDEX(Equipment_Utility_Decision,MATCH($B115,equipment_ID,0))='4.2-Settings Internal'!$B$30,INDEX(Equipment_Utility_Electricity,MATCH($B115,equipment_ID,0)),""))</f>
        <v/>
      </c>
      <c r="J115" s="288" t="str">
        <f t="shared" si="13"/>
        <v/>
      </c>
      <c r="K115" s="130" t="str">
        <f>IF($B115="N/A","",IF(INDEX(Equipment_Utility_Decision,MATCH($B115,equipment_ID,0))=INDEX(Yes_No_Choice[],1),INDEX(Equipment_Utility_Fuel,MATCH($B115,equipment_ID,0)),""))</f>
        <v/>
      </c>
      <c r="L115" s="288" t="str">
        <f t="shared" si="14"/>
        <v/>
      </c>
      <c r="M115" s="125" t="str">
        <f t="shared" si="15"/>
        <v/>
      </c>
      <c r="N115" s="288" t="str">
        <f t="shared" si="16"/>
        <v/>
      </c>
      <c r="O115" s="130" t="str">
        <f t="shared" si="17"/>
        <v/>
      </c>
    </row>
    <row r="116" spans="2:15">
      <c r="B116" s="70" t="str">
        <f t="array" ref="B116">IF(COUNTIFS(INDEX(Equipment_Allocation_New,0,MATCH($C$107,Unit_codes,0)),"&gt;0")&lt;ROWS('2.2-Equipment input'!$X$8:$X14),"N/A",INDEX('2.2-Equipment input'!B:B,SMALL(IF(INDEX(Equipment_Allocation_New,0,MATCH($C$107,Unit_codes,0))&gt;0,ROW(equipment_ID)),ROW('2.2-Equipment input'!B7))))</f>
        <v>N/A</v>
      </c>
      <c r="C116" s="70" t="str">
        <f>IF($B116="N/A","N/A",INDEX(Equipment_name[],MATCH(B116,equipment_ID,0)))</f>
        <v>N/A</v>
      </c>
      <c r="D116" s="288" t="str">
        <f t="shared" si="10"/>
        <v>N/A</v>
      </c>
      <c r="E116" s="88" t="str">
        <f t="shared" si="11"/>
        <v>N/A</v>
      </c>
      <c r="F116" s="130" t="str">
        <f>IF($B116="N/A","",IF(INDEX(Equipment_Utility_Decision,MATCH($B116,equipment_ID,0))='4.2-Settings Internal'!$B$30,INDEX(Equipment_Utility_Run,MATCH($B116,equipment_ID,0)),""))</f>
        <v/>
      </c>
      <c r="G116" s="130" t="str">
        <f>IF($B116="N/A","",IF(INDEX(Equipment_Utility_Decision,MATCH($B116,equipment_ID,0))='4.2-Settings Internal'!$B$30,INDEX(Equipment_Utility_Water,MATCH($B116,equipment_ID,0)),""))</f>
        <v/>
      </c>
      <c r="H116" s="288" t="str">
        <f t="shared" si="12"/>
        <v/>
      </c>
      <c r="I116" s="130" t="str">
        <f>IF($B116="N/A","",IF(INDEX(Equipment_Utility_Decision,MATCH($B116,equipment_ID,0))='4.2-Settings Internal'!$B$30,INDEX(Equipment_Utility_Electricity,MATCH($B116,equipment_ID,0)),""))</f>
        <v/>
      </c>
      <c r="J116" s="288" t="str">
        <f t="shared" si="13"/>
        <v/>
      </c>
      <c r="K116" s="130" t="str">
        <f>IF($B116="N/A","",IF(INDEX(Equipment_Utility_Decision,MATCH($B116,equipment_ID,0))=INDEX(Yes_No_Choice[],1),INDEX(Equipment_Utility_Fuel,MATCH($B116,equipment_ID,0)),""))</f>
        <v/>
      </c>
      <c r="L116" s="288" t="str">
        <f t="shared" si="14"/>
        <v/>
      </c>
      <c r="M116" s="125" t="str">
        <f t="shared" si="15"/>
        <v/>
      </c>
      <c r="N116" s="288" t="str">
        <f t="shared" si="16"/>
        <v/>
      </c>
      <c r="O116" s="130" t="str">
        <f t="shared" si="17"/>
        <v/>
      </c>
    </row>
    <row r="117" spans="2:15">
      <c r="B117" s="70" t="str">
        <f t="array" ref="B117">IF(COUNTIFS(INDEX(Equipment_Allocation_New,0,MATCH($C$107,Unit_codes,0)),"&gt;0")&lt;ROWS('2.2-Equipment input'!$X$8:$X15),"N/A",INDEX('2.2-Equipment input'!B:B,SMALL(IF(INDEX(Equipment_Allocation_New,0,MATCH($C$107,Unit_codes,0))&gt;0,ROW(equipment_ID)),ROW('2.2-Equipment input'!B8))))</f>
        <v>N/A</v>
      </c>
      <c r="C117" s="70" t="str">
        <f>IF($B117="N/A","N/A",INDEX(Equipment_name[],MATCH(B117,equipment_ID,0)))</f>
        <v>N/A</v>
      </c>
      <c r="D117" s="288" t="str">
        <f t="shared" si="10"/>
        <v>N/A</v>
      </c>
      <c r="E117" s="88" t="str">
        <f t="shared" si="11"/>
        <v>N/A</v>
      </c>
      <c r="F117" s="130" t="str">
        <f>IF($B117="N/A","",IF(INDEX(Equipment_Utility_Decision,MATCH($B117,equipment_ID,0))='4.2-Settings Internal'!$B$30,INDEX(Equipment_Utility_Run,MATCH($B117,equipment_ID,0)),""))</f>
        <v/>
      </c>
      <c r="G117" s="130" t="str">
        <f>IF($B117="N/A","",IF(INDEX(Equipment_Utility_Decision,MATCH($B117,equipment_ID,0))='4.2-Settings Internal'!$B$30,INDEX(Equipment_Utility_Water,MATCH($B117,equipment_ID,0)),""))</f>
        <v/>
      </c>
      <c r="H117" s="288" t="str">
        <f t="shared" si="12"/>
        <v/>
      </c>
      <c r="I117" s="130" t="str">
        <f>IF($B117="N/A","",IF(INDEX(Equipment_Utility_Decision,MATCH($B117,equipment_ID,0))='4.2-Settings Internal'!$B$30,INDEX(Equipment_Utility_Electricity,MATCH($B117,equipment_ID,0)),""))</f>
        <v/>
      </c>
      <c r="J117" s="288" t="str">
        <f t="shared" si="13"/>
        <v/>
      </c>
      <c r="K117" s="130" t="str">
        <f>IF($B117="N/A","",IF(INDEX(Equipment_Utility_Decision,MATCH($B117,equipment_ID,0))=INDEX(Yes_No_Choice[],1),INDEX(Equipment_Utility_Fuel,MATCH($B117,equipment_ID,0)),""))</f>
        <v/>
      </c>
      <c r="L117" s="288" t="str">
        <f t="shared" si="14"/>
        <v/>
      </c>
      <c r="M117" s="125" t="str">
        <f t="shared" si="15"/>
        <v/>
      </c>
      <c r="N117" s="288" t="str">
        <f t="shared" si="16"/>
        <v/>
      </c>
      <c r="O117" s="130" t="str">
        <f t="shared" si="17"/>
        <v/>
      </c>
    </row>
    <row r="118" spans="2:15">
      <c r="B118" s="70" t="str">
        <f t="array" ref="B118">IF(COUNTIFS(INDEX(Equipment_Allocation_New,0,MATCH($C$107,Unit_codes,0)),"&gt;0")&lt;ROWS('2.2-Equipment input'!$X$8:$X16),"N/A",INDEX('2.2-Equipment input'!B:B,SMALL(IF(INDEX(Equipment_Allocation_New,0,MATCH($C$107,Unit_codes,0))&gt;0,ROW(equipment_ID)),ROW('2.2-Equipment input'!B9))))</f>
        <v>N/A</v>
      </c>
      <c r="C118" s="70" t="str">
        <f>IF($B118="N/A","N/A",INDEX(Equipment_name[],MATCH(B118,equipment_ID,0)))</f>
        <v>N/A</v>
      </c>
      <c r="D118" s="288" t="str">
        <f t="shared" si="10"/>
        <v>N/A</v>
      </c>
      <c r="E118" s="88" t="str">
        <f t="shared" si="11"/>
        <v>N/A</v>
      </c>
      <c r="F118" s="130" t="str">
        <f>IF($B118="N/A","",IF(INDEX(Equipment_Utility_Decision,MATCH($B118,equipment_ID,0))='4.2-Settings Internal'!$B$30,INDEX(Equipment_Utility_Run,MATCH($B118,equipment_ID,0)),""))</f>
        <v/>
      </c>
      <c r="G118" s="130" t="str">
        <f>IF($B118="N/A","",IF(INDEX(Equipment_Utility_Decision,MATCH($B118,equipment_ID,0))='4.2-Settings Internal'!$B$30,INDEX(Equipment_Utility_Water,MATCH($B118,equipment_ID,0)),""))</f>
        <v/>
      </c>
      <c r="H118" s="288" t="str">
        <f t="shared" si="12"/>
        <v/>
      </c>
      <c r="I118" s="130" t="str">
        <f>IF($B118="N/A","",IF(INDEX(Equipment_Utility_Decision,MATCH($B118,equipment_ID,0))='4.2-Settings Internal'!$B$30,INDEX(Equipment_Utility_Electricity,MATCH($B118,equipment_ID,0)),""))</f>
        <v/>
      </c>
      <c r="J118" s="288" t="str">
        <f t="shared" si="13"/>
        <v/>
      </c>
      <c r="K118" s="130" t="str">
        <f>IF($B118="N/A","",IF(INDEX(Equipment_Utility_Decision,MATCH($B118,equipment_ID,0))=INDEX(Yes_No_Choice[],1),INDEX(Equipment_Utility_Fuel,MATCH($B118,equipment_ID,0)),""))</f>
        <v/>
      </c>
      <c r="L118" s="288" t="str">
        <f t="shared" si="14"/>
        <v/>
      </c>
      <c r="M118" s="125" t="str">
        <f t="shared" si="15"/>
        <v/>
      </c>
      <c r="N118" s="288" t="str">
        <f t="shared" si="16"/>
        <v/>
      </c>
      <c r="O118" s="130" t="str">
        <f t="shared" si="17"/>
        <v/>
      </c>
    </row>
    <row r="119" spans="2:15">
      <c r="B119" s="70" t="str">
        <f t="array" ref="B119">IF(COUNTIFS(INDEX(Equipment_Allocation_New,0,MATCH($C$107,Unit_codes,0)),"&gt;0")&lt;ROWS('2.2-Equipment input'!$X$8:$X17),"N/A",INDEX('2.2-Equipment input'!B:B,SMALL(IF(INDEX(Equipment_Allocation_New,0,MATCH($C$107,Unit_codes,0))&gt;0,ROW(equipment_ID)),ROW('2.2-Equipment input'!B10))))</f>
        <v>N/A</v>
      </c>
      <c r="C119" s="70" t="str">
        <f>IF($B119="N/A","N/A",INDEX(Equipment_name[],MATCH(B119,equipment_ID,0)))</f>
        <v>N/A</v>
      </c>
      <c r="D119" s="288" t="str">
        <f t="shared" si="10"/>
        <v>N/A</v>
      </c>
      <c r="E119" s="88" t="str">
        <f t="shared" si="11"/>
        <v>N/A</v>
      </c>
      <c r="F119" s="130" t="str">
        <f>IF($B119="N/A","",IF(INDEX(Equipment_Utility_Decision,MATCH($B119,equipment_ID,0))='4.2-Settings Internal'!$B$30,INDEX(Equipment_Utility_Run,MATCH($B119,equipment_ID,0)),""))</f>
        <v/>
      </c>
      <c r="G119" s="130" t="str">
        <f>IF($B119="N/A","",IF(INDEX(Equipment_Utility_Decision,MATCH($B119,equipment_ID,0))='4.2-Settings Internal'!$B$30,INDEX(Equipment_Utility_Water,MATCH($B119,equipment_ID,0)),""))</f>
        <v/>
      </c>
      <c r="H119" s="288" t="str">
        <f t="shared" si="12"/>
        <v/>
      </c>
      <c r="I119" s="130" t="str">
        <f>IF($B119="N/A","",IF(INDEX(Equipment_Utility_Decision,MATCH($B119,equipment_ID,0))='4.2-Settings Internal'!$B$30,INDEX(Equipment_Utility_Electricity,MATCH($B119,equipment_ID,0)),""))</f>
        <v/>
      </c>
      <c r="J119" s="288" t="str">
        <f t="shared" si="13"/>
        <v/>
      </c>
      <c r="K119" s="130" t="str">
        <f>IF($B119="N/A","",IF(INDEX(Equipment_Utility_Decision,MATCH($B119,equipment_ID,0))=INDEX(Yes_No_Choice[],1),INDEX(Equipment_Utility_Fuel,MATCH($B119,equipment_ID,0)),""))</f>
        <v/>
      </c>
      <c r="L119" s="288" t="str">
        <f t="shared" si="14"/>
        <v/>
      </c>
      <c r="M119" s="125" t="str">
        <f t="shared" si="15"/>
        <v/>
      </c>
      <c r="N119" s="288" t="str">
        <f t="shared" si="16"/>
        <v/>
      </c>
      <c r="O119" s="130" t="str">
        <f t="shared" si="17"/>
        <v/>
      </c>
    </row>
    <row r="120" spans="2:15">
      <c r="B120" s="70" t="str">
        <f t="array" ref="B120">IF(COUNTIFS(INDEX(Equipment_Allocation_New,0,MATCH($C$107,Unit_codes,0)),"&gt;0")&lt;ROWS('2.2-Equipment input'!$X$8:$X18),"N/A",INDEX('2.2-Equipment input'!B:B,SMALL(IF(INDEX(Equipment_Allocation_New,0,MATCH($C$107,Unit_codes,0))&gt;0,ROW(equipment_ID)),ROW('2.2-Equipment input'!B11))))</f>
        <v>N/A</v>
      </c>
      <c r="C120" s="70" t="str">
        <f>IF($B120="N/A","N/A",INDEX(Equipment_name[],MATCH(B120,equipment_ID,0)))</f>
        <v>N/A</v>
      </c>
      <c r="D120" s="288" t="str">
        <f t="shared" si="10"/>
        <v>N/A</v>
      </c>
      <c r="E120" s="88" t="str">
        <f t="shared" si="11"/>
        <v>N/A</v>
      </c>
      <c r="F120" s="130" t="str">
        <f>IF($B120="N/A","",IF(INDEX(Equipment_Utility_Decision,MATCH($B120,equipment_ID,0))='4.2-Settings Internal'!$B$30,INDEX(Equipment_Utility_Run,MATCH($B120,equipment_ID,0)),""))</f>
        <v/>
      </c>
      <c r="G120" s="130" t="str">
        <f>IF($B120="N/A","",IF(INDEX(Equipment_Utility_Decision,MATCH($B120,equipment_ID,0))='4.2-Settings Internal'!$B$30,INDEX(Equipment_Utility_Water,MATCH($B120,equipment_ID,0)),""))</f>
        <v/>
      </c>
      <c r="H120" s="288" t="str">
        <f t="shared" si="12"/>
        <v/>
      </c>
      <c r="I120" s="130" t="str">
        <f>IF($B120="N/A","",IF(INDEX(Equipment_Utility_Decision,MATCH($B120,equipment_ID,0))='4.2-Settings Internal'!$B$30,INDEX(Equipment_Utility_Electricity,MATCH($B120,equipment_ID,0)),""))</f>
        <v/>
      </c>
      <c r="J120" s="288" t="str">
        <f t="shared" si="13"/>
        <v/>
      </c>
      <c r="K120" s="130" t="str">
        <f>IF($B120="N/A","",IF(INDEX(Equipment_Utility_Decision,MATCH($B120,equipment_ID,0))=INDEX(Yes_No_Choice[],1),INDEX(Equipment_Utility_Fuel,MATCH($B120,equipment_ID,0)),""))</f>
        <v/>
      </c>
      <c r="L120" s="288" t="str">
        <f t="shared" si="14"/>
        <v/>
      </c>
      <c r="M120" s="125" t="str">
        <f t="shared" si="15"/>
        <v/>
      </c>
      <c r="N120" s="288" t="str">
        <f t="shared" si="16"/>
        <v/>
      </c>
      <c r="O120" s="130" t="str">
        <f t="shared" si="17"/>
        <v/>
      </c>
    </row>
    <row r="121" spans="2:15">
      <c r="B121" s="70" t="str">
        <f t="array" ref="B121">IF(COUNTIFS(INDEX(Equipment_Allocation_New,0,MATCH($C$107,Unit_codes,0)),"&gt;0")&lt;ROWS('2.2-Equipment input'!$X$8:$X19),"N/A",INDEX('2.2-Equipment input'!B:B,SMALL(IF(INDEX(Equipment_Allocation_New,0,MATCH($C$107,Unit_codes,0))&gt;0,ROW(equipment_ID)),ROW('2.2-Equipment input'!B12))))</f>
        <v>N/A</v>
      </c>
      <c r="C121" s="70" t="str">
        <f>IF($B121="N/A","N/A",INDEX(Equipment_name[],MATCH(B121,equipment_ID,0)))</f>
        <v>N/A</v>
      </c>
      <c r="D121" s="288" t="str">
        <f t="shared" si="10"/>
        <v>N/A</v>
      </c>
      <c r="E121" s="88" t="str">
        <f t="shared" si="11"/>
        <v>N/A</v>
      </c>
      <c r="F121" s="130" t="str">
        <f>IF($B121="N/A","",IF(INDEX(Equipment_Utility_Decision,MATCH($B121,equipment_ID,0))='4.2-Settings Internal'!$B$30,INDEX(Equipment_Utility_Run,MATCH($B121,equipment_ID,0)),""))</f>
        <v/>
      </c>
      <c r="G121" s="130" t="str">
        <f>IF($B121="N/A","",IF(INDEX(Equipment_Utility_Decision,MATCH($B121,equipment_ID,0))='4.2-Settings Internal'!$B$30,INDEX(Equipment_Utility_Water,MATCH($B121,equipment_ID,0)),""))</f>
        <v/>
      </c>
      <c r="H121" s="288" t="str">
        <f t="shared" si="12"/>
        <v/>
      </c>
      <c r="I121" s="130" t="str">
        <f>IF($B121="N/A","",IF(INDEX(Equipment_Utility_Decision,MATCH($B121,equipment_ID,0))='4.2-Settings Internal'!$B$30,INDEX(Equipment_Utility_Electricity,MATCH($B121,equipment_ID,0)),""))</f>
        <v/>
      </c>
      <c r="J121" s="288" t="str">
        <f t="shared" si="13"/>
        <v/>
      </c>
      <c r="K121" s="130" t="str">
        <f>IF($B121="N/A","",IF(INDEX(Equipment_Utility_Decision,MATCH($B121,equipment_ID,0))=INDEX(Yes_No_Choice[],1),INDEX(Equipment_Utility_Fuel,MATCH($B121,equipment_ID,0)),""))</f>
        <v/>
      </c>
      <c r="L121" s="288" t="str">
        <f t="shared" si="14"/>
        <v/>
      </c>
      <c r="M121" s="125" t="str">
        <f t="shared" si="15"/>
        <v/>
      </c>
      <c r="N121" s="288" t="str">
        <f t="shared" si="16"/>
        <v/>
      </c>
      <c r="O121" s="130" t="str">
        <f t="shared" si="17"/>
        <v/>
      </c>
    </row>
    <row r="122" spans="2:15">
      <c r="B122" s="70" t="str">
        <f t="array" ref="B122">IF(COUNTIFS(INDEX(Equipment_Allocation_New,0,MATCH($C$107,Unit_codes,0)),"&gt;0")&lt;ROWS('2.2-Equipment input'!$X$8:$X20),"N/A",INDEX('2.2-Equipment input'!B:B,SMALL(IF(INDEX(Equipment_Allocation_New,0,MATCH($C$107,Unit_codes,0))&gt;0,ROW(equipment_ID)),ROW('2.2-Equipment input'!B13))))</f>
        <v>N/A</v>
      </c>
      <c r="C122" s="70" t="str">
        <f>IF($B122="N/A","N/A",INDEX(Equipment_name[],MATCH(B122,equipment_ID,0)))</f>
        <v>N/A</v>
      </c>
      <c r="D122" s="288" t="str">
        <f t="shared" si="10"/>
        <v>N/A</v>
      </c>
      <c r="E122" s="88" t="str">
        <f t="shared" si="11"/>
        <v>N/A</v>
      </c>
      <c r="F122" s="130" t="str">
        <f>IF($B122="N/A","",IF(INDEX(Equipment_Utility_Decision,MATCH($B122,equipment_ID,0))='4.2-Settings Internal'!$B$30,INDEX(Equipment_Utility_Run,MATCH($B122,equipment_ID,0)),""))</f>
        <v/>
      </c>
      <c r="G122" s="130" t="str">
        <f>IF($B122="N/A","",IF(INDEX(Equipment_Utility_Decision,MATCH($B122,equipment_ID,0))='4.2-Settings Internal'!$B$30,INDEX(Equipment_Utility_Water,MATCH($B122,equipment_ID,0)),""))</f>
        <v/>
      </c>
      <c r="H122" s="288" t="str">
        <f t="shared" si="12"/>
        <v/>
      </c>
      <c r="I122" s="130" t="str">
        <f>IF($B122="N/A","",IF(INDEX(Equipment_Utility_Decision,MATCH($B122,equipment_ID,0))='4.2-Settings Internal'!$B$30,INDEX(Equipment_Utility_Electricity,MATCH($B122,equipment_ID,0)),""))</f>
        <v/>
      </c>
      <c r="J122" s="288" t="str">
        <f t="shared" si="13"/>
        <v/>
      </c>
      <c r="K122" s="130" t="str">
        <f>IF($B122="N/A","",IF(INDEX(Equipment_Utility_Decision,MATCH($B122,equipment_ID,0))=INDEX(Yes_No_Choice[],1),INDEX(Equipment_Utility_Fuel,MATCH($B122,equipment_ID,0)),""))</f>
        <v/>
      </c>
      <c r="L122" s="288" t="str">
        <f t="shared" si="14"/>
        <v/>
      </c>
      <c r="M122" s="125" t="str">
        <f t="shared" si="15"/>
        <v/>
      </c>
      <c r="N122" s="288" t="str">
        <f t="shared" si="16"/>
        <v/>
      </c>
      <c r="O122" s="130" t="str">
        <f t="shared" si="17"/>
        <v/>
      </c>
    </row>
    <row r="123" spans="2:15">
      <c r="B123" s="70" t="str">
        <f t="array" ref="B123">IF(COUNTIFS(INDEX(Equipment_Allocation_New,0,MATCH($C$107,Unit_codes,0)),"&gt;0")&lt;ROWS('2.2-Equipment input'!$X$8:$X21),"N/A",INDEX('2.2-Equipment input'!B:B,SMALL(IF(INDEX(Equipment_Allocation_New,0,MATCH($C$107,Unit_codes,0))&gt;0,ROW(equipment_ID)),ROW('2.2-Equipment input'!B14))))</f>
        <v>N/A</v>
      </c>
      <c r="C123" s="70" t="str">
        <f>IF($B123="N/A","N/A",INDEX(Equipment_name[],MATCH(B123,equipment_ID,0)))</f>
        <v>N/A</v>
      </c>
      <c r="D123" s="288" t="str">
        <f t="shared" si="10"/>
        <v>N/A</v>
      </c>
      <c r="E123" s="88" t="str">
        <f t="shared" si="11"/>
        <v>N/A</v>
      </c>
      <c r="F123" s="130" t="str">
        <f>IF($B123="N/A","",IF(INDEX(Equipment_Utility_Decision,MATCH($B123,equipment_ID,0))='4.2-Settings Internal'!$B$30,INDEX(Equipment_Utility_Run,MATCH($B123,equipment_ID,0)),""))</f>
        <v/>
      </c>
      <c r="G123" s="130" t="str">
        <f>IF($B123="N/A","",IF(INDEX(Equipment_Utility_Decision,MATCH($B123,equipment_ID,0))='4.2-Settings Internal'!$B$30,INDEX(Equipment_Utility_Water,MATCH($B123,equipment_ID,0)),""))</f>
        <v/>
      </c>
      <c r="H123" s="288" t="str">
        <f t="shared" si="12"/>
        <v/>
      </c>
      <c r="I123" s="130" t="str">
        <f>IF($B123="N/A","",IF(INDEX(Equipment_Utility_Decision,MATCH($B123,equipment_ID,0))='4.2-Settings Internal'!$B$30,INDEX(Equipment_Utility_Electricity,MATCH($B123,equipment_ID,0)),""))</f>
        <v/>
      </c>
      <c r="J123" s="288" t="str">
        <f t="shared" si="13"/>
        <v/>
      </c>
      <c r="K123" s="130" t="str">
        <f>IF($B123="N/A","",IF(INDEX(Equipment_Utility_Decision,MATCH($B123,equipment_ID,0))=INDEX(Yes_No_Choice[],1),INDEX(Equipment_Utility_Fuel,MATCH($B123,equipment_ID,0)),""))</f>
        <v/>
      </c>
      <c r="L123" s="288" t="str">
        <f t="shared" si="14"/>
        <v/>
      </c>
      <c r="M123" s="125" t="str">
        <f t="shared" si="15"/>
        <v/>
      </c>
      <c r="N123" s="288" t="str">
        <f t="shared" si="16"/>
        <v/>
      </c>
      <c r="O123" s="130" t="str">
        <f t="shared" si="17"/>
        <v/>
      </c>
    </row>
    <row r="124" spans="2:15">
      <c r="B124" s="70" t="str">
        <f t="array" ref="B124">IF(COUNTIFS(INDEX(Equipment_Allocation_New,0,MATCH($C$107,Unit_codes,0)),"&gt;0")&lt;ROWS('2.2-Equipment input'!$X$8:$X22),"N/A",INDEX('2.2-Equipment input'!B:B,SMALL(IF(INDEX(Equipment_Allocation_New,0,MATCH($C$107,Unit_codes,0))&gt;0,ROW(equipment_ID)),ROW('2.2-Equipment input'!B15))))</f>
        <v>N/A</v>
      </c>
      <c r="C124" s="70" t="str">
        <f>IF($B124="N/A","N/A",INDEX(Equipment_name[],MATCH(B124,equipment_ID,0)))</f>
        <v>N/A</v>
      </c>
      <c r="D124" s="288" t="str">
        <f t="shared" si="10"/>
        <v>N/A</v>
      </c>
      <c r="E124" s="88" t="str">
        <f t="shared" si="11"/>
        <v>N/A</v>
      </c>
      <c r="F124" s="130" t="str">
        <f>IF($B124="N/A","",IF(INDEX(Equipment_Utility_Decision,MATCH($B124,equipment_ID,0))='4.2-Settings Internal'!$B$30,INDEX(Equipment_Utility_Run,MATCH($B124,equipment_ID,0)),""))</f>
        <v/>
      </c>
      <c r="G124" s="130" t="str">
        <f>IF($B124="N/A","",IF(INDEX(Equipment_Utility_Decision,MATCH($B124,equipment_ID,0))='4.2-Settings Internal'!$B$30,INDEX(Equipment_Utility_Water,MATCH($B124,equipment_ID,0)),""))</f>
        <v/>
      </c>
      <c r="H124" s="288" t="str">
        <f t="shared" si="12"/>
        <v/>
      </c>
      <c r="I124" s="130" t="str">
        <f>IF($B124="N/A","",IF(INDEX(Equipment_Utility_Decision,MATCH($B124,equipment_ID,0))='4.2-Settings Internal'!$B$30,INDEX(Equipment_Utility_Electricity,MATCH($B124,equipment_ID,0)),""))</f>
        <v/>
      </c>
      <c r="J124" s="288" t="str">
        <f t="shared" si="13"/>
        <v/>
      </c>
      <c r="K124" s="130" t="str">
        <f>IF($B124="N/A","",IF(INDEX(Equipment_Utility_Decision,MATCH($B124,equipment_ID,0))=INDEX(Yes_No_Choice[],1),INDEX(Equipment_Utility_Fuel,MATCH($B124,equipment_ID,0)),""))</f>
        <v/>
      </c>
      <c r="L124" s="288" t="str">
        <f t="shared" si="14"/>
        <v/>
      </c>
      <c r="M124" s="125" t="str">
        <f t="shared" si="15"/>
        <v/>
      </c>
      <c r="N124" s="288" t="str">
        <f t="shared" si="16"/>
        <v/>
      </c>
      <c r="O124" s="130" t="str">
        <f t="shared" si="17"/>
        <v/>
      </c>
    </row>
    <row r="125" spans="2:15">
      <c r="B125" s="70" t="str">
        <f t="array" ref="B125">IF(COUNTIFS(INDEX(Equipment_Allocation_New,0,MATCH($C$107,Unit_codes,0)),"&gt;0")&lt;ROWS('2.2-Equipment input'!$X$8:$X23),"N/A",INDEX('2.2-Equipment input'!B:B,SMALL(IF(INDEX(Equipment_Allocation_New,0,MATCH($C$107,Unit_codes,0))&gt;0,ROW(equipment_ID)),ROW('2.2-Equipment input'!B16))))</f>
        <v>N/A</v>
      </c>
      <c r="C125" s="70" t="str">
        <f>IF($B125="N/A","N/A",INDEX(Equipment_name[],MATCH(B125,equipment_ID,0)))</f>
        <v>N/A</v>
      </c>
      <c r="D125" s="288" t="str">
        <f t="shared" si="10"/>
        <v>N/A</v>
      </c>
      <c r="E125" s="88" t="str">
        <f t="shared" si="11"/>
        <v>N/A</v>
      </c>
      <c r="F125" s="130" t="str">
        <f>IF($B125="N/A","",IF(INDEX(Equipment_Utility_Decision,MATCH($B125,equipment_ID,0))='4.2-Settings Internal'!$B$30,INDEX(Equipment_Utility_Run,MATCH($B125,equipment_ID,0)),""))</f>
        <v/>
      </c>
      <c r="G125" s="130" t="str">
        <f>IF($B125="N/A","",IF(INDEX(Equipment_Utility_Decision,MATCH($B125,equipment_ID,0))='4.2-Settings Internal'!$B$30,INDEX(Equipment_Utility_Water,MATCH($B125,equipment_ID,0)),""))</f>
        <v/>
      </c>
      <c r="H125" s="288" t="str">
        <f t="shared" si="12"/>
        <v/>
      </c>
      <c r="I125" s="130" t="str">
        <f>IF($B125="N/A","",IF(INDEX(Equipment_Utility_Decision,MATCH($B125,equipment_ID,0))='4.2-Settings Internal'!$B$30,INDEX(Equipment_Utility_Electricity,MATCH($B125,equipment_ID,0)),""))</f>
        <v/>
      </c>
      <c r="J125" s="288" t="str">
        <f t="shared" si="13"/>
        <v/>
      </c>
      <c r="K125" s="130" t="str">
        <f>IF($B125="N/A","",IF(INDEX(Equipment_Utility_Decision,MATCH($B125,equipment_ID,0))=INDEX(Yes_No_Choice[],1),INDEX(Equipment_Utility_Fuel,MATCH($B125,equipment_ID,0)),""))</f>
        <v/>
      </c>
      <c r="L125" s="288" t="str">
        <f t="shared" si="14"/>
        <v/>
      </c>
      <c r="M125" s="125" t="str">
        <f t="shared" si="15"/>
        <v/>
      </c>
      <c r="N125" s="288" t="str">
        <f t="shared" si="16"/>
        <v/>
      </c>
      <c r="O125" s="130" t="str">
        <f t="shared" si="17"/>
        <v/>
      </c>
    </row>
    <row r="126" spans="2:15">
      <c r="B126" s="70" t="str">
        <f t="array" ref="B126">IF(COUNTIFS(INDEX(Equipment_Allocation_New,0,MATCH($C$107,Unit_codes,0)),"&gt;0")&lt;ROWS('2.2-Equipment input'!$X$8:$X24),"N/A",INDEX('2.2-Equipment input'!B:B,SMALL(IF(INDEX(Equipment_Allocation_New,0,MATCH($C$107,Unit_codes,0))&gt;0,ROW(equipment_ID)),ROW('2.2-Equipment input'!B17))))</f>
        <v>N/A</v>
      </c>
      <c r="C126" s="70" t="str">
        <f>IF($B126="N/A","N/A",INDEX(Equipment_name[],MATCH(B126,equipment_ID,0)))</f>
        <v>N/A</v>
      </c>
      <c r="D126" s="288" t="str">
        <f t="shared" si="10"/>
        <v>N/A</v>
      </c>
      <c r="E126" s="88" t="str">
        <f t="shared" si="11"/>
        <v>N/A</v>
      </c>
      <c r="F126" s="130" t="str">
        <f>IF($B126="N/A","",IF(INDEX(Equipment_Utility_Decision,MATCH($B126,equipment_ID,0))='4.2-Settings Internal'!$B$30,INDEX(Equipment_Utility_Run,MATCH($B126,equipment_ID,0)),""))</f>
        <v/>
      </c>
      <c r="G126" s="130" t="str">
        <f>IF($B126="N/A","",IF(INDEX(Equipment_Utility_Decision,MATCH($B126,equipment_ID,0))='4.2-Settings Internal'!$B$30,INDEX(Equipment_Utility_Water,MATCH($B126,equipment_ID,0)),""))</f>
        <v/>
      </c>
      <c r="H126" s="288" t="str">
        <f t="shared" si="12"/>
        <v/>
      </c>
      <c r="I126" s="130" t="str">
        <f>IF($B126="N/A","",IF(INDEX(Equipment_Utility_Decision,MATCH($B126,equipment_ID,0))='4.2-Settings Internal'!$B$30,INDEX(Equipment_Utility_Electricity,MATCH($B126,equipment_ID,0)),""))</f>
        <v/>
      </c>
      <c r="J126" s="288" t="str">
        <f t="shared" si="13"/>
        <v/>
      </c>
      <c r="K126" s="130" t="str">
        <f>IF($B126="N/A","",IF(INDEX(Equipment_Utility_Decision,MATCH($B126,equipment_ID,0))=INDEX(Yes_No_Choice[],1),INDEX(Equipment_Utility_Fuel,MATCH($B126,equipment_ID,0)),""))</f>
        <v/>
      </c>
      <c r="L126" s="288" t="str">
        <f t="shared" si="14"/>
        <v/>
      </c>
      <c r="M126" s="125" t="str">
        <f t="shared" si="15"/>
        <v/>
      </c>
      <c r="N126" s="288" t="str">
        <f t="shared" si="16"/>
        <v/>
      </c>
      <c r="O126" s="130" t="str">
        <f t="shared" si="17"/>
        <v/>
      </c>
    </row>
    <row r="127" spans="2:15">
      <c r="B127" s="70" t="str">
        <f t="array" ref="B127">IF(COUNTIFS(INDEX(Equipment_Allocation_New,0,MATCH($C$107,Unit_codes,0)),"&gt;0")&lt;ROWS('2.2-Equipment input'!$X$8:$X25),"N/A",INDEX('2.2-Equipment input'!B:B,SMALL(IF(INDEX(Equipment_Allocation_New,0,MATCH($C$107,Unit_codes,0))&gt;0,ROW(equipment_ID)),ROW('2.2-Equipment input'!B18))))</f>
        <v>N/A</v>
      </c>
      <c r="C127" s="70" t="str">
        <f>IF($B127="N/A","N/A",INDEX(Equipment_name[],MATCH(B127,equipment_ID,0)))</f>
        <v>N/A</v>
      </c>
      <c r="D127" s="288" t="str">
        <f t="shared" si="10"/>
        <v>N/A</v>
      </c>
      <c r="E127" s="88" t="str">
        <f t="shared" si="11"/>
        <v>N/A</v>
      </c>
      <c r="F127" s="130" t="str">
        <f>IF($B127="N/A","",IF(INDEX(Equipment_Utility_Decision,MATCH($B127,equipment_ID,0))='4.2-Settings Internal'!$B$30,INDEX(Equipment_Utility_Run,MATCH($B127,equipment_ID,0)),""))</f>
        <v/>
      </c>
      <c r="G127" s="130" t="str">
        <f>IF($B127="N/A","",IF(INDEX(Equipment_Utility_Decision,MATCH($B127,equipment_ID,0))='4.2-Settings Internal'!$B$30,INDEX(Equipment_Utility_Water,MATCH($B127,equipment_ID,0)),""))</f>
        <v/>
      </c>
      <c r="H127" s="288" t="str">
        <f t="shared" si="12"/>
        <v/>
      </c>
      <c r="I127" s="130" t="str">
        <f>IF($B127="N/A","",IF(INDEX(Equipment_Utility_Decision,MATCH($B127,equipment_ID,0))='4.2-Settings Internal'!$B$30,INDEX(Equipment_Utility_Electricity,MATCH($B127,equipment_ID,0)),""))</f>
        <v/>
      </c>
      <c r="J127" s="288" t="str">
        <f t="shared" si="13"/>
        <v/>
      </c>
      <c r="K127" s="130" t="str">
        <f>IF($B127="N/A","",IF(INDEX(Equipment_Utility_Decision,MATCH($B127,equipment_ID,0))=INDEX(Yes_No_Choice[],1),INDEX(Equipment_Utility_Fuel,MATCH($B127,equipment_ID,0)),""))</f>
        <v/>
      </c>
      <c r="L127" s="288" t="str">
        <f t="shared" si="14"/>
        <v/>
      </c>
      <c r="M127" s="125" t="str">
        <f t="shared" si="15"/>
        <v/>
      </c>
      <c r="N127" s="288" t="str">
        <f t="shared" si="16"/>
        <v/>
      </c>
      <c r="O127" s="130" t="str">
        <f t="shared" si="17"/>
        <v/>
      </c>
    </row>
    <row r="128" spans="2:15">
      <c r="B128" s="70" t="str">
        <f t="array" ref="B128">IF(COUNTIFS(INDEX(Equipment_Allocation_New,0,MATCH($C$107,Unit_codes,0)),"&gt;0")&lt;ROWS('2.2-Equipment input'!$X$8:$X26),"N/A",INDEX('2.2-Equipment input'!B:B,SMALL(IF(INDEX(Equipment_Allocation_New,0,MATCH($C$107,Unit_codes,0))&gt;0,ROW(equipment_ID)),ROW('2.2-Equipment input'!B19))))</f>
        <v>N/A</v>
      </c>
      <c r="C128" s="70" t="str">
        <f>IF($B128="N/A","N/A",INDEX(Equipment_name[],MATCH(B128,equipment_ID,0)))</f>
        <v>N/A</v>
      </c>
      <c r="D128" s="288" t="str">
        <f t="shared" si="10"/>
        <v>N/A</v>
      </c>
      <c r="E128" s="88" t="str">
        <f t="shared" si="11"/>
        <v>N/A</v>
      </c>
      <c r="F128" s="130" t="str">
        <f>IF($B128="N/A","",IF(INDEX(Equipment_Utility_Decision,MATCH($B128,equipment_ID,0))='4.2-Settings Internal'!$B$30,INDEX(Equipment_Utility_Run,MATCH($B128,equipment_ID,0)),""))</f>
        <v/>
      </c>
      <c r="G128" s="130" t="str">
        <f>IF($B128="N/A","",IF(INDEX(Equipment_Utility_Decision,MATCH($B128,equipment_ID,0))='4.2-Settings Internal'!$B$30,INDEX(Equipment_Utility_Water,MATCH($B128,equipment_ID,0)),""))</f>
        <v/>
      </c>
      <c r="H128" s="288" t="str">
        <f t="shared" si="12"/>
        <v/>
      </c>
      <c r="I128" s="130" t="str">
        <f>IF($B128="N/A","",IF(INDEX(Equipment_Utility_Decision,MATCH($B128,equipment_ID,0))='4.2-Settings Internal'!$B$30,INDEX(Equipment_Utility_Electricity,MATCH($B128,equipment_ID,0)),""))</f>
        <v/>
      </c>
      <c r="J128" s="288" t="str">
        <f t="shared" si="13"/>
        <v/>
      </c>
      <c r="K128" s="130" t="str">
        <f>IF($B128="N/A","",IF(INDEX(Equipment_Utility_Decision,MATCH($B128,equipment_ID,0))=INDEX(Yes_No_Choice[],1),INDEX(Equipment_Utility_Fuel,MATCH($B128,equipment_ID,0)),""))</f>
        <v/>
      </c>
      <c r="L128" s="288" t="str">
        <f t="shared" si="14"/>
        <v/>
      </c>
      <c r="M128" s="125" t="str">
        <f t="shared" si="15"/>
        <v/>
      </c>
      <c r="N128" s="288" t="str">
        <f t="shared" si="16"/>
        <v/>
      </c>
      <c r="O128" s="130" t="str">
        <f t="shared" si="17"/>
        <v/>
      </c>
    </row>
    <row r="129" spans="2:15">
      <c r="B129" s="70" t="str">
        <f t="array" ref="B129">IF(COUNTIFS(INDEX(Equipment_Allocation_New,0,MATCH($C$107,Unit_codes,0)),"&gt;0")&lt;ROWS('2.2-Equipment input'!$X$8:$X27),"N/A",INDEX('2.2-Equipment input'!B:B,SMALL(IF(INDEX(Equipment_Allocation_New,0,MATCH($C$107,Unit_codes,0))&gt;0,ROW(equipment_ID)),ROW('2.2-Equipment input'!B20))))</f>
        <v>N/A</v>
      </c>
      <c r="C129" s="70" t="str">
        <f>IF($B129="N/A","N/A",INDEX(Equipment_name[],MATCH(B129,equipment_ID,0)))</f>
        <v>N/A</v>
      </c>
      <c r="D129" s="288" t="str">
        <f t="shared" si="10"/>
        <v>N/A</v>
      </c>
      <c r="E129" s="88" t="str">
        <f t="shared" si="11"/>
        <v>N/A</v>
      </c>
      <c r="F129" s="130" t="str">
        <f>IF($B129="N/A","",IF(INDEX(Equipment_Utility_Decision,MATCH($B129,equipment_ID,0))='4.2-Settings Internal'!$B$30,INDEX(Equipment_Utility_Run,MATCH($B129,equipment_ID,0)),""))</f>
        <v/>
      </c>
      <c r="G129" s="130" t="str">
        <f>IF($B129="N/A","",IF(INDEX(Equipment_Utility_Decision,MATCH($B129,equipment_ID,0))='4.2-Settings Internal'!$B$30,INDEX(Equipment_Utility_Water,MATCH($B129,equipment_ID,0)),""))</f>
        <v/>
      </c>
      <c r="H129" s="288" t="str">
        <f t="shared" si="12"/>
        <v/>
      </c>
      <c r="I129" s="130" t="str">
        <f>IF($B129="N/A","",IF(INDEX(Equipment_Utility_Decision,MATCH($B129,equipment_ID,0))='4.2-Settings Internal'!$B$30,INDEX(Equipment_Utility_Electricity,MATCH($B129,equipment_ID,0)),""))</f>
        <v/>
      </c>
      <c r="J129" s="288" t="str">
        <f t="shared" si="13"/>
        <v/>
      </c>
      <c r="K129" s="130" t="str">
        <f>IF($B129="N/A","",IF(INDEX(Equipment_Utility_Decision,MATCH($B129,equipment_ID,0))=INDEX(Yes_No_Choice[],1),INDEX(Equipment_Utility_Fuel,MATCH($B129,equipment_ID,0)),""))</f>
        <v/>
      </c>
      <c r="L129" s="288" t="str">
        <f t="shared" si="14"/>
        <v/>
      </c>
      <c r="M129" s="125" t="str">
        <f t="shared" si="15"/>
        <v/>
      </c>
      <c r="N129" s="288" t="str">
        <f t="shared" si="16"/>
        <v/>
      </c>
      <c r="O129" s="130" t="str">
        <f t="shared" si="17"/>
        <v/>
      </c>
    </row>
    <row r="130" spans="2:15">
      <c r="B130" s="70" t="str">
        <f t="array" ref="B130">IF(COUNTIFS(INDEX(Equipment_Allocation_New,0,MATCH($C$107,Unit_codes,0)),"&gt;0")&lt;ROWS('2.2-Equipment input'!$X$8:$X28),"N/A",INDEX('2.2-Equipment input'!B:B,SMALL(IF(INDEX(Equipment_Allocation_New,0,MATCH($C$107,Unit_codes,0))&gt;0,ROW(equipment_ID)),ROW('2.2-Equipment input'!B21))))</f>
        <v>N/A</v>
      </c>
      <c r="C130" s="70" t="str">
        <f>IF($B130="N/A","N/A",INDEX(Equipment_name[],MATCH(B130,equipment_ID,0)))</f>
        <v>N/A</v>
      </c>
      <c r="D130" s="288" t="str">
        <f t="shared" si="10"/>
        <v>N/A</v>
      </c>
      <c r="E130" s="88" t="str">
        <f t="shared" si="11"/>
        <v>N/A</v>
      </c>
      <c r="F130" s="130" t="str">
        <f>IF($B130="N/A","",IF(INDEX(Equipment_Utility_Decision,MATCH($B130,equipment_ID,0))='4.2-Settings Internal'!$B$30,INDEX(Equipment_Utility_Run,MATCH($B130,equipment_ID,0)),""))</f>
        <v/>
      </c>
      <c r="G130" s="130" t="str">
        <f>IF($B130="N/A","",IF(INDEX(Equipment_Utility_Decision,MATCH($B130,equipment_ID,0))='4.2-Settings Internal'!$B$30,INDEX(Equipment_Utility_Water,MATCH($B130,equipment_ID,0)),""))</f>
        <v/>
      </c>
      <c r="H130" s="288" t="str">
        <f t="shared" si="12"/>
        <v/>
      </c>
      <c r="I130" s="130" t="str">
        <f>IF($B130="N/A","",IF(INDEX(Equipment_Utility_Decision,MATCH($B130,equipment_ID,0))='4.2-Settings Internal'!$B$30,INDEX(Equipment_Utility_Electricity,MATCH($B130,equipment_ID,0)),""))</f>
        <v/>
      </c>
      <c r="J130" s="288" t="str">
        <f t="shared" si="13"/>
        <v/>
      </c>
      <c r="K130" s="130" t="str">
        <f>IF($B130="N/A","",IF(INDEX(Equipment_Utility_Decision,MATCH($B130,equipment_ID,0))=INDEX(Yes_No_Choice[],1),INDEX(Equipment_Utility_Fuel,MATCH($B130,equipment_ID,0)),""))</f>
        <v/>
      </c>
      <c r="L130" s="288" t="str">
        <f t="shared" si="14"/>
        <v/>
      </c>
      <c r="M130" s="125" t="str">
        <f t="shared" si="15"/>
        <v/>
      </c>
      <c r="N130" s="288" t="str">
        <f t="shared" si="16"/>
        <v/>
      </c>
      <c r="O130" s="130" t="str">
        <f t="shared" si="17"/>
        <v/>
      </c>
    </row>
    <row r="131" spans="2:15">
      <c r="B131" s="70" t="str">
        <f t="array" ref="B131">IF(COUNTIFS(INDEX(Equipment_Allocation_New,0,MATCH($C$107,Unit_codes,0)),"&gt;0")&lt;ROWS('2.2-Equipment input'!$X$8:$X29),"N/A",INDEX('2.2-Equipment input'!B:B,SMALL(IF(INDEX(Equipment_Allocation_New,0,MATCH($C$107,Unit_codes,0))&gt;0,ROW(equipment_ID)),ROW('2.2-Equipment input'!B22))))</f>
        <v>N/A</v>
      </c>
      <c r="C131" s="70" t="str">
        <f>IF($B131="N/A","N/A",INDEX(Equipment_name[],MATCH(B131,equipment_ID,0)))</f>
        <v>N/A</v>
      </c>
      <c r="D131" s="288" t="str">
        <f t="shared" si="10"/>
        <v>N/A</v>
      </c>
      <c r="E131" s="88" t="str">
        <f t="shared" si="11"/>
        <v>N/A</v>
      </c>
      <c r="F131" s="130" t="str">
        <f>IF($B131="N/A","",IF(INDEX(Equipment_Utility_Decision,MATCH($B131,equipment_ID,0))='4.2-Settings Internal'!$B$30,INDEX(Equipment_Utility_Run,MATCH($B131,equipment_ID,0)),""))</f>
        <v/>
      </c>
      <c r="G131" s="130" t="str">
        <f>IF($B131="N/A","",IF(INDEX(Equipment_Utility_Decision,MATCH($B131,equipment_ID,0))='4.2-Settings Internal'!$B$30,INDEX(Equipment_Utility_Water,MATCH($B131,equipment_ID,0)),""))</f>
        <v/>
      </c>
      <c r="H131" s="288" t="str">
        <f t="shared" si="12"/>
        <v/>
      </c>
      <c r="I131" s="130" t="str">
        <f>IF($B131="N/A","",IF(INDEX(Equipment_Utility_Decision,MATCH($B131,equipment_ID,0))='4.2-Settings Internal'!$B$30,INDEX(Equipment_Utility_Electricity,MATCH($B131,equipment_ID,0)),""))</f>
        <v/>
      </c>
      <c r="J131" s="288" t="str">
        <f t="shared" si="13"/>
        <v/>
      </c>
      <c r="K131" s="130" t="str">
        <f>IF($B131="N/A","",IF(INDEX(Equipment_Utility_Decision,MATCH($B131,equipment_ID,0))=INDEX(Yes_No_Choice[],1),INDEX(Equipment_Utility_Fuel,MATCH($B131,equipment_ID,0)),""))</f>
        <v/>
      </c>
      <c r="L131" s="288" t="str">
        <f t="shared" si="14"/>
        <v/>
      </c>
      <c r="M131" s="125" t="str">
        <f t="shared" si="15"/>
        <v/>
      </c>
      <c r="N131" s="288" t="str">
        <f t="shared" si="16"/>
        <v/>
      </c>
      <c r="O131" s="130" t="str">
        <f t="shared" si="17"/>
        <v/>
      </c>
    </row>
    <row r="132" spans="2:15">
      <c r="B132" s="70" t="str">
        <f t="array" ref="B132">IF(COUNTIFS(INDEX(Equipment_Allocation_New,0,MATCH($C$107,Unit_codes,0)),"&gt;0")&lt;ROWS('2.2-Equipment input'!$X$8:$X30),"N/A",INDEX('2.2-Equipment input'!B:B,SMALL(IF(INDEX(Equipment_Allocation_New,0,MATCH($C$107,Unit_codes,0))&gt;0,ROW(equipment_ID)),ROW('2.2-Equipment input'!B23))))</f>
        <v>N/A</v>
      </c>
      <c r="C132" s="70" t="str">
        <f>IF($B132="N/A","N/A",INDEX(Equipment_name[],MATCH(B132,equipment_ID,0)))</f>
        <v>N/A</v>
      </c>
      <c r="D132" s="288" t="str">
        <f t="shared" si="10"/>
        <v>N/A</v>
      </c>
      <c r="E132" s="88" t="str">
        <f t="shared" si="11"/>
        <v>N/A</v>
      </c>
      <c r="F132" s="130" t="str">
        <f>IF($B132="N/A","",IF(INDEX(Equipment_Utility_Decision,MATCH($B132,equipment_ID,0))='4.2-Settings Internal'!$B$30,INDEX(Equipment_Utility_Run,MATCH($B132,equipment_ID,0)),""))</f>
        <v/>
      </c>
      <c r="G132" s="130" t="str">
        <f>IF($B132="N/A","",IF(INDEX(Equipment_Utility_Decision,MATCH($B132,equipment_ID,0))='4.2-Settings Internal'!$B$30,INDEX(Equipment_Utility_Water,MATCH($B132,equipment_ID,0)),""))</f>
        <v/>
      </c>
      <c r="H132" s="288" t="str">
        <f t="shared" si="12"/>
        <v/>
      </c>
      <c r="I132" s="130" t="str">
        <f>IF($B132="N/A","",IF(INDEX(Equipment_Utility_Decision,MATCH($B132,equipment_ID,0))='4.2-Settings Internal'!$B$30,INDEX(Equipment_Utility_Electricity,MATCH($B132,equipment_ID,0)),""))</f>
        <v/>
      </c>
      <c r="J132" s="288" t="str">
        <f t="shared" si="13"/>
        <v/>
      </c>
      <c r="K132" s="130" t="str">
        <f>IF($B132="N/A","",IF(INDEX(Equipment_Utility_Decision,MATCH($B132,equipment_ID,0))=INDEX(Yes_No_Choice[],1),INDEX(Equipment_Utility_Fuel,MATCH($B132,equipment_ID,0)),""))</f>
        <v/>
      </c>
      <c r="L132" s="288" t="str">
        <f t="shared" si="14"/>
        <v/>
      </c>
      <c r="M132" s="125" t="str">
        <f t="shared" si="15"/>
        <v/>
      </c>
      <c r="N132" s="288" t="str">
        <f t="shared" si="16"/>
        <v/>
      </c>
      <c r="O132" s="130" t="str">
        <f t="shared" si="17"/>
        <v/>
      </c>
    </row>
    <row r="133" spans="2:15">
      <c r="B133" s="70" t="str">
        <f t="array" ref="B133">IF(COUNTIFS(INDEX(Equipment_Allocation_New,0,MATCH($C$107,Unit_codes,0)),"&gt;0")&lt;ROWS('2.2-Equipment input'!$X$8:$X31),"N/A",INDEX('2.2-Equipment input'!B:B,SMALL(IF(INDEX(Equipment_Allocation_New,0,MATCH($C$107,Unit_codes,0))&gt;0,ROW(equipment_ID)),ROW('2.2-Equipment input'!B24))))</f>
        <v>N/A</v>
      </c>
      <c r="C133" s="70" t="str">
        <f>IF($B133="N/A","N/A",INDEX(Equipment_name[],MATCH(B133,equipment_ID,0)))</f>
        <v>N/A</v>
      </c>
      <c r="D133" s="288" t="str">
        <f t="shared" si="10"/>
        <v>N/A</v>
      </c>
      <c r="E133" s="88" t="str">
        <f t="shared" si="11"/>
        <v>N/A</v>
      </c>
      <c r="F133" s="130" t="str">
        <f>IF($B133="N/A","",IF(INDEX(Equipment_Utility_Decision,MATCH($B133,equipment_ID,0))='4.2-Settings Internal'!$B$30,INDEX(Equipment_Utility_Run,MATCH($B133,equipment_ID,0)),""))</f>
        <v/>
      </c>
      <c r="G133" s="130" t="str">
        <f>IF($B133="N/A","",IF(INDEX(Equipment_Utility_Decision,MATCH($B133,equipment_ID,0))='4.2-Settings Internal'!$B$30,INDEX(Equipment_Utility_Water,MATCH($B133,equipment_ID,0)),""))</f>
        <v/>
      </c>
      <c r="H133" s="288" t="str">
        <f t="shared" si="12"/>
        <v/>
      </c>
      <c r="I133" s="130" t="str">
        <f>IF($B133="N/A","",IF(INDEX(Equipment_Utility_Decision,MATCH($B133,equipment_ID,0))='4.2-Settings Internal'!$B$30,INDEX(Equipment_Utility_Electricity,MATCH($B133,equipment_ID,0)),""))</f>
        <v/>
      </c>
      <c r="J133" s="288" t="str">
        <f t="shared" si="13"/>
        <v/>
      </c>
      <c r="K133" s="130" t="str">
        <f>IF($B133="N/A","",IF(INDEX(Equipment_Utility_Decision,MATCH($B133,equipment_ID,0))=INDEX(Yes_No_Choice[],1),INDEX(Equipment_Utility_Fuel,MATCH($B133,equipment_ID,0)),""))</f>
        <v/>
      </c>
      <c r="L133" s="288" t="str">
        <f t="shared" si="14"/>
        <v/>
      </c>
      <c r="M133" s="125" t="str">
        <f t="shared" si="15"/>
        <v/>
      </c>
      <c r="N133" s="288" t="str">
        <f t="shared" si="16"/>
        <v/>
      </c>
      <c r="O133" s="130" t="str">
        <f t="shared" si="17"/>
        <v/>
      </c>
    </row>
    <row r="134" spans="2:15">
      <c r="B134" s="70" t="str">
        <f t="array" ref="B134">IF(COUNTIFS(INDEX(Equipment_Allocation_New,0,MATCH($C$107,Unit_codes,0)),"&gt;0")&lt;ROWS('2.2-Equipment input'!$X$8:$X32),"N/A",INDEX('2.2-Equipment input'!B:B,SMALL(IF(INDEX(Equipment_Allocation_New,0,MATCH($C$107,Unit_codes,0))&gt;0,ROW(equipment_ID)),ROW('2.2-Equipment input'!B25))))</f>
        <v>N/A</v>
      </c>
      <c r="C134" s="70" t="str">
        <f>IF($B134="N/A","N/A",INDEX(Equipment_name[],MATCH(B134,equipment_ID,0)))</f>
        <v>N/A</v>
      </c>
      <c r="D134" s="288" t="str">
        <f t="shared" si="10"/>
        <v>N/A</v>
      </c>
      <c r="E134" s="88" t="str">
        <f t="shared" si="11"/>
        <v>N/A</v>
      </c>
      <c r="F134" s="130" t="str">
        <f>IF($B134="N/A","",IF(INDEX(Equipment_Utility_Decision,MATCH($B134,equipment_ID,0))='4.2-Settings Internal'!$B$30,INDEX(Equipment_Utility_Run,MATCH($B134,equipment_ID,0)),""))</f>
        <v/>
      </c>
      <c r="G134" s="130" t="str">
        <f>IF($B134="N/A","",IF(INDEX(Equipment_Utility_Decision,MATCH($B134,equipment_ID,0))='4.2-Settings Internal'!$B$30,INDEX(Equipment_Utility_Water,MATCH($B134,equipment_ID,0)),""))</f>
        <v/>
      </c>
      <c r="H134" s="288" t="str">
        <f t="shared" si="12"/>
        <v/>
      </c>
      <c r="I134" s="130" t="str">
        <f>IF($B134="N/A","",IF(INDEX(Equipment_Utility_Decision,MATCH($B134,equipment_ID,0))='4.2-Settings Internal'!$B$30,INDEX(Equipment_Utility_Electricity,MATCH($B134,equipment_ID,0)),""))</f>
        <v/>
      </c>
      <c r="J134" s="288" t="str">
        <f t="shared" si="13"/>
        <v/>
      </c>
      <c r="K134" s="130" t="str">
        <f>IF($B134="N/A","",IF(INDEX(Equipment_Utility_Decision,MATCH($B134,equipment_ID,0))=INDEX(Yes_No_Choice[],1),INDEX(Equipment_Utility_Fuel,MATCH($B134,equipment_ID,0)),""))</f>
        <v/>
      </c>
      <c r="L134" s="288" t="str">
        <f t="shared" si="14"/>
        <v/>
      </c>
      <c r="M134" s="125" t="str">
        <f t="shared" si="15"/>
        <v/>
      </c>
      <c r="N134" s="288" t="str">
        <f t="shared" si="16"/>
        <v/>
      </c>
      <c r="O134" s="130" t="str">
        <f t="shared" si="17"/>
        <v/>
      </c>
    </row>
    <row r="135" spans="2:15">
      <c r="B135" s="70" t="str">
        <f t="array" ref="B135">IF(COUNTIFS(INDEX(Equipment_Allocation_New,0,MATCH($C$107,Unit_codes,0)),"&gt;0")&lt;ROWS('2.2-Equipment input'!$X$8:$X33),"N/A",INDEX('2.2-Equipment input'!B:B,SMALL(IF(INDEX(Equipment_Allocation_New,0,MATCH($C$107,Unit_codes,0))&gt;0,ROW(equipment_ID)),ROW('2.2-Equipment input'!B26))))</f>
        <v>N/A</v>
      </c>
      <c r="C135" s="70" t="str">
        <f>IF($B135="N/A","N/A",INDEX(Equipment_name[],MATCH(B135,equipment_ID,0)))</f>
        <v>N/A</v>
      </c>
      <c r="D135" s="288" t="str">
        <f t="shared" si="10"/>
        <v>N/A</v>
      </c>
      <c r="E135" s="88" t="str">
        <f t="shared" si="11"/>
        <v>N/A</v>
      </c>
      <c r="F135" s="130" t="str">
        <f>IF($B135="N/A","",IF(INDEX(Equipment_Utility_Decision,MATCH($B135,equipment_ID,0))='4.2-Settings Internal'!$B$30,INDEX(Equipment_Utility_Run,MATCH($B135,equipment_ID,0)),""))</f>
        <v/>
      </c>
      <c r="G135" s="130" t="str">
        <f>IF($B135="N/A","",IF(INDEX(Equipment_Utility_Decision,MATCH($B135,equipment_ID,0))='4.2-Settings Internal'!$B$30,INDEX(Equipment_Utility_Water,MATCH($B135,equipment_ID,0)),""))</f>
        <v/>
      </c>
      <c r="H135" s="288" t="str">
        <f t="shared" si="12"/>
        <v/>
      </c>
      <c r="I135" s="130" t="str">
        <f>IF($B135="N/A","",IF(INDEX(Equipment_Utility_Decision,MATCH($B135,equipment_ID,0))='4.2-Settings Internal'!$B$30,INDEX(Equipment_Utility_Electricity,MATCH($B135,equipment_ID,0)),""))</f>
        <v/>
      </c>
      <c r="J135" s="288" t="str">
        <f t="shared" si="13"/>
        <v/>
      </c>
      <c r="K135" s="130" t="str">
        <f>IF($B135="N/A","",IF(INDEX(Equipment_Utility_Decision,MATCH($B135,equipment_ID,0))=INDEX(Yes_No_Choice[],1),INDEX(Equipment_Utility_Fuel,MATCH($B135,equipment_ID,0)),""))</f>
        <v/>
      </c>
      <c r="L135" s="288" t="str">
        <f t="shared" si="14"/>
        <v/>
      </c>
      <c r="M135" s="125" t="str">
        <f t="shared" si="15"/>
        <v/>
      </c>
      <c r="N135" s="288" t="str">
        <f t="shared" si="16"/>
        <v/>
      </c>
      <c r="O135" s="130" t="str">
        <f t="shared" si="17"/>
        <v/>
      </c>
    </row>
    <row r="136" spans="2:15">
      <c r="B136" s="70" t="str">
        <f t="array" ref="B136">IF(COUNTIFS(INDEX(Equipment_Allocation_New,0,MATCH($C$107,Unit_codes,0)),"&gt;0")&lt;ROWS('2.2-Equipment input'!$X$8:$X34),"N/A",INDEX('2.2-Equipment input'!B:B,SMALL(IF(INDEX(Equipment_Allocation_New,0,MATCH($C$107,Unit_codes,0))&gt;0,ROW(equipment_ID)),ROW('2.2-Equipment input'!B27))))</f>
        <v>N/A</v>
      </c>
      <c r="C136" s="70" t="str">
        <f>IF($B136="N/A","N/A",INDEX(Equipment_name[],MATCH(B136,equipment_ID,0)))</f>
        <v>N/A</v>
      </c>
      <c r="D136" s="288" t="str">
        <f t="shared" si="10"/>
        <v>N/A</v>
      </c>
      <c r="E136" s="88" t="str">
        <f t="shared" si="11"/>
        <v>N/A</v>
      </c>
      <c r="F136" s="130" t="str">
        <f>IF($B136="N/A","",IF(INDEX(Equipment_Utility_Decision,MATCH($B136,equipment_ID,0))='4.2-Settings Internal'!$B$30,INDEX(Equipment_Utility_Run,MATCH($B136,equipment_ID,0)),""))</f>
        <v/>
      </c>
      <c r="G136" s="130" t="str">
        <f>IF($B136="N/A","",IF(INDEX(Equipment_Utility_Decision,MATCH($B136,equipment_ID,0))='4.2-Settings Internal'!$B$30,INDEX(Equipment_Utility_Water,MATCH($B136,equipment_ID,0)),""))</f>
        <v/>
      </c>
      <c r="H136" s="288" t="str">
        <f t="shared" si="12"/>
        <v/>
      </c>
      <c r="I136" s="130" t="str">
        <f>IF($B136="N/A","",IF(INDEX(Equipment_Utility_Decision,MATCH($B136,equipment_ID,0))='4.2-Settings Internal'!$B$30,INDEX(Equipment_Utility_Electricity,MATCH($B136,equipment_ID,0)),""))</f>
        <v/>
      </c>
      <c r="J136" s="288" t="str">
        <f t="shared" si="13"/>
        <v/>
      </c>
      <c r="K136" s="130" t="str">
        <f>IF($B136="N/A","",IF(INDEX(Equipment_Utility_Decision,MATCH($B136,equipment_ID,0))=INDEX(Yes_No_Choice[],1),INDEX(Equipment_Utility_Fuel,MATCH($B136,equipment_ID,0)),""))</f>
        <v/>
      </c>
      <c r="L136" s="288" t="str">
        <f t="shared" si="14"/>
        <v/>
      </c>
      <c r="M136" s="125" t="str">
        <f t="shared" si="15"/>
        <v/>
      </c>
      <c r="N136" s="288" t="str">
        <f t="shared" si="16"/>
        <v/>
      </c>
      <c r="O136" s="130" t="str">
        <f t="shared" si="17"/>
        <v/>
      </c>
    </row>
    <row r="137" spans="2:15">
      <c r="B137" s="70" t="str">
        <f t="array" ref="B137">IF(COUNTIFS(INDEX(Equipment_Allocation_New,0,MATCH($C$107,Unit_codes,0)),"&gt;0")&lt;ROWS('2.2-Equipment input'!$X$8:$X35),"N/A",INDEX('2.2-Equipment input'!B:B,SMALL(IF(INDEX(Equipment_Allocation_New,0,MATCH($C$107,Unit_codes,0))&gt;0,ROW(equipment_ID)),ROW('2.2-Equipment input'!B28))))</f>
        <v>N/A</v>
      </c>
      <c r="C137" s="70" t="str">
        <f>IF($B137="N/A","N/A",INDEX(Equipment_name[],MATCH(B137,equipment_ID,0)))</f>
        <v>N/A</v>
      </c>
      <c r="D137" s="288" t="str">
        <f t="shared" si="10"/>
        <v>N/A</v>
      </c>
      <c r="E137" s="88" t="str">
        <f t="shared" si="11"/>
        <v>N/A</v>
      </c>
      <c r="F137" s="130" t="str">
        <f>IF($B137="N/A","",IF(INDEX(Equipment_Utility_Decision,MATCH($B137,equipment_ID,0))='4.2-Settings Internal'!$B$30,INDEX(Equipment_Utility_Run,MATCH($B137,equipment_ID,0)),""))</f>
        <v/>
      </c>
      <c r="G137" s="130" t="str">
        <f>IF($B137="N/A","",IF(INDEX(Equipment_Utility_Decision,MATCH($B137,equipment_ID,0))='4.2-Settings Internal'!$B$30,INDEX(Equipment_Utility_Water,MATCH($B137,equipment_ID,0)),""))</f>
        <v/>
      </c>
      <c r="H137" s="288" t="str">
        <f t="shared" si="12"/>
        <v/>
      </c>
      <c r="I137" s="130" t="str">
        <f>IF($B137="N/A","",IF(INDEX(Equipment_Utility_Decision,MATCH($B137,equipment_ID,0))='4.2-Settings Internal'!$B$30,INDEX(Equipment_Utility_Electricity,MATCH($B137,equipment_ID,0)),""))</f>
        <v/>
      </c>
      <c r="J137" s="288" t="str">
        <f t="shared" si="13"/>
        <v/>
      </c>
      <c r="K137" s="130" t="str">
        <f>IF($B137="N/A","",IF(INDEX(Equipment_Utility_Decision,MATCH($B137,equipment_ID,0))=INDEX(Yes_No_Choice[],1),INDEX(Equipment_Utility_Fuel,MATCH($B137,equipment_ID,0)),""))</f>
        <v/>
      </c>
      <c r="L137" s="288" t="str">
        <f t="shared" si="14"/>
        <v/>
      </c>
      <c r="M137" s="125" t="str">
        <f t="shared" si="15"/>
        <v/>
      </c>
      <c r="N137" s="288" t="str">
        <f t="shared" si="16"/>
        <v/>
      </c>
      <c r="O137" s="130" t="str">
        <f t="shared" si="17"/>
        <v/>
      </c>
    </row>
    <row r="138" spans="2:15">
      <c r="B138" s="70" t="str">
        <f t="array" ref="B138">IF(COUNTIFS(INDEX(Equipment_Allocation_New,0,MATCH($C$107,Unit_codes,0)),"&gt;0")&lt;ROWS('2.2-Equipment input'!$X$8:$X36),"N/A",INDEX('2.2-Equipment input'!B:B,SMALL(IF(INDEX(Equipment_Allocation_New,0,MATCH($C$107,Unit_codes,0))&gt;0,ROW(equipment_ID)),ROW('2.2-Equipment input'!B29))))</f>
        <v>N/A</v>
      </c>
      <c r="C138" s="70" t="str">
        <f>IF($B138="N/A","N/A",INDEX(Equipment_name[],MATCH(B138,equipment_ID,0)))</f>
        <v>N/A</v>
      </c>
      <c r="D138" s="288" t="str">
        <f t="shared" si="10"/>
        <v>N/A</v>
      </c>
      <c r="E138" s="88" t="str">
        <f t="shared" si="11"/>
        <v>N/A</v>
      </c>
      <c r="F138" s="130" t="str">
        <f>IF($B138="N/A","",IF(INDEX(Equipment_Utility_Decision,MATCH($B138,equipment_ID,0))='4.2-Settings Internal'!$B$30,INDEX(Equipment_Utility_Run,MATCH($B138,equipment_ID,0)),""))</f>
        <v/>
      </c>
      <c r="G138" s="130" t="str">
        <f>IF($B138="N/A","",IF(INDEX(Equipment_Utility_Decision,MATCH($B138,equipment_ID,0))='4.2-Settings Internal'!$B$30,INDEX(Equipment_Utility_Water,MATCH($B138,equipment_ID,0)),""))</f>
        <v/>
      </c>
      <c r="H138" s="288" t="str">
        <f t="shared" si="12"/>
        <v/>
      </c>
      <c r="I138" s="130" t="str">
        <f>IF($B138="N/A","",IF(INDEX(Equipment_Utility_Decision,MATCH($B138,equipment_ID,0))='4.2-Settings Internal'!$B$30,INDEX(Equipment_Utility_Electricity,MATCH($B138,equipment_ID,0)),""))</f>
        <v/>
      </c>
      <c r="J138" s="288" t="str">
        <f t="shared" si="13"/>
        <v/>
      </c>
      <c r="K138" s="130" t="str">
        <f>IF($B138="N/A","",IF(INDEX(Equipment_Utility_Decision,MATCH($B138,equipment_ID,0))=INDEX(Yes_No_Choice[],1),INDEX(Equipment_Utility_Fuel,MATCH($B138,equipment_ID,0)),""))</f>
        <v/>
      </c>
      <c r="L138" s="288" t="str">
        <f t="shared" si="14"/>
        <v/>
      </c>
      <c r="M138" s="125" t="str">
        <f t="shared" si="15"/>
        <v/>
      </c>
      <c r="N138" s="288" t="str">
        <f t="shared" si="16"/>
        <v/>
      </c>
      <c r="O138" s="130" t="str">
        <f t="shared" si="17"/>
        <v/>
      </c>
    </row>
    <row r="139" spans="2:15">
      <c r="B139" s="70" t="str">
        <f t="array" ref="B139">IF(COUNTIFS(INDEX(Equipment_Allocation_New,0,MATCH($C$107,Unit_codes,0)),"&gt;0")&lt;ROWS('2.2-Equipment input'!$X$8:$X37),"N/A",INDEX('2.2-Equipment input'!B:B,SMALL(IF(INDEX(Equipment_Allocation_New,0,MATCH($C$107,Unit_codes,0))&gt;0,ROW(equipment_ID)),ROW('2.2-Equipment input'!B30))))</f>
        <v>N/A</v>
      </c>
      <c r="C139" s="70" t="str">
        <f>IF($B139="N/A","N/A",INDEX(Equipment_name[],MATCH(B139,equipment_ID,0)))</f>
        <v>N/A</v>
      </c>
      <c r="D139" s="288" t="str">
        <f t="shared" si="10"/>
        <v>N/A</v>
      </c>
      <c r="E139" s="88" t="str">
        <f t="shared" si="11"/>
        <v>N/A</v>
      </c>
      <c r="F139" s="130" t="str">
        <f>IF($B139="N/A","",IF(INDEX(Equipment_Utility_Decision,MATCH($B139,equipment_ID,0))='4.2-Settings Internal'!$B$30,INDEX(Equipment_Utility_Run,MATCH($B139,equipment_ID,0)),""))</f>
        <v/>
      </c>
      <c r="G139" s="130" t="str">
        <f>IF($B139="N/A","",IF(INDEX(Equipment_Utility_Decision,MATCH($B139,equipment_ID,0))='4.2-Settings Internal'!$B$30,INDEX(Equipment_Utility_Water,MATCH($B139,equipment_ID,0)),""))</f>
        <v/>
      </c>
      <c r="H139" s="288" t="str">
        <f t="shared" si="12"/>
        <v/>
      </c>
      <c r="I139" s="130" t="str">
        <f>IF($B139="N/A","",IF(INDEX(Equipment_Utility_Decision,MATCH($B139,equipment_ID,0))='4.2-Settings Internal'!$B$30,INDEX(Equipment_Utility_Electricity,MATCH($B139,equipment_ID,0)),""))</f>
        <v/>
      </c>
      <c r="J139" s="288" t="str">
        <f t="shared" si="13"/>
        <v/>
      </c>
      <c r="K139" s="130" t="str">
        <f>IF($B139="N/A","",IF(INDEX(Equipment_Utility_Decision,MATCH($B139,equipment_ID,0))=INDEX(Yes_No_Choice[],1),INDEX(Equipment_Utility_Fuel,MATCH($B139,equipment_ID,0)),""))</f>
        <v/>
      </c>
      <c r="L139" s="288" t="str">
        <f t="shared" si="14"/>
        <v/>
      </c>
      <c r="M139" s="125" t="str">
        <f t="shared" si="15"/>
        <v/>
      </c>
      <c r="N139" s="288" t="str">
        <f t="shared" si="16"/>
        <v/>
      </c>
      <c r="O139" s="130" t="str">
        <f t="shared" si="17"/>
        <v/>
      </c>
    </row>
    <row r="140" spans="2:15">
      <c r="B140" s="70" t="str">
        <f t="array" ref="B140">IF(COUNTIFS(INDEX(Equipment_Allocation_New,0,MATCH($C$107,Unit_codes,0)),"&gt;0")&lt;ROWS('2.2-Equipment input'!$X$8:$X38),"N/A",INDEX('2.2-Equipment input'!B:B,SMALL(IF(INDEX(Equipment_Allocation_New,0,MATCH($C$107,Unit_codes,0))&gt;0,ROW(equipment_ID)),ROW('2.2-Equipment input'!B31))))</f>
        <v>N/A</v>
      </c>
      <c r="C140" s="70" t="str">
        <f>IF($B140="N/A","N/A",INDEX(Equipment_name[],MATCH(B140,equipment_ID,0)))</f>
        <v>N/A</v>
      </c>
      <c r="D140" s="288" t="str">
        <f t="shared" si="10"/>
        <v>N/A</v>
      </c>
      <c r="E140" s="88" t="str">
        <f t="shared" si="11"/>
        <v>N/A</v>
      </c>
      <c r="F140" s="130" t="str">
        <f>IF($B140="N/A","",IF(INDEX(Equipment_Utility_Decision,MATCH($B140,equipment_ID,0))='4.2-Settings Internal'!$B$30,INDEX(Equipment_Utility_Run,MATCH($B140,equipment_ID,0)),""))</f>
        <v/>
      </c>
      <c r="G140" s="130" t="str">
        <f>IF($B140="N/A","",IF(INDEX(Equipment_Utility_Decision,MATCH($B140,equipment_ID,0))='4.2-Settings Internal'!$B$30,INDEX(Equipment_Utility_Water,MATCH($B140,equipment_ID,0)),""))</f>
        <v/>
      </c>
      <c r="H140" s="288" t="str">
        <f t="shared" si="12"/>
        <v/>
      </c>
      <c r="I140" s="130" t="str">
        <f>IF($B140="N/A","",IF(INDEX(Equipment_Utility_Decision,MATCH($B140,equipment_ID,0))='4.2-Settings Internal'!$B$30,INDEX(Equipment_Utility_Electricity,MATCH($B140,equipment_ID,0)),""))</f>
        <v/>
      </c>
      <c r="J140" s="288" t="str">
        <f t="shared" si="13"/>
        <v/>
      </c>
      <c r="K140" s="130" t="str">
        <f>IF($B140="N/A","",IF(INDEX(Equipment_Utility_Decision,MATCH($B140,equipment_ID,0))=INDEX(Yes_No_Choice[],1),INDEX(Equipment_Utility_Fuel,MATCH($B140,equipment_ID,0)),""))</f>
        <v/>
      </c>
      <c r="L140" s="288" t="str">
        <f t="shared" si="14"/>
        <v/>
      </c>
      <c r="M140" s="125" t="str">
        <f t="shared" si="15"/>
        <v/>
      </c>
      <c r="N140" s="288" t="str">
        <f t="shared" si="16"/>
        <v/>
      </c>
      <c r="O140" s="130" t="str">
        <f t="shared" si="17"/>
        <v/>
      </c>
    </row>
    <row r="141" spans="2:15">
      <c r="B141" s="70" t="str">
        <f t="array" ref="B141">IF(COUNTIFS(INDEX(Equipment_Allocation_New,0,MATCH($C$107,Unit_codes,0)),"&gt;0")&lt;ROWS('2.2-Equipment input'!$X$8:$X39),"N/A",INDEX('2.2-Equipment input'!B:B,SMALL(IF(INDEX(Equipment_Allocation_New,0,MATCH($C$107,Unit_codes,0))&gt;0,ROW(equipment_ID)),ROW('2.2-Equipment input'!B32))))</f>
        <v>N/A</v>
      </c>
      <c r="C141" s="70" t="str">
        <f>IF($B141="N/A","N/A",INDEX(Equipment_name[],MATCH(B141,equipment_ID,0)))</f>
        <v>N/A</v>
      </c>
      <c r="D141" s="288" t="str">
        <f t="shared" si="10"/>
        <v>N/A</v>
      </c>
      <c r="E141" s="88" t="str">
        <f t="shared" si="11"/>
        <v>N/A</v>
      </c>
      <c r="F141" s="130" t="str">
        <f>IF($B141="N/A","",IF(INDEX(Equipment_Utility_Decision,MATCH($B141,equipment_ID,0))='4.2-Settings Internal'!$B$30,INDEX(Equipment_Utility_Run,MATCH($B141,equipment_ID,0)),""))</f>
        <v/>
      </c>
      <c r="G141" s="130" t="str">
        <f>IF($B141="N/A","",IF(INDEX(Equipment_Utility_Decision,MATCH($B141,equipment_ID,0))='4.2-Settings Internal'!$B$30,INDEX(Equipment_Utility_Water,MATCH($B141,equipment_ID,0)),""))</f>
        <v/>
      </c>
      <c r="H141" s="288" t="str">
        <f t="shared" si="12"/>
        <v/>
      </c>
      <c r="I141" s="130" t="str">
        <f>IF($B141="N/A","",IF(INDEX(Equipment_Utility_Decision,MATCH($B141,equipment_ID,0))='4.2-Settings Internal'!$B$30,INDEX(Equipment_Utility_Electricity,MATCH($B141,equipment_ID,0)),""))</f>
        <v/>
      </c>
      <c r="J141" s="288" t="str">
        <f t="shared" si="13"/>
        <v/>
      </c>
      <c r="K141" s="130" t="str">
        <f>IF($B141="N/A","",IF(INDEX(Equipment_Utility_Decision,MATCH($B141,equipment_ID,0))=INDEX(Yes_No_Choice[],1),INDEX(Equipment_Utility_Fuel,MATCH($B141,equipment_ID,0)),""))</f>
        <v/>
      </c>
      <c r="L141" s="288" t="str">
        <f t="shared" si="14"/>
        <v/>
      </c>
      <c r="M141" s="125" t="str">
        <f t="shared" si="15"/>
        <v/>
      </c>
      <c r="N141" s="288" t="str">
        <f t="shared" si="16"/>
        <v/>
      </c>
      <c r="O141" s="130" t="str">
        <f t="shared" si="17"/>
        <v/>
      </c>
    </row>
    <row r="142" spans="2:15">
      <c r="B142" s="70" t="str">
        <f t="array" ref="B142">IF(COUNTIFS(INDEX(Equipment_Allocation_New,0,MATCH($C$107,Unit_codes,0)),"&gt;0")&lt;ROWS('2.2-Equipment input'!$X$8:$X40),"N/A",INDEX('2.2-Equipment input'!B:B,SMALL(IF(INDEX(Equipment_Allocation_New,0,MATCH($C$107,Unit_codes,0))&gt;0,ROW(equipment_ID)),ROW('2.2-Equipment input'!B33))))</f>
        <v>N/A</v>
      </c>
      <c r="C142" s="70" t="str">
        <f>IF($B142="N/A","N/A",INDEX(Equipment_name[],MATCH(B142,equipment_ID,0)))</f>
        <v>N/A</v>
      </c>
      <c r="D142" s="288" t="str">
        <f t="shared" si="10"/>
        <v>N/A</v>
      </c>
      <c r="E142" s="88" t="str">
        <f t="shared" si="11"/>
        <v>N/A</v>
      </c>
      <c r="F142" s="130" t="str">
        <f>IF($B142="N/A","",IF(INDEX(Equipment_Utility_Decision,MATCH($B142,equipment_ID,0))='4.2-Settings Internal'!$B$30,INDEX(Equipment_Utility_Run,MATCH($B142,equipment_ID,0)),""))</f>
        <v/>
      </c>
      <c r="G142" s="130" t="str">
        <f>IF($B142="N/A","",IF(INDEX(Equipment_Utility_Decision,MATCH($B142,equipment_ID,0))='4.2-Settings Internal'!$B$30,INDEX(Equipment_Utility_Water,MATCH($B142,equipment_ID,0)),""))</f>
        <v/>
      </c>
      <c r="H142" s="288" t="str">
        <f t="shared" si="12"/>
        <v/>
      </c>
      <c r="I142" s="130" t="str">
        <f>IF($B142="N/A","",IF(INDEX(Equipment_Utility_Decision,MATCH($B142,equipment_ID,0))='4.2-Settings Internal'!$B$30,INDEX(Equipment_Utility_Electricity,MATCH($B142,equipment_ID,0)),""))</f>
        <v/>
      </c>
      <c r="J142" s="288" t="str">
        <f t="shared" si="13"/>
        <v/>
      </c>
      <c r="K142" s="130" t="str">
        <f>IF($B142="N/A","",IF(INDEX(Equipment_Utility_Decision,MATCH($B142,equipment_ID,0))=INDEX(Yes_No_Choice[],1),INDEX(Equipment_Utility_Fuel,MATCH($B142,equipment_ID,0)),""))</f>
        <v/>
      </c>
      <c r="L142" s="288" t="str">
        <f t="shared" si="14"/>
        <v/>
      </c>
      <c r="M142" s="125" t="str">
        <f t="shared" si="15"/>
        <v/>
      </c>
      <c r="N142" s="288" t="str">
        <f t="shared" si="16"/>
        <v/>
      </c>
      <c r="O142" s="130" t="str">
        <f t="shared" si="17"/>
        <v/>
      </c>
    </row>
    <row r="143" spans="2:15">
      <c r="B143" s="70" t="str">
        <f t="array" ref="B143">IF(COUNTIFS(INDEX(Equipment_Allocation_New,0,MATCH($C$107,Unit_codes,0)),"&gt;0")&lt;ROWS('2.2-Equipment input'!$X$8:$X41),"N/A",INDEX('2.2-Equipment input'!B:B,SMALL(IF(INDEX(Equipment_Allocation_New,0,MATCH($C$107,Unit_codes,0))&gt;0,ROW(equipment_ID)),ROW('2.2-Equipment input'!B34))))</f>
        <v>N/A</v>
      </c>
      <c r="C143" s="70" t="str">
        <f>IF($B143="N/A","N/A",INDEX(Equipment_name[],MATCH(B143,equipment_ID,0)))</f>
        <v>N/A</v>
      </c>
      <c r="D143" s="288" t="str">
        <f t="shared" si="10"/>
        <v>N/A</v>
      </c>
      <c r="E143" s="88" t="str">
        <f t="shared" si="11"/>
        <v>N/A</v>
      </c>
      <c r="F143" s="130" t="str">
        <f>IF($B143="N/A","",IF(INDEX(Equipment_Utility_Decision,MATCH($B143,equipment_ID,0))='4.2-Settings Internal'!$B$30,INDEX(Equipment_Utility_Run,MATCH($B143,equipment_ID,0)),""))</f>
        <v/>
      </c>
      <c r="G143" s="130" t="str">
        <f>IF($B143="N/A","",IF(INDEX(Equipment_Utility_Decision,MATCH($B143,equipment_ID,0))='4.2-Settings Internal'!$B$30,INDEX(Equipment_Utility_Water,MATCH($B143,equipment_ID,0)),""))</f>
        <v/>
      </c>
      <c r="H143" s="288" t="str">
        <f t="shared" si="12"/>
        <v/>
      </c>
      <c r="I143" s="130" t="str">
        <f>IF($B143="N/A","",IF(INDEX(Equipment_Utility_Decision,MATCH($B143,equipment_ID,0))='4.2-Settings Internal'!$B$30,INDEX(Equipment_Utility_Electricity,MATCH($B143,equipment_ID,0)),""))</f>
        <v/>
      </c>
      <c r="J143" s="288" t="str">
        <f t="shared" si="13"/>
        <v/>
      </c>
      <c r="K143" s="130" t="str">
        <f>IF($B143="N/A","",IF(INDEX(Equipment_Utility_Decision,MATCH($B143,equipment_ID,0))=INDEX(Yes_No_Choice[],1),INDEX(Equipment_Utility_Fuel,MATCH($B143,equipment_ID,0)),""))</f>
        <v/>
      </c>
      <c r="L143" s="288" t="str">
        <f t="shared" si="14"/>
        <v/>
      </c>
      <c r="M143" s="125" t="str">
        <f t="shared" si="15"/>
        <v/>
      </c>
      <c r="N143" s="288" t="str">
        <f t="shared" si="16"/>
        <v/>
      </c>
      <c r="O143" s="130" t="str">
        <f t="shared" si="17"/>
        <v/>
      </c>
    </row>
    <row r="144" spans="2:15">
      <c r="B144" s="70" t="str">
        <f t="array" ref="B144">IF(COUNTIFS(INDEX(Equipment_Allocation_New,0,MATCH($C$107,Unit_codes,0)),"&gt;0")&lt;ROWS('2.2-Equipment input'!$X$8:$X42),"N/A",INDEX('2.2-Equipment input'!B:B,SMALL(IF(INDEX(Equipment_Allocation_New,0,MATCH($C$107,Unit_codes,0))&gt;0,ROW(equipment_ID)),ROW('2.2-Equipment input'!B35))))</f>
        <v>N/A</v>
      </c>
      <c r="C144" s="70" t="str">
        <f>IF($B144="N/A","N/A",INDEX(Equipment_name[],MATCH(B144,equipment_ID,0)))</f>
        <v>N/A</v>
      </c>
      <c r="D144" s="288" t="str">
        <f t="shared" si="10"/>
        <v>N/A</v>
      </c>
      <c r="E144" s="88" t="str">
        <f t="shared" si="11"/>
        <v>N/A</v>
      </c>
      <c r="F144" s="130" t="str">
        <f>IF($B144="N/A","",IF(INDEX(Equipment_Utility_Decision,MATCH($B144,equipment_ID,0))='4.2-Settings Internal'!$B$30,INDEX(Equipment_Utility_Run,MATCH($B144,equipment_ID,0)),""))</f>
        <v/>
      </c>
      <c r="G144" s="130" t="str">
        <f>IF($B144="N/A","",IF(INDEX(Equipment_Utility_Decision,MATCH($B144,equipment_ID,0))='4.2-Settings Internal'!$B$30,INDEX(Equipment_Utility_Water,MATCH($B144,equipment_ID,0)),""))</f>
        <v/>
      </c>
      <c r="H144" s="288" t="str">
        <f t="shared" si="12"/>
        <v/>
      </c>
      <c r="I144" s="130" t="str">
        <f>IF($B144="N/A","",IF(INDEX(Equipment_Utility_Decision,MATCH($B144,equipment_ID,0))='4.2-Settings Internal'!$B$30,INDEX(Equipment_Utility_Electricity,MATCH($B144,equipment_ID,0)),""))</f>
        <v/>
      </c>
      <c r="J144" s="288" t="str">
        <f t="shared" si="13"/>
        <v/>
      </c>
      <c r="K144" s="130" t="str">
        <f>IF($B144="N/A","",IF(INDEX(Equipment_Utility_Decision,MATCH($B144,equipment_ID,0))=INDEX(Yes_No_Choice[],1),INDEX(Equipment_Utility_Fuel,MATCH($B144,equipment_ID,0)),""))</f>
        <v/>
      </c>
      <c r="L144" s="288" t="str">
        <f t="shared" si="14"/>
        <v/>
      </c>
      <c r="M144" s="125" t="str">
        <f t="shared" si="15"/>
        <v/>
      </c>
      <c r="N144" s="288" t="str">
        <f t="shared" si="16"/>
        <v/>
      </c>
      <c r="O144" s="130" t="str">
        <f t="shared" si="17"/>
        <v/>
      </c>
    </row>
    <row r="145" spans="2:23">
      <c r="B145" s="70" t="str">
        <f t="array" ref="B145">IF(COUNTIFS(INDEX(Equipment_Allocation_New,0,MATCH($C$107,Unit_codes,0)),"&gt;0")&lt;ROWS('2.2-Equipment input'!$X$8:$X43),"N/A",INDEX('2.2-Equipment input'!B:B,SMALL(IF(INDEX(Equipment_Allocation_New,0,MATCH($C$107,Unit_codes,0))&gt;0,ROW(equipment_ID)),ROW('2.2-Equipment input'!B36))))</f>
        <v>N/A</v>
      </c>
      <c r="C145" s="70" t="str">
        <f>IF($B145="N/A","N/A",INDEX(Equipment_name[],MATCH(B145,equipment_ID,0)))</f>
        <v>N/A</v>
      </c>
      <c r="D145" s="288" t="str">
        <f t="shared" si="10"/>
        <v>N/A</v>
      </c>
      <c r="E145" s="88" t="str">
        <f t="shared" si="11"/>
        <v>N/A</v>
      </c>
      <c r="F145" s="130" t="str">
        <f>IF($B145="N/A","",IF(INDEX(Equipment_Utility_Decision,MATCH($B145,equipment_ID,0))='4.2-Settings Internal'!$B$30,INDEX(Equipment_Utility_Run,MATCH($B145,equipment_ID,0)),""))</f>
        <v/>
      </c>
      <c r="G145" s="130" t="str">
        <f>IF($B145="N/A","",IF(INDEX(Equipment_Utility_Decision,MATCH($B145,equipment_ID,0))='4.2-Settings Internal'!$B$30,INDEX(Equipment_Utility_Water,MATCH($B145,equipment_ID,0)),""))</f>
        <v/>
      </c>
      <c r="H145" s="288" t="str">
        <f t="shared" si="12"/>
        <v/>
      </c>
      <c r="I145" s="130" t="str">
        <f>IF($B145="N/A","",IF(INDEX(Equipment_Utility_Decision,MATCH($B145,equipment_ID,0))='4.2-Settings Internal'!$B$30,INDEX(Equipment_Utility_Electricity,MATCH($B145,equipment_ID,0)),""))</f>
        <v/>
      </c>
      <c r="J145" s="288" t="str">
        <f t="shared" si="13"/>
        <v/>
      </c>
      <c r="K145" s="130" t="str">
        <f>IF($B145="N/A","",IF(INDEX(Equipment_Utility_Decision,MATCH($B145,equipment_ID,0))=INDEX(Yes_No_Choice[],1),INDEX(Equipment_Utility_Fuel,MATCH($B145,equipment_ID,0)),""))</f>
        <v/>
      </c>
      <c r="L145" s="288" t="str">
        <f t="shared" si="14"/>
        <v/>
      </c>
      <c r="M145" s="125" t="str">
        <f t="shared" si="15"/>
        <v/>
      </c>
      <c r="N145" s="288" t="str">
        <f t="shared" si="16"/>
        <v/>
      </c>
      <c r="O145" s="130" t="str">
        <f t="shared" si="17"/>
        <v/>
      </c>
    </row>
    <row r="146" spans="2:23">
      <c r="B146" s="70" t="str">
        <f t="array" ref="B146">IF(COUNTIFS(INDEX(Equipment_Allocation_New,0,MATCH($C$107,Unit_codes,0)),"&gt;0")&lt;ROWS('2.2-Equipment input'!$X$8:$X44),"N/A",INDEX('2.2-Equipment input'!B:B,SMALL(IF(INDEX(Equipment_Allocation_New,0,MATCH($C$107,Unit_codes,0))&gt;0,ROW(equipment_ID)),ROW('2.2-Equipment input'!B37))))</f>
        <v>N/A</v>
      </c>
      <c r="C146" s="70" t="str">
        <f>IF($B146="N/A","N/A",INDEX(Equipment_name[],MATCH(B146,equipment_ID,0)))</f>
        <v>N/A</v>
      </c>
      <c r="D146" s="288" t="str">
        <f t="shared" si="10"/>
        <v>N/A</v>
      </c>
      <c r="E146" s="88" t="str">
        <f t="shared" si="11"/>
        <v>N/A</v>
      </c>
      <c r="F146" s="130" t="str">
        <f>IF($B146="N/A","",IF(INDEX(Equipment_Utility_Decision,MATCH($B146,equipment_ID,0))='4.2-Settings Internal'!$B$30,INDEX(Equipment_Utility_Run,MATCH($B146,equipment_ID,0)),""))</f>
        <v/>
      </c>
      <c r="G146" s="130" t="str">
        <f>IF($B146="N/A","",IF(INDEX(Equipment_Utility_Decision,MATCH($B146,equipment_ID,0))='4.2-Settings Internal'!$B$30,INDEX(Equipment_Utility_Water,MATCH($B146,equipment_ID,0)),""))</f>
        <v/>
      </c>
      <c r="H146" s="288" t="str">
        <f t="shared" si="12"/>
        <v/>
      </c>
      <c r="I146" s="130" t="str">
        <f>IF($B146="N/A","",IF(INDEX(Equipment_Utility_Decision,MATCH($B146,equipment_ID,0))='4.2-Settings Internal'!$B$30,INDEX(Equipment_Utility_Electricity,MATCH($B146,equipment_ID,0)),""))</f>
        <v/>
      </c>
      <c r="J146" s="288" t="str">
        <f t="shared" si="13"/>
        <v/>
      </c>
      <c r="K146" s="130" t="str">
        <f>IF($B146="N/A","",IF(INDEX(Equipment_Utility_Decision,MATCH($B146,equipment_ID,0))=INDEX(Yes_No_Choice[],1),INDEX(Equipment_Utility_Fuel,MATCH($B146,equipment_ID,0)),""))</f>
        <v/>
      </c>
      <c r="L146" s="288" t="str">
        <f t="shared" si="14"/>
        <v/>
      </c>
      <c r="M146" s="125" t="str">
        <f t="shared" si="15"/>
        <v/>
      </c>
      <c r="N146" s="288" t="str">
        <f t="shared" si="16"/>
        <v/>
      </c>
      <c r="O146" s="130" t="str">
        <f t="shared" si="17"/>
        <v/>
      </c>
    </row>
    <row r="147" spans="2:23">
      <c r="B147" s="70" t="str">
        <f t="array" ref="B147">IF(COUNTIFS(INDEX(Equipment_Allocation_New,0,MATCH($C$107,Unit_codes,0)),"&gt;0")&lt;ROWS('2.2-Equipment input'!$X$8:$X45),"N/A",INDEX('2.2-Equipment input'!B:B,SMALL(IF(INDEX(Equipment_Allocation_New,0,MATCH($C$107,Unit_codes,0))&gt;0,ROW(equipment_ID)),ROW('2.2-Equipment input'!B38))))</f>
        <v>N/A</v>
      </c>
      <c r="C147" s="70" t="str">
        <f>IF($B147="N/A","N/A",INDEX(Equipment_name[],MATCH(B147,equipment_ID,0)))</f>
        <v>N/A</v>
      </c>
      <c r="D147" s="288" t="str">
        <f t="shared" si="10"/>
        <v>N/A</v>
      </c>
      <c r="E147" s="88" t="str">
        <f t="shared" si="11"/>
        <v>N/A</v>
      </c>
      <c r="F147" s="130" t="str">
        <f>IF($B147="N/A","",IF(INDEX(Equipment_Utility_Decision,MATCH($B147,equipment_ID,0))='4.2-Settings Internal'!$B$30,INDEX(Equipment_Utility_Run,MATCH($B147,equipment_ID,0)),""))</f>
        <v/>
      </c>
      <c r="G147" s="130" t="str">
        <f>IF($B147="N/A","",IF(INDEX(Equipment_Utility_Decision,MATCH($B147,equipment_ID,0))='4.2-Settings Internal'!$B$30,INDEX(Equipment_Utility_Water,MATCH($B147,equipment_ID,0)),""))</f>
        <v/>
      </c>
      <c r="H147" s="288" t="str">
        <f t="shared" si="12"/>
        <v/>
      </c>
      <c r="I147" s="130" t="str">
        <f>IF($B147="N/A","",IF(INDEX(Equipment_Utility_Decision,MATCH($B147,equipment_ID,0))='4.2-Settings Internal'!$B$30,INDEX(Equipment_Utility_Electricity,MATCH($B147,equipment_ID,0)),""))</f>
        <v/>
      </c>
      <c r="J147" s="288" t="str">
        <f t="shared" si="13"/>
        <v/>
      </c>
      <c r="K147" s="130" t="str">
        <f>IF($B147="N/A","",IF(INDEX(Equipment_Utility_Decision,MATCH($B147,equipment_ID,0))=INDEX(Yes_No_Choice[],1),INDEX(Equipment_Utility_Fuel,MATCH($B147,equipment_ID,0)),""))</f>
        <v/>
      </c>
      <c r="L147" s="288" t="str">
        <f t="shared" si="14"/>
        <v/>
      </c>
      <c r="M147" s="125" t="str">
        <f t="shared" si="15"/>
        <v/>
      </c>
      <c r="N147" s="288" t="str">
        <f t="shared" si="16"/>
        <v/>
      </c>
      <c r="O147" s="130" t="str">
        <f t="shared" si="17"/>
        <v/>
      </c>
    </row>
    <row r="148" spans="2:23" ht="33" customHeight="1"/>
    <row r="149" spans="2:23" ht="33" customHeight="1">
      <c r="G149" s="201" t="s">
        <v>594</v>
      </c>
      <c r="H149" s="306">
        <f>SUM(H152:H189)</f>
        <v>0</v>
      </c>
      <c r="I149" s="306">
        <f t="shared" ref="I149:W149" si="18">SUM(I152:I189)</f>
        <v>0</v>
      </c>
      <c r="J149" s="306">
        <f t="shared" si="18"/>
        <v>0</v>
      </c>
      <c r="K149" s="306">
        <f t="shared" si="18"/>
        <v>0</v>
      </c>
      <c r="L149" s="306">
        <f t="shared" si="18"/>
        <v>0</v>
      </c>
      <c r="M149" s="306">
        <f t="shared" si="18"/>
        <v>0</v>
      </c>
      <c r="N149" s="306">
        <f t="shared" si="18"/>
        <v>0</v>
      </c>
      <c r="O149" s="306">
        <f t="shared" si="18"/>
        <v>0</v>
      </c>
      <c r="P149" s="306">
        <f t="shared" si="18"/>
        <v>0</v>
      </c>
      <c r="Q149" s="306">
        <f t="shared" si="18"/>
        <v>0</v>
      </c>
      <c r="R149" s="306">
        <f t="shared" si="18"/>
        <v>0</v>
      </c>
      <c r="S149" s="306">
        <f t="shared" si="18"/>
        <v>0</v>
      </c>
      <c r="T149" s="306">
        <f t="shared" si="18"/>
        <v>0</v>
      </c>
      <c r="U149" s="306">
        <f t="shared" si="18"/>
        <v>0</v>
      </c>
      <c r="V149" s="306">
        <f t="shared" si="18"/>
        <v>0</v>
      </c>
      <c r="W149" s="306">
        <f t="shared" si="18"/>
        <v>0</v>
      </c>
    </row>
    <row r="151" spans="2:23" ht="31">
      <c r="B151" s="91" t="s">
        <v>82</v>
      </c>
      <c r="C151" s="91" t="s">
        <v>51</v>
      </c>
      <c r="D151" s="91" t="s">
        <v>50</v>
      </c>
      <c r="E151" s="197" t="s">
        <v>147</v>
      </c>
      <c r="F151" s="91" t="s">
        <v>48</v>
      </c>
      <c r="G151" s="91" t="s">
        <v>119</v>
      </c>
      <c r="H151" s="91" t="s">
        <v>591</v>
      </c>
      <c r="I151" s="91" t="s">
        <v>568</v>
      </c>
      <c r="J151" s="91" t="s">
        <v>569</v>
      </c>
      <c r="K151" s="91" t="s">
        <v>570</v>
      </c>
      <c r="L151" s="91" t="s">
        <v>571</v>
      </c>
      <c r="M151" s="91" t="s">
        <v>572</v>
      </c>
      <c r="N151" s="91" t="s">
        <v>573</v>
      </c>
      <c r="O151" s="91" t="s">
        <v>574</v>
      </c>
      <c r="P151" s="91" t="s">
        <v>575</v>
      </c>
      <c r="Q151" s="91" t="s">
        <v>576</v>
      </c>
      <c r="R151" s="91" t="s">
        <v>577</v>
      </c>
      <c r="S151" s="91" t="s">
        <v>578</v>
      </c>
      <c r="T151" s="91" t="s">
        <v>579</v>
      </c>
      <c r="U151" s="91" t="s">
        <v>580</v>
      </c>
      <c r="V151" s="91" t="s">
        <v>581</v>
      </c>
      <c r="W151" s="91" t="s">
        <v>582</v>
      </c>
    </row>
    <row r="152" spans="2:23">
      <c r="B152" s="70" t="str">
        <f t="array" ref="B152">IF(COUNTIFS(INDEX(Equipment_Allocation_New,0,MATCH($C$107,Unit_codes,0)),"&gt;0")&lt;ROWS('2.2-Equipment input'!$X$8:$X8),"N/A",INDEX('2.2-Equipment input'!B:B,SMALL(IF(INDEX(Equipment_Allocation_New,0,MATCH($C$107,Unit_codes,0))&gt;0,ROW(equipment_ID)),ROW('2.2-Equipment input'!B1))))</f>
        <v>N/A</v>
      </c>
      <c r="C152" s="70" t="str">
        <f>IF($B152="N/A","N/A",INDEX(Equipment_name[],MATCH(B152,equipment_ID,0)))</f>
        <v>N/A</v>
      </c>
      <c r="D152" s="288" t="str">
        <f t="shared" ref="D152:D189" si="19">IF($B152="N/A","N/A",INDEX(Equipment_Capital_Cost,MATCH($B152,equipment_ID,0)))</f>
        <v>N/A</v>
      </c>
      <c r="E152" s="88" t="str">
        <f t="shared" ref="E152:E189" si="20">IF($B152="N/A","N/A",INDEX(Equipment_Lifetime,MATCH($B152,equipment_ID,0)))</f>
        <v>N/A</v>
      </c>
      <c r="F152" s="88" t="str">
        <f t="shared" ref="F152:F189" si="21">IF($B152="N/A","N/A",INDEX(Equipment_Quantity_New,MATCH($B152,equipment_ID,0)))</f>
        <v>N/A</v>
      </c>
      <c r="G152" s="86" t="str">
        <f t="shared" ref="G152:G189" si="22">IF($B152="N/A","N/A",INDEX(Equipment_Allocation_New,MATCH($B152,equipment_ID,0),MATCH($C$107,Unit_codes,0)))</f>
        <v>N/A</v>
      </c>
      <c r="H152" s="288" t="str">
        <f>IFERROR(IF($B152="N/A","N/A",IF(MOD(COLUMNS(H$151:$H$151)-1,$E152)=0,$F152*$D152*$G152,)),)</f>
        <v>N/A</v>
      </c>
      <c r="I152" s="288" t="str">
        <f>IFERROR(IF($B152="N/A","N/A",IF(MOD(COLUMNS($H$151:I$151)-1,$E152)=0,$F152*$D152*$G152,)),)</f>
        <v>N/A</v>
      </c>
      <c r="J152" s="288" t="str">
        <f>IFERROR(IF($B152="N/A","N/A",IF(MOD(COLUMNS($H$151:J$151)-1,$E152)=0,$F152*$D152*$G152,)),)</f>
        <v>N/A</v>
      </c>
      <c r="K152" s="288" t="str">
        <f>IFERROR(IF($B152="N/A","N/A",IF(MOD(COLUMNS($H$151:K$151)-1,$E152)=0,$F152*$D152*$G152,)),)</f>
        <v>N/A</v>
      </c>
      <c r="L152" s="288" t="str">
        <f>IFERROR(IF($B152="N/A","N/A",IF(MOD(COLUMNS($H$151:L$151)-1,$E152)=0,$F152*$D152*$G152,)),)</f>
        <v>N/A</v>
      </c>
      <c r="M152" s="288" t="str">
        <f>IFERROR(IF($B152="N/A","N/A",IF(MOD(COLUMNS($H$151:M$151)-1,$E152)=0,$F152*$D152*$G152,)),)</f>
        <v>N/A</v>
      </c>
      <c r="N152" s="288" t="str">
        <f>IFERROR(IF($B152="N/A","N/A",IF(MOD(COLUMNS($H$151:N$151)-1,$E152)=0,$F152*$D152*$G152,)),)</f>
        <v>N/A</v>
      </c>
      <c r="O152" s="288" t="str">
        <f>IFERROR(IF($B152="N/A","N/A",IF(MOD(COLUMNS($H$151:O$151)-1,$E152)=0,$F152*$D152*$G152,)),)</f>
        <v>N/A</v>
      </c>
      <c r="P152" s="288" t="str">
        <f>IFERROR(IF($B152="N/A","N/A",IF(MOD(COLUMNS($H$151:P$151)-1,$E152)=0,$F152*$D152*$G152,)),)</f>
        <v>N/A</v>
      </c>
      <c r="Q152" s="288" t="str">
        <f>IFERROR(IF($B152="N/A","N/A",IF(MOD(COLUMNS($H$151:Q$151)-1,$E152)=0,$F152*$D152*$G152,)),)</f>
        <v>N/A</v>
      </c>
      <c r="R152" s="288" t="str">
        <f>IFERROR(IF($B152="N/A","N/A",IF(MOD(COLUMNS($H$151:R$151)-1,$E152)=0,$F152*$D152*$G152,)),)</f>
        <v>N/A</v>
      </c>
      <c r="S152" s="288" t="str">
        <f>IFERROR(IF($B152="N/A","N/A",IF(MOD(COLUMNS($H$151:S$151)-1,$E152)=0,$F152*$D152*$G152,)),)</f>
        <v>N/A</v>
      </c>
      <c r="T152" s="288" t="str">
        <f>IFERROR(IF($B152="N/A","N/A",IF(MOD(COLUMNS($H$151:T$151)-1,$E152)=0,$F152*$D152*$G152,)),)</f>
        <v>N/A</v>
      </c>
      <c r="U152" s="288" t="str">
        <f>IFERROR(IF($B152="N/A","N/A",IF(MOD(COLUMNS($H$151:U$151)-1,$E152)=0,$F152*$D152*$G152,)),)</f>
        <v>N/A</v>
      </c>
      <c r="V152" s="288" t="str">
        <f>IFERROR(IF($B152="N/A","N/A",IF(MOD(COLUMNS($H$151:V$151)-1,$E152)=0,$F152*$D152*$G152,)),)</f>
        <v>N/A</v>
      </c>
      <c r="W152" s="288" t="str">
        <f>IFERROR(IF($B152="N/A","N/A",IF(MOD(COLUMNS($H$151:W$151)-1,$E152)=0,$F152*$D152*$G152,)),)</f>
        <v>N/A</v>
      </c>
    </row>
    <row r="153" spans="2:23">
      <c r="B153" s="70" t="str">
        <f t="array" ref="B153">IF(COUNTIFS(INDEX(Equipment_Allocation_New,0,MATCH($C$107,Unit_codes,0)),"&gt;0")&lt;ROWS('2.2-Equipment input'!$X$8:$X9),"N/A",INDEX('2.2-Equipment input'!B:B,SMALL(IF(INDEX(Equipment_Allocation_New,0,MATCH($C$107,Unit_codes,0))&gt;0,ROW(equipment_ID)),ROW('2.2-Equipment input'!B2))))</f>
        <v>N/A</v>
      </c>
      <c r="C153" s="70" t="str">
        <f>IF($B153="N/A","N/A",INDEX(Equipment_name[],MATCH(B153,equipment_ID,0)))</f>
        <v>N/A</v>
      </c>
      <c r="D153" s="288" t="str">
        <f t="shared" si="19"/>
        <v>N/A</v>
      </c>
      <c r="E153" s="88" t="str">
        <f t="shared" si="20"/>
        <v>N/A</v>
      </c>
      <c r="F153" s="88" t="str">
        <f t="shared" si="21"/>
        <v>N/A</v>
      </c>
      <c r="G153" s="86" t="str">
        <f t="shared" si="22"/>
        <v>N/A</v>
      </c>
      <c r="H153" s="288" t="str">
        <f>IFERROR(IF($B153="N/A","N/A",IF(MOD(COLUMNS(H$151:$H$151)-1,$E153)=0,$F153*$D153*$G153,)),)</f>
        <v>N/A</v>
      </c>
      <c r="I153" s="288" t="str">
        <f>IFERROR(IF($B153="N/A","N/A",IF(MOD(COLUMNS($H$151:I$151)-1,$E153)=0,$F153*$D153*$G153,)),)</f>
        <v>N/A</v>
      </c>
      <c r="J153" s="288" t="str">
        <f>IFERROR(IF($B153="N/A","N/A",IF(MOD(COLUMNS($H$151:J$151)-1,$E153)=0,$F153*$D153*$G153,)),)</f>
        <v>N/A</v>
      </c>
      <c r="K153" s="288" t="str">
        <f>IFERROR(IF($B153="N/A","N/A",IF(MOD(COLUMNS($H$151:K$151)-1,$E153)=0,$F153*$D153*$G153,)),)</f>
        <v>N/A</v>
      </c>
      <c r="L153" s="288" t="str">
        <f>IFERROR(IF($B153="N/A","N/A",IF(MOD(COLUMNS($H$151:L$151)-1,$E153)=0,$F153*$D153*$G153,)),)</f>
        <v>N/A</v>
      </c>
      <c r="M153" s="288" t="str">
        <f>IFERROR(IF($B153="N/A","N/A",IF(MOD(COLUMNS($H$151:M$151)-1,$E153)=0,$F153*$D153*$G153,)),)</f>
        <v>N/A</v>
      </c>
      <c r="N153" s="288" t="str">
        <f>IFERROR(IF($B153="N/A","N/A",IF(MOD(COLUMNS($H$151:N$151)-1,$E153)=0,$F153*$D153*$G153,)),)</f>
        <v>N/A</v>
      </c>
      <c r="O153" s="288" t="str">
        <f>IFERROR(IF($B153="N/A","N/A",IF(MOD(COLUMNS($H$151:O$151)-1,$E153)=0,$F153*$D153*$G153,)),)</f>
        <v>N/A</v>
      </c>
      <c r="P153" s="288" t="str">
        <f>IFERROR(IF($B153="N/A","N/A",IF(MOD(COLUMNS($H$151:P$151)-1,$E153)=0,$F153*$D153*$G153,)),)</f>
        <v>N/A</v>
      </c>
      <c r="Q153" s="288" t="str">
        <f>IFERROR(IF($B153="N/A","N/A",IF(MOD(COLUMNS($H$151:Q$151)-1,$E153)=0,$F153*$D153*$G153,)),)</f>
        <v>N/A</v>
      </c>
      <c r="R153" s="288" t="str">
        <f>IFERROR(IF($B153="N/A","N/A",IF(MOD(COLUMNS($H$151:R$151)-1,$E153)=0,$F153*$D153*$G153,)),)</f>
        <v>N/A</v>
      </c>
      <c r="S153" s="288" t="str">
        <f>IFERROR(IF($B153="N/A","N/A",IF(MOD(COLUMNS($H$151:S$151)-1,$E153)=0,$F153*$D153*$G153,)),)</f>
        <v>N/A</v>
      </c>
      <c r="T153" s="288" t="str">
        <f>IFERROR(IF($B153="N/A","N/A",IF(MOD(COLUMNS($H$151:T$151)-1,$E153)=0,$F153*$D153*$G153,)),)</f>
        <v>N/A</v>
      </c>
      <c r="U153" s="288" t="str">
        <f>IFERROR(IF($B153="N/A","N/A",IF(MOD(COLUMNS($H$151:U$151)-1,$E153)=0,$F153*$D153*$G153,)),)</f>
        <v>N/A</v>
      </c>
      <c r="V153" s="288" t="str">
        <f>IFERROR(IF($B153="N/A","N/A",IF(MOD(COLUMNS($H$151:V$151)-1,$E153)=0,$F153*$D153*$G153,)),)</f>
        <v>N/A</v>
      </c>
      <c r="W153" s="288" t="str">
        <f>IFERROR(IF($B153="N/A","N/A",IF(MOD(COLUMNS($H$151:W$151)-1,$E153)=0,$F153*$D153*$G153,)),)</f>
        <v>N/A</v>
      </c>
    </row>
    <row r="154" spans="2:23">
      <c r="B154" s="70" t="str">
        <f t="array" ref="B154">IF(COUNTIFS(INDEX(Equipment_Allocation_New,0,MATCH($C$107,Unit_codes,0)),"&gt;0")&lt;ROWS('2.2-Equipment input'!$X$8:$X10),"N/A",INDEX('2.2-Equipment input'!B:B,SMALL(IF(INDEX(Equipment_Allocation_New,0,MATCH($C$107,Unit_codes,0))&gt;0,ROW(equipment_ID)),ROW('2.2-Equipment input'!B3))))</f>
        <v>N/A</v>
      </c>
      <c r="C154" s="70" t="str">
        <f>IF($B154="N/A","N/A",INDEX(Equipment_name[],MATCH(B154,equipment_ID,0)))</f>
        <v>N/A</v>
      </c>
      <c r="D154" s="288" t="str">
        <f t="shared" si="19"/>
        <v>N/A</v>
      </c>
      <c r="E154" s="88" t="str">
        <f t="shared" si="20"/>
        <v>N/A</v>
      </c>
      <c r="F154" s="88" t="str">
        <f t="shared" si="21"/>
        <v>N/A</v>
      </c>
      <c r="G154" s="86" t="str">
        <f t="shared" si="22"/>
        <v>N/A</v>
      </c>
      <c r="H154" s="288" t="str">
        <f>IFERROR(IF($B154="N/A","N/A",IF(MOD(COLUMNS(H$151:$H$151)-1,$E154)=0,$F154*$D154*$G154,)),)</f>
        <v>N/A</v>
      </c>
      <c r="I154" s="288" t="str">
        <f>IFERROR(IF($B154="N/A","N/A",IF(MOD(COLUMNS($H$151:I$151)-1,$E154)=0,$F154*$D154*$G154,)),)</f>
        <v>N/A</v>
      </c>
      <c r="J154" s="288" t="str">
        <f>IFERROR(IF($B154="N/A","N/A",IF(MOD(COLUMNS($H$151:J$151)-1,$E154)=0,$F154*$D154*$G154,)),)</f>
        <v>N/A</v>
      </c>
      <c r="K154" s="288" t="str">
        <f>IFERROR(IF($B154="N/A","N/A",IF(MOD(COLUMNS($H$151:K$151)-1,$E154)=0,$F154*$D154*$G154,)),)</f>
        <v>N/A</v>
      </c>
      <c r="L154" s="288" t="str">
        <f>IFERROR(IF($B154="N/A","N/A",IF(MOD(COLUMNS($H$151:L$151)-1,$E154)=0,$F154*$D154*$G154,)),)</f>
        <v>N/A</v>
      </c>
      <c r="M154" s="288" t="str">
        <f>IFERROR(IF($B154="N/A","N/A",IF(MOD(COLUMNS($H$151:M$151)-1,$E154)=0,$F154*$D154*$G154,)),)</f>
        <v>N/A</v>
      </c>
      <c r="N154" s="288" t="str">
        <f>IFERROR(IF($B154="N/A","N/A",IF(MOD(COLUMNS($H$151:N$151)-1,$E154)=0,$F154*$D154*$G154,)),)</f>
        <v>N/A</v>
      </c>
      <c r="O154" s="288" t="str">
        <f>IFERROR(IF($B154="N/A","N/A",IF(MOD(COLUMNS($H$151:O$151)-1,$E154)=0,$F154*$D154*$G154,)),)</f>
        <v>N/A</v>
      </c>
      <c r="P154" s="288" t="str">
        <f>IFERROR(IF($B154="N/A","N/A",IF(MOD(COLUMNS($H$151:P$151)-1,$E154)=0,$F154*$D154*$G154,)),)</f>
        <v>N/A</v>
      </c>
      <c r="Q154" s="288" t="str">
        <f>IFERROR(IF($B154="N/A","N/A",IF(MOD(COLUMNS($H$151:Q$151)-1,$E154)=0,$F154*$D154*$G154,)),)</f>
        <v>N/A</v>
      </c>
      <c r="R154" s="288" t="str">
        <f>IFERROR(IF($B154="N/A","N/A",IF(MOD(COLUMNS($H$151:R$151)-1,$E154)=0,$F154*$D154*$G154,)),)</f>
        <v>N/A</v>
      </c>
      <c r="S154" s="288" t="str">
        <f>IFERROR(IF($B154="N/A","N/A",IF(MOD(COLUMNS($H$151:S$151)-1,$E154)=0,$F154*$D154*$G154,)),)</f>
        <v>N/A</v>
      </c>
      <c r="T154" s="288" t="str">
        <f>IFERROR(IF($B154="N/A","N/A",IF(MOD(COLUMNS($H$151:T$151)-1,$E154)=0,$F154*$D154*$G154,)),)</f>
        <v>N/A</v>
      </c>
      <c r="U154" s="288" t="str">
        <f>IFERROR(IF($B154="N/A","N/A",IF(MOD(COLUMNS($H$151:U$151)-1,$E154)=0,$F154*$D154*$G154,)),)</f>
        <v>N/A</v>
      </c>
      <c r="V154" s="288" t="str">
        <f>IFERROR(IF($B154="N/A","N/A",IF(MOD(COLUMNS($H$151:V$151)-1,$E154)=0,$F154*$D154*$G154,)),)</f>
        <v>N/A</v>
      </c>
      <c r="W154" s="288" t="str">
        <f>IFERROR(IF($B154="N/A","N/A",IF(MOD(COLUMNS($H$151:W$151)-1,$E154)=0,$F154*$D154*$G154,)),)</f>
        <v>N/A</v>
      </c>
    </row>
    <row r="155" spans="2:23">
      <c r="B155" s="70" t="str">
        <f t="array" ref="B155">IF(COUNTIFS(INDEX(Equipment_Allocation_New,0,MATCH($C$107,Unit_codes,0)),"&gt;0")&lt;ROWS('2.2-Equipment input'!$X$8:$X11),"N/A",INDEX('2.2-Equipment input'!B:B,SMALL(IF(INDEX(Equipment_Allocation_New,0,MATCH($C$107,Unit_codes,0))&gt;0,ROW(equipment_ID)),ROW('2.2-Equipment input'!B4))))</f>
        <v>N/A</v>
      </c>
      <c r="C155" s="70" t="str">
        <f>IF($B155="N/A","N/A",INDEX(Equipment_name[],MATCH(B155,equipment_ID,0)))</f>
        <v>N/A</v>
      </c>
      <c r="D155" s="288" t="str">
        <f t="shared" si="19"/>
        <v>N/A</v>
      </c>
      <c r="E155" s="88" t="str">
        <f t="shared" si="20"/>
        <v>N/A</v>
      </c>
      <c r="F155" s="88" t="str">
        <f t="shared" si="21"/>
        <v>N/A</v>
      </c>
      <c r="G155" s="86" t="str">
        <f t="shared" si="22"/>
        <v>N/A</v>
      </c>
      <c r="H155" s="288" t="str">
        <f>IFERROR(IF($B155="N/A","N/A",IF(MOD(COLUMNS(H$151:$H$151)-1,$E155)=0,$F155*$D155*$G155,)),)</f>
        <v>N/A</v>
      </c>
      <c r="I155" s="288" t="str">
        <f>IFERROR(IF($B155="N/A","N/A",IF(MOD(COLUMNS($H$151:I$151)-1,$E155)=0,$F155*$D155*$G155,)),)</f>
        <v>N/A</v>
      </c>
      <c r="J155" s="288" t="str">
        <f>IFERROR(IF($B155="N/A","N/A",IF(MOD(COLUMNS($H$151:J$151)-1,$E155)=0,$F155*$D155*$G155,)),)</f>
        <v>N/A</v>
      </c>
      <c r="K155" s="288" t="str">
        <f>IFERROR(IF($B155="N/A","N/A",IF(MOD(COLUMNS($H$151:K$151)-1,$E155)=0,$F155*$D155*$G155,)),)</f>
        <v>N/A</v>
      </c>
      <c r="L155" s="288" t="str">
        <f>IFERROR(IF($B155="N/A","N/A",IF(MOD(COLUMNS($H$151:L$151)-1,$E155)=0,$F155*$D155*$G155,)),)</f>
        <v>N/A</v>
      </c>
      <c r="M155" s="288" t="str">
        <f>IFERROR(IF($B155="N/A","N/A",IF(MOD(COLUMNS($H$151:M$151)-1,$E155)=0,$F155*$D155*$G155,)),)</f>
        <v>N/A</v>
      </c>
      <c r="N155" s="288" t="str">
        <f>IFERROR(IF($B155="N/A","N/A",IF(MOD(COLUMNS($H$151:N$151)-1,$E155)=0,$F155*$D155*$G155,)),)</f>
        <v>N/A</v>
      </c>
      <c r="O155" s="288" t="str">
        <f>IFERROR(IF($B155="N/A","N/A",IF(MOD(COLUMNS($H$151:O$151)-1,$E155)=0,$F155*$D155*$G155,)),)</f>
        <v>N/A</v>
      </c>
      <c r="P155" s="288" t="str">
        <f>IFERROR(IF($B155="N/A","N/A",IF(MOD(COLUMNS($H$151:P$151)-1,$E155)=0,$F155*$D155*$G155,)),)</f>
        <v>N/A</v>
      </c>
      <c r="Q155" s="288" t="str">
        <f>IFERROR(IF($B155="N/A","N/A",IF(MOD(COLUMNS($H$151:Q$151)-1,$E155)=0,$F155*$D155*$G155,)),)</f>
        <v>N/A</v>
      </c>
      <c r="R155" s="288" t="str">
        <f>IFERROR(IF($B155="N/A","N/A",IF(MOD(COLUMNS($H$151:R$151)-1,$E155)=0,$F155*$D155*$G155,)),)</f>
        <v>N/A</v>
      </c>
      <c r="S155" s="288" t="str">
        <f>IFERROR(IF($B155="N/A","N/A",IF(MOD(COLUMNS($H$151:S$151)-1,$E155)=0,$F155*$D155*$G155,)),)</f>
        <v>N/A</v>
      </c>
      <c r="T155" s="288" t="str">
        <f>IFERROR(IF($B155="N/A","N/A",IF(MOD(COLUMNS($H$151:T$151)-1,$E155)=0,$F155*$D155*$G155,)),)</f>
        <v>N/A</v>
      </c>
      <c r="U155" s="288" t="str">
        <f>IFERROR(IF($B155="N/A","N/A",IF(MOD(COLUMNS($H$151:U$151)-1,$E155)=0,$F155*$D155*$G155,)),)</f>
        <v>N/A</v>
      </c>
      <c r="V155" s="288" t="str">
        <f>IFERROR(IF($B155="N/A","N/A",IF(MOD(COLUMNS($H$151:V$151)-1,$E155)=0,$F155*$D155*$G155,)),)</f>
        <v>N/A</v>
      </c>
      <c r="W155" s="288" t="str">
        <f>IFERROR(IF($B155="N/A","N/A",IF(MOD(COLUMNS($H$151:W$151)-1,$E155)=0,$F155*$D155*$G155,)),)</f>
        <v>N/A</v>
      </c>
    </row>
    <row r="156" spans="2:23">
      <c r="B156" s="70" t="str">
        <f t="array" ref="B156">IF(COUNTIFS(INDEX(Equipment_Allocation_New,0,MATCH($C$107,Unit_codes,0)),"&gt;0")&lt;ROWS('2.2-Equipment input'!$X$8:$X12),"N/A",INDEX('2.2-Equipment input'!B:B,SMALL(IF(INDEX(Equipment_Allocation_New,0,MATCH($C$107,Unit_codes,0))&gt;0,ROW(equipment_ID)),ROW('2.2-Equipment input'!B5))))</f>
        <v>N/A</v>
      </c>
      <c r="C156" s="70" t="str">
        <f>IF($B156="N/A","N/A",INDEX(Equipment_name[],MATCH(B156,equipment_ID,0)))</f>
        <v>N/A</v>
      </c>
      <c r="D156" s="288" t="str">
        <f t="shared" si="19"/>
        <v>N/A</v>
      </c>
      <c r="E156" s="88" t="str">
        <f t="shared" si="20"/>
        <v>N/A</v>
      </c>
      <c r="F156" s="88" t="str">
        <f t="shared" si="21"/>
        <v>N/A</v>
      </c>
      <c r="G156" s="86" t="str">
        <f t="shared" si="22"/>
        <v>N/A</v>
      </c>
      <c r="H156" s="288" t="str">
        <f>IFERROR(IF($B156="N/A","N/A",IF(MOD(COLUMNS(H$151:$H$151)-1,$E156)=0,$F156*$D156*$G156,)),)</f>
        <v>N/A</v>
      </c>
      <c r="I156" s="288" t="str">
        <f>IFERROR(IF($B156="N/A","N/A",IF(MOD(COLUMNS($H$151:I$151)-1,$E156)=0,$F156*$D156*$G156,)),)</f>
        <v>N/A</v>
      </c>
      <c r="J156" s="288" t="str">
        <f>IFERROR(IF($B156="N/A","N/A",IF(MOD(COLUMNS($H$151:J$151)-1,$E156)=0,$F156*$D156*$G156,)),)</f>
        <v>N/A</v>
      </c>
      <c r="K156" s="288" t="str">
        <f>IFERROR(IF($B156="N/A","N/A",IF(MOD(COLUMNS($H$151:K$151)-1,$E156)=0,$F156*$D156*$G156,)),)</f>
        <v>N/A</v>
      </c>
      <c r="L156" s="288" t="str">
        <f>IFERROR(IF($B156="N/A","N/A",IF(MOD(COLUMNS($H$151:L$151)-1,$E156)=0,$F156*$D156*$G156,)),)</f>
        <v>N/A</v>
      </c>
      <c r="M156" s="288" t="str">
        <f>IFERROR(IF($B156="N/A","N/A",IF(MOD(COLUMNS($H$151:M$151)-1,$E156)=0,$F156*$D156*$G156,)),)</f>
        <v>N/A</v>
      </c>
      <c r="N156" s="288" t="str">
        <f>IFERROR(IF($B156="N/A","N/A",IF(MOD(COLUMNS($H$151:N$151)-1,$E156)=0,$F156*$D156*$G156,)),)</f>
        <v>N/A</v>
      </c>
      <c r="O156" s="288" t="str">
        <f>IFERROR(IF($B156="N/A","N/A",IF(MOD(COLUMNS($H$151:O$151)-1,$E156)=0,$F156*$D156*$G156,)),)</f>
        <v>N/A</v>
      </c>
      <c r="P156" s="288" t="str">
        <f>IFERROR(IF($B156="N/A","N/A",IF(MOD(COLUMNS($H$151:P$151)-1,$E156)=0,$F156*$D156*$G156,)),)</f>
        <v>N/A</v>
      </c>
      <c r="Q156" s="288" t="str">
        <f>IFERROR(IF($B156="N/A","N/A",IF(MOD(COLUMNS($H$151:Q$151)-1,$E156)=0,$F156*$D156*$G156,)),)</f>
        <v>N/A</v>
      </c>
      <c r="R156" s="288" t="str">
        <f>IFERROR(IF($B156="N/A","N/A",IF(MOD(COLUMNS($H$151:R$151)-1,$E156)=0,$F156*$D156*$G156,)),)</f>
        <v>N/A</v>
      </c>
      <c r="S156" s="288" t="str">
        <f>IFERROR(IF($B156="N/A","N/A",IF(MOD(COLUMNS($H$151:S$151)-1,$E156)=0,$F156*$D156*$G156,)),)</f>
        <v>N/A</v>
      </c>
      <c r="T156" s="288" t="str">
        <f>IFERROR(IF($B156="N/A","N/A",IF(MOD(COLUMNS($H$151:T$151)-1,$E156)=0,$F156*$D156*$G156,)),)</f>
        <v>N/A</v>
      </c>
      <c r="U156" s="288" t="str">
        <f>IFERROR(IF($B156="N/A","N/A",IF(MOD(COLUMNS($H$151:U$151)-1,$E156)=0,$F156*$D156*$G156,)),)</f>
        <v>N/A</v>
      </c>
      <c r="V156" s="288" t="str">
        <f>IFERROR(IF($B156="N/A","N/A",IF(MOD(COLUMNS($H$151:V$151)-1,$E156)=0,$F156*$D156*$G156,)),)</f>
        <v>N/A</v>
      </c>
      <c r="W156" s="288" t="str">
        <f>IFERROR(IF($B156="N/A","N/A",IF(MOD(COLUMNS($H$151:W$151)-1,$E156)=0,$F156*$D156*$G156,)),)</f>
        <v>N/A</v>
      </c>
    </row>
    <row r="157" spans="2:23">
      <c r="B157" s="70" t="str">
        <f t="array" ref="B157">IF(COUNTIFS(INDEX(Equipment_Allocation_New,0,MATCH($C$107,Unit_codes,0)),"&gt;0")&lt;ROWS('2.2-Equipment input'!$X$8:$X13),"N/A",INDEX('2.2-Equipment input'!B:B,SMALL(IF(INDEX(Equipment_Allocation_New,0,MATCH($C$107,Unit_codes,0))&gt;0,ROW(equipment_ID)),ROW('2.2-Equipment input'!B6))))</f>
        <v>N/A</v>
      </c>
      <c r="C157" s="70" t="str">
        <f>IF($B157="N/A","N/A",INDEX(Equipment_name[],MATCH(B157,equipment_ID,0)))</f>
        <v>N/A</v>
      </c>
      <c r="D157" s="288" t="str">
        <f t="shared" si="19"/>
        <v>N/A</v>
      </c>
      <c r="E157" s="88" t="str">
        <f t="shared" si="20"/>
        <v>N/A</v>
      </c>
      <c r="F157" s="88" t="str">
        <f t="shared" si="21"/>
        <v>N/A</v>
      </c>
      <c r="G157" s="86" t="str">
        <f t="shared" si="22"/>
        <v>N/A</v>
      </c>
      <c r="H157" s="288" t="str">
        <f>IFERROR(IF($B157="N/A","N/A",IF(MOD(COLUMNS(H$151:$H$151)-1,$E157)=0,$F157*$D157*$G157,)),)</f>
        <v>N/A</v>
      </c>
      <c r="I157" s="288" t="str">
        <f>IFERROR(IF($B157="N/A","N/A",IF(MOD(COLUMNS($H$151:I$151)-1,$E157)=0,$F157*$D157*$G157,)),)</f>
        <v>N/A</v>
      </c>
      <c r="J157" s="288" t="str">
        <f>IFERROR(IF($B157="N/A","N/A",IF(MOD(COLUMNS($H$151:J$151)-1,$E157)=0,$F157*$D157*$G157,)),)</f>
        <v>N/A</v>
      </c>
      <c r="K157" s="288" t="str">
        <f>IFERROR(IF($B157="N/A","N/A",IF(MOD(COLUMNS($H$151:K$151)-1,$E157)=0,$F157*$D157*$G157,)),)</f>
        <v>N/A</v>
      </c>
      <c r="L157" s="288" t="str">
        <f>IFERROR(IF($B157="N/A","N/A",IF(MOD(COLUMNS($H$151:L$151)-1,$E157)=0,$F157*$D157*$G157,)),)</f>
        <v>N/A</v>
      </c>
      <c r="M157" s="288" t="str">
        <f>IFERROR(IF($B157="N/A","N/A",IF(MOD(COLUMNS($H$151:M$151)-1,$E157)=0,$F157*$D157*$G157,)),)</f>
        <v>N/A</v>
      </c>
      <c r="N157" s="288" t="str">
        <f>IFERROR(IF($B157="N/A","N/A",IF(MOD(COLUMNS($H$151:N$151)-1,$E157)=0,$F157*$D157*$G157,)),)</f>
        <v>N/A</v>
      </c>
      <c r="O157" s="288" t="str">
        <f>IFERROR(IF($B157="N/A","N/A",IF(MOD(COLUMNS($H$151:O$151)-1,$E157)=0,$F157*$D157*$G157,)),)</f>
        <v>N/A</v>
      </c>
      <c r="P157" s="288" t="str">
        <f>IFERROR(IF($B157="N/A","N/A",IF(MOD(COLUMNS($H$151:P$151)-1,$E157)=0,$F157*$D157*$G157,)),)</f>
        <v>N/A</v>
      </c>
      <c r="Q157" s="288" t="str">
        <f>IFERROR(IF($B157="N/A","N/A",IF(MOD(COLUMNS($H$151:Q$151)-1,$E157)=0,$F157*$D157*$G157,)),)</f>
        <v>N/A</v>
      </c>
      <c r="R157" s="288" t="str">
        <f>IFERROR(IF($B157="N/A","N/A",IF(MOD(COLUMNS($H$151:R$151)-1,$E157)=0,$F157*$D157*$G157,)),)</f>
        <v>N/A</v>
      </c>
      <c r="S157" s="288" t="str">
        <f>IFERROR(IF($B157="N/A","N/A",IF(MOD(COLUMNS($H$151:S$151)-1,$E157)=0,$F157*$D157*$G157,)),)</f>
        <v>N/A</v>
      </c>
      <c r="T157" s="288" t="str">
        <f>IFERROR(IF($B157="N/A","N/A",IF(MOD(COLUMNS($H$151:T$151)-1,$E157)=0,$F157*$D157*$G157,)),)</f>
        <v>N/A</v>
      </c>
      <c r="U157" s="288" t="str">
        <f>IFERROR(IF($B157="N/A","N/A",IF(MOD(COLUMNS($H$151:U$151)-1,$E157)=0,$F157*$D157*$G157,)),)</f>
        <v>N/A</v>
      </c>
      <c r="V157" s="288" t="str">
        <f>IFERROR(IF($B157="N/A","N/A",IF(MOD(COLUMNS($H$151:V$151)-1,$E157)=0,$F157*$D157*$G157,)),)</f>
        <v>N/A</v>
      </c>
      <c r="W157" s="288" t="str">
        <f>IFERROR(IF($B157="N/A","N/A",IF(MOD(COLUMNS($H$151:W$151)-1,$E157)=0,$F157*$D157*$G157,)),)</f>
        <v>N/A</v>
      </c>
    </row>
    <row r="158" spans="2:23">
      <c r="B158" s="70" t="str">
        <f t="array" ref="B158">IF(COUNTIFS(INDEX(Equipment_Allocation_New,0,MATCH($C$107,Unit_codes,0)),"&gt;0")&lt;ROWS('2.2-Equipment input'!$X$8:$X14),"N/A",INDEX('2.2-Equipment input'!B:B,SMALL(IF(INDEX(Equipment_Allocation_New,0,MATCH($C$107,Unit_codes,0))&gt;0,ROW(equipment_ID)),ROW('2.2-Equipment input'!B7))))</f>
        <v>N/A</v>
      </c>
      <c r="C158" s="70" t="str">
        <f>IF($B158="N/A","N/A",INDEX(Equipment_name[],MATCH(B158,equipment_ID,0)))</f>
        <v>N/A</v>
      </c>
      <c r="D158" s="288" t="str">
        <f t="shared" si="19"/>
        <v>N/A</v>
      </c>
      <c r="E158" s="88" t="str">
        <f t="shared" si="20"/>
        <v>N/A</v>
      </c>
      <c r="F158" s="88" t="str">
        <f t="shared" si="21"/>
        <v>N/A</v>
      </c>
      <c r="G158" s="86" t="str">
        <f t="shared" si="22"/>
        <v>N/A</v>
      </c>
      <c r="H158" s="288" t="str">
        <f>IFERROR(IF($B158="N/A","N/A",IF(MOD(COLUMNS(H$151:$H$151)-1,$E158)=0,$F158*$D158*$G158,)),)</f>
        <v>N/A</v>
      </c>
      <c r="I158" s="288" t="str">
        <f>IFERROR(IF($B158="N/A","N/A",IF(MOD(COLUMNS($H$151:I$151)-1,$E158)=0,$F158*$D158*$G158,)),)</f>
        <v>N/A</v>
      </c>
      <c r="J158" s="288" t="str">
        <f>IFERROR(IF($B158="N/A","N/A",IF(MOD(COLUMNS($H$151:J$151)-1,$E158)=0,$F158*$D158*$G158,)),)</f>
        <v>N/A</v>
      </c>
      <c r="K158" s="288" t="str">
        <f>IFERROR(IF($B158="N/A","N/A",IF(MOD(COLUMNS($H$151:K$151)-1,$E158)=0,$F158*$D158*$G158,)),)</f>
        <v>N/A</v>
      </c>
      <c r="L158" s="288" t="str">
        <f>IFERROR(IF($B158="N/A","N/A",IF(MOD(COLUMNS($H$151:L$151)-1,$E158)=0,$F158*$D158*$G158,)),)</f>
        <v>N/A</v>
      </c>
      <c r="M158" s="288" t="str">
        <f>IFERROR(IF($B158="N/A","N/A",IF(MOD(COLUMNS($H$151:M$151)-1,$E158)=0,$F158*$D158*$G158,)),)</f>
        <v>N/A</v>
      </c>
      <c r="N158" s="288" t="str">
        <f>IFERROR(IF($B158="N/A","N/A",IF(MOD(COLUMNS($H$151:N$151)-1,$E158)=0,$F158*$D158*$G158,)),)</f>
        <v>N/A</v>
      </c>
      <c r="O158" s="288" t="str">
        <f>IFERROR(IF($B158="N/A","N/A",IF(MOD(COLUMNS($H$151:O$151)-1,$E158)=0,$F158*$D158*$G158,)),)</f>
        <v>N/A</v>
      </c>
      <c r="P158" s="288" t="str">
        <f>IFERROR(IF($B158="N/A","N/A",IF(MOD(COLUMNS($H$151:P$151)-1,$E158)=0,$F158*$D158*$G158,)),)</f>
        <v>N/A</v>
      </c>
      <c r="Q158" s="288" t="str">
        <f>IFERROR(IF($B158="N/A","N/A",IF(MOD(COLUMNS($H$151:Q$151)-1,$E158)=0,$F158*$D158*$G158,)),)</f>
        <v>N/A</v>
      </c>
      <c r="R158" s="288" t="str">
        <f>IFERROR(IF($B158="N/A","N/A",IF(MOD(COLUMNS($H$151:R$151)-1,$E158)=0,$F158*$D158*$G158,)),)</f>
        <v>N/A</v>
      </c>
      <c r="S158" s="288" t="str">
        <f>IFERROR(IF($B158="N/A","N/A",IF(MOD(COLUMNS($H$151:S$151)-1,$E158)=0,$F158*$D158*$G158,)),)</f>
        <v>N/A</v>
      </c>
      <c r="T158" s="288" t="str">
        <f>IFERROR(IF($B158="N/A","N/A",IF(MOD(COLUMNS($H$151:T$151)-1,$E158)=0,$F158*$D158*$G158,)),)</f>
        <v>N/A</v>
      </c>
      <c r="U158" s="288" t="str">
        <f>IFERROR(IF($B158="N/A","N/A",IF(MOD(COLUMNS($H$151:U$151)-1,$E158)=0,$F158*$D158*$G158,)),)</f>
        <v>N/A</v>
      </c>
      <c r="V158" s="288" t="str">
        <f>IFERROR(IF($B158="N/A","N/A",IF(MOD(COLUMNS($H$151:V$151)-1,$E158)=0,$F158*$D158*$G158,)),)</f>
        <v>N/A</v>
      </c>
      <c r="W158" s="288" t="str">
        <f>IFERROR(IF($B158="N/A","N/A",IF(MOD(COLUMNS($H$151:W$151)-1,$E158)=0,$F158*$D158*$G158,)),)</f>
        <v>N/A</v>
      </c>
    </row>
    <row r="159" spans="2:23">
      <c r="B159" s="70" t="str">
        <f t="array" ref="B159">IF(COUNTIFS(INDEX(Equipment_Allocation_New,0,MATCH($C$107,Unit_codes,0)),"&gt;0")&lt;ROWS('2.2-Equipment input'!$X$8:$X15),"N/A",INDEX('2.2-Equipment input'!B:B,SMALL(IF(INDEX(Equipment_Allocation_New,0,MATCH($C$107,Unit_codes,0))&gt;0,ROW(equipment_ID)),ROW('2.2-Equipment input'!B8))))</f>
        <v>N/A</v>
      </c>
      <c r="C159" s="70" t="str">
        <f>IF($B159="N/A","N/A",INDEX(Equipment_name[],MATCH(B159,equipment_ID,0)))</f>
        <v>N/A</v>
      </c>
      <c r="D159" s="288" t="str">
        <f t="shared" si="19"/>
        <v>N/A</v>
      </c>
      <c r="E159" s="88" t="str">
        <f t="shared" si="20"/>
        <v>N/A</v>
      </c>
      <c r="F159" s="88" t="str">
        <f t="shared" si="21"/>
        <v>N/A</v>
      </c>
      <c r="G159" s="86" t="str">
        <f t="shared" si="22"/>
        <v>N/A</v>
      </c>
      <c r="H159" s="288" t="str">
        <f>IFERROR(IF($B159="N/A","N/A",IF(MOD(COLUMNS(H$151:$H$151)-1,$E159)=0,$F159*$D159*$G159,)),)</f>
        <v>N/A</v>
      </c>
      <c r="I159" s="288" t="str">
        <f>IFERROR(IF($B159="N/A","N/A",IF(MOD(COLUMNS($H$151:I$151)-1,$E159)=0,$F159*$D159*$G159,)),)</f>
        <v>N/A</v>
      </c>
      <c r="J159" s="288" t="str">
        <f>IFERROR(IF($B159="N/A","N/A",IF(MOD(COLUMNS($H$151:J$151)-1,$E159)=0,$F159*$D159*$G159,)),)</f>
        <v>N/A</v>
      </c>
      <c r="K159" s="288" t="str">
        <f>IFERROR(IF($B159="N/A","N/A",IF(MOD(COLUMNS($H$151:K$151)-1,$E159)=0,$F159*$D159*$G159,)),)</f>
        <v>N/A</v>
      </c>
      <c r="L159" s="288" t="str">
        <f>IFERROR(IF($B159="N/A","N/A",IF(MOD(COLUMNS($H$151:L$151)-1,$E159)=0,$F159*$D159*$G159,)),)</f>
        <v>N/A</v>
      </c>
      <c r="M159" s="288" t="str">
        <f>IFERROR(IF($B159="N/A","N/A",IF(MOD(COLUMNS($H$151:M$151)-1,$E159)=0,$F159*$D159*$G159,)),)</f>
        <v>N/A</v>
      </c>
      <c r="N159" s="288" t="str">
        <f>IFERROR(IF($B159="N/A","N/A",IF(MOD(COLUMNS($H$151:N$151)-1,$E159)=0,$F159*$D159*$G159,)),)</f>
        <v>N/A</v>
      </c>
      <c r="O159" s="288" t="str">
        <f>IFERROR(IF($B159="N/A","N/A",IF(MOD(COLUMNS($H$151:O$151)-1,$E159)=0,$F159*$D159*$G159,)),)</f>
        <v>N/A</v>
      </c>
      <c r="P159" s="288" t="str">
        <f>IFERROR(IF($B159="N/A","N/A",IF(MOD(COLUMNS($H$151:P$151)-1,$E159)=0,$F159*$D159*$G159,)),)</f>
        <v>N/A</v>
      </c>
      <c r="Q159" s="288" t="str">
        <f>IFERROR(IF($B159="N/A","N/A",IF(MOD(COLUMNS($H$151:Q$151)-1,$E159)=0,$F159*$D159*$G159,)),)</f>
        <v>N/A</v>
      </c>
      <c r="R159" s="288" t="str">
        <f>IFERROR(IF($B159="N/A","N/A",IF(MOD(COLUMNS($H$151:R$151)-1,$E159)=0,$F159*$D159*$G159,)),)</f>
        <v>N/A</v>
      </c>
      <c r="S159" s="288" t="str">
        <f>IFERROR(IF($B159="N/A","N/A",IF(MOD(COLUMNS($H$151:S$151)-1,$E159)=0,$F159*$D159*$G159,)),)</f>
        <v>N/A</v>
      </c>
      <c r="T159" s="288" t="str">
        <f>IFERROR(IF($B159="N/A","N/A",IF(MOD(COLUMNS($H$151:T$151)-1,$E159)=0,$F159*$D159*$G159,)),)</f>
        <v>N/A</v>
      </c>
      <c r="U159" s="288" t="str">
        <f>IFERROR(IF($B159="N/A","N/A",IF(MOD(COLUMNS($H$151:U$151)-1,$E159)=0,$F159*$D159*$G159,)),)</f>
        <v>N/A</v>
      </c>
      <c r="V159" s="288" t="str">
        <f>IFERROR(IF($B159="N/A","N/A",IF(MOD(COLUMNS($H$151:V$151)-1,$E159)=0,$F159*$D159*$G159,)),)</f>
        <v>N/A</v>
      </c>
      <c r="W159" s="288" t="str">
        <f>IFERROR(IF($B159="N/A","N/A",IF(MOD(COLUMNS($H$151:W$151)-1,$E159)=0,$F159*$D159*$G159,)),)</f>
        <v>N/A</v>
      </c>
    </row>
    <row r="160" spans="2:23">
      <c r="B160" s="70" t="str">
        <f t="array" ref="B160">IF(COUNTIFS(INDEX(Equipment_Allocation_New,0,MATCH($C$107,Unit_codes,0)),"&gt;0")&lt;ROWS('2.2-Equipment input'!$X$8:$X16),"N/A",INDEX('2.2-Equipment input'!B:B,SMALL(IF(INDEX(Equipment_Allocation_New,0,MATCH($C$107,Unit_codes,0))&gt;0,ROW(equipment_ID)),ROW('2.2-Equipment input'!B9))))</f>
        <v>N/A</v>
      </c>
      <c r="C160" s="70" t="str">
        <f>IF($B160="N/A","N/A",INDEX(Equipment_name[],MATCH(B160,equipment_ID,0)))</f>
        <v>N/A</v>
      </c>
      <c r="D160" s="288" t="str">
        <f t="shared" si="19"/>
        <v>N/A</v>
      </c>
      <c r="E160" s="88" t="str">
        <f t="shared" si="20"/>
        <v>N/A</v>
      </c>
      <c r="F160" s="88" t="str">
        <f t="shared" si="21"/>
        <v>N/A</v>
      </c>
      <c r="G160" s="86" t="str">
        <f t="shared" si="22"/>
        <v>N/A</v>
      </c>
      <c r="H160" s="288" t="str">
        <f>IFERROR(IF($B160="N/A","N/A",IF(MOD(COLUMNS(H$151:$H$151)-1,$E160)=0,$F160*$D160*$G160,)),)</f>
        <v>N/A</v>
      </c>
      <c r="I160" s="288" t="str">
        <f>IFERROR(IF($B160="N/A","N/A",IF(MOD(COLUMNS($H$151:I$151)-1,$E160)=0,$F160*$D160*$G160,)),)</f>
        <v>N/A</v>
      </c>
      <c r="J160" s="288" t="str">
        <f>IFERROR(IF($B160="N/A","N/A",IF(MOD(COLUMNS($H$151:J$151)-1,$E160)=0,$F160*$D160*$G160,)),)</f>
        <v>N/A</v>
      </c>
      <c r="K160" s="288" t="str">
        <f>IFERROR(IF($B160="N/A","N/A",IF(MOD(COLUMNS($H$151:K$151)-1,$E160)=0,$F160*$D160*$G160,)),)</f>
        <v>N/A</v>
      </c>
      <c r="L160" s="288" t="str">
        <f>IFERROR(IF($B160="N/A","N/A",IF(MOD(COLUMNS($H$151:L$151)-1,$E160)=0,$F160*$D160*$G160,)),)</f>
        <v>N/A</v>
      </c>
      <c r="M160" s="288" t="str">
        <f>IFERROR(IF($B160="N/A","N/A",IF(MOD(COLUMNS($H$151:M$151)-1,$E160)=0,$F160*$D160*$G160,)),)</f>
        <v>N/A</v>
      </c>
      <c r="N160" s="288" t="str">
        <f>IFERROR(IF($B160="N/A","N/A",IF(MOD(COLUMNS($H$151:N$151)-1,$E160)=0,$F160*$D160*$G160,)),)</f>
        <v>N/A</v>
      </c>
      <c r="O160" s="288" t="str">
        <f>IFERROR(IF($B160="N/A","N/A",IF(MOD(COLUMNS($H$151:O$151)-1,$E160)=0,$F160*$D160*$G160,)),)</f>
        <v>N/A</v>
      </c>
      <c r="P160" s="288" t="str">
        <f>IFERROR(IF($B160="N/A","N/A",IF(MOD(COLUMNS($H$151:P$151)-1,$E160)=0,$F160*$D160*$G160,)),)</f>
        <v>N/A</v>
      </c>
      <c r="Q160" s="288" t="str">
        <f>IFERROR(IF($B160="N/A","N/A",IF(MOD(COLUMNS($H$151:Q$151)-1,$E160)=0,$F160*$D160*$G160,)),)</f>
        <v>N/A</v>
      </c>
      <c r="R160" s="288" t="str">
        <f>IFERROR(IF($B160="N/A","N/A",IF(MOD(COLUMNS($H$151:R$151)-1,$E160)=0,$F160*$D160*$G160,)),)</f>
        <v>N/A</v>
      </c>
      <c r="S160" s="288" t="str">
        <f>IFERROR(IF($B160="N/A","N/A",IF(MOD(COLUMNS($H$151:S$151)-1,$E160)=0,$F160*$D160*$G160,)),)</f>
        <v>N/A</v>
      </c>
      <c r="T160" s="288" t="str">
        <f>IFERROR(IF($B160="N/A","N/A",IF(MOD(COLUMNS($H$151:T$151)-1,$E160)=0,$F160*$D160*$G160,)),)</f>
        <v>N/A</v>
      </c>
      <c r="U160" s="288" t="str">
        <f>IFERROR(IF($B160="N/A","N/A",IF(MOD(COLUMNS($H$151:U$151)-1,$E160)=0,$F160*$D160*$G160,)),)</f>
        <v>N/A</v>
      </c>
      <c r="V160" s="288" t="str">
        <f>IFERROR(IF($B160="N/A","N/A",IF(MOD(COLUMNS($H$151:V$151)-1,$E160)=0,$F160*$D160*$G160,)),)</f>
        <v>N/A</v>
      </c>
      <c r="W160" s="288" t="str">
        <f>IFERROR(IF($B160="N/A","N/A",IF(MOD(COLUMNS($H$151:W$151)-1,$E160)=0,$F160*$D160*$G160,)),)</f>
        <v>N/A</v>
      </c>
    </row>
    <row r="161" spans="2:23">
      <c r="B161" s="70" t="str">
        <f t="array" ref="B161">IF(COUNTIFS(INDEX(Equipment_Allocation_New,0,MATCH($C$107,Unit_codes,0)),"&gt;0")&lt;ROWS('2.2-Equipment input'!$X$8:$X17),"N/A",INDEX('2.2-Equipment input'!B:B,SMALL(IF(INDEX(Equipment_Allocation_New,0,MATCH($C$107,Unit_codes,0))&gt;0,ROW(equipment_ID)),ROW('2.2-Equipment input'!B10))))</f>
        <v>N/A</v>
      </c>
      <c r="C161" s="70" t="str">
        <f>IF($B161="N/A","N/A",INDEX(Equipment_name[],MATCH(B161,equipment_ID,0)))</f>
        <v>N/A</v>
      </c>
      <c r="D161" s="288" t="str">
        <f t="shared" si="19"/>
        <v>N/A</v>
      </c>
      <c r="E161" s="88" t="str">
        <f t="shared" si="20"/>
        <v>N/A</v>
      </c>
      <c r="F161" s="88" t="str">
        <f t="shared" si="21"/>
        <v>N/A</v>
      </c>
      <c r="G161" s="88" t="str">
        <f t="shared" si="22"/>
        <v>N/A</v>
      </c>
      <c r="H161" s="288" t="str">
        <f>IFERROR(IF($B161="N/A","N/A",IF(MOD(COLUMNS(H$151:$H$151)-1,$E161)=0,$F161*$D161*$G161,)),)</f>
        <v>N/A</v>
      </c>
      <c r="I161" s="288" t="str">
        <f>IFERROR(IF($B161="N/A","N/A",IF(MOD(COLUMNS($H$151:I$151)-1,$E161)=0,$F161*$D161*$G161,)),)</f>
        <v>N/A</v>
      </c>
      <c r="J161" s="288" t="str">
        <f>IFERROR(IF($B161="N/A","N/A",IF(MOD(COLUMNS($H$151:J$151)-1,$E161)=0,$F161*$D161*$G161,)),)</f>
        <v>N/A</v>
      </c>
      <c r="K161" s="288" t="str">
        <f>IFERROR(IF($B161="N/A","N/A",IF(MOD(COLUMNS($H$151:K$151)-1,$E161)=0,$F161*$D161*$G161,)),)</f>
        <v>N/A</v>
      </c>
      <c r="L161" s="288" t="str">
        <f>IFERROR(IF($B161="N/A","N/A",IF(MOD(COLUMNS($H$151:L$151)-1,$E161)=0,$F161*$D161*$G161,)),)</f>
        <v>N/A</v>
      </c>
      <c r="M161" s="288" t="str">
        <f>IFERROR(IF($B161="N/A","N/A",IF(MOD(COLUMNS($H$151:M$151)-1,$E161)=0,$F161*$D161*$G161,)),)</f>
        <v>N/A</v>
      </c>
      <c r="N161" s="288" t="str">
        <f>IFERROR(IF($B161="N/A","N/A",IF(MOD(COLUMNS($H$151:N$151)-1,$E161)=0,$F161*$D161*$G161,)),)</f>
        <v>N/A</v>
      </c>
      <c r="O161" s="288" t="str">
        <f>IFERROR(IF($B161="N/A","N/A",IF(MOD(COLUMNS($H$151:O$151)-1,$E161)=0,$F161*$D161*$G161,)),)</f>
        <v>N/A</v>
      </c>
      <c r="P161" s="288" t="str">
        <f>IFERROR(IF($B161="N/A","N/A",IF(MOD(COLUMNS($H$151:P$151)-1,$E161)=0,$F161*$D161*$G161,)),)</f>
        <v>N/A</v>
      </c>
      <c r="Q161" s="288" t="str">
        <f>IFERROR(IF($B161="N/A","N/A",IF(MOD(COLUMNS($H$151:Q$151)-1,$E161)=0,$F161*$D161*$G161,)),)</f>
        <v>N/A</v>
      </c>
      <c r="R161" s="288" t="str">
        <f>IFERROR(IF($B161="N/A","N/A",IF(MOD(COLUMNS($H$151:R$151)-1,$E161)=0,$F161*$D161*$G161,)),)</f>
        <v>N/A</v>
      </c>
      <c r="S161" s="288" t="str">
        <f>IFERROR(IF($B161="N/A","N/A",IF(MOD(COLUMNS($H$151:S$151)-1,$E161)=0,$F161*$D161*$G161,)),)</f>
        <v>N/A</v>
      </c>
      <c r="T161" s="288" t="str">
        <f>IFERROR(IF($B161="N/A","N/A",IF(MOD(COLUMNS($H$151:T$151)-1,$E161)=0,$F161*$D161*$G161,)),)</f>
        <v>N/A</v>
      </c>
      <c r="U161" s="288" t="str">
        <f>IFERROR(IF($B161="N/A","N/A",IF(MOD(COLUMNS($H$151:U$151)-1,$E161)=0,$F161*$D161*$G161,)),)</f>
        <v>N/A</v>
      </c>
      <c r="V161" s="288" t="str">
        <f>IFERROR(IF($B161="N/A","N/A",IF(MOD(COLUMNS($H$151:V$151)-1,$E161)=0,$F161*$D161*$G161,)),)</f>
        <v>N/A</v>
      </c>
      <c r="W161" s="288" t="str">
        <f>IFERROR(IF($B161="N/A","N/A",IF(MOD(COLUMNS($H$151:W$151)-1,$E161)=0,$F161*$D161*$G161,)),)</f>
        <v>N/A</v>
      </c>
    </row>
    <row r="162" spans="2:23">
      <c r="B162" s="70" t="str">
        <f t="array" ref="B162">IF(COUNTIFS(INDEX(Equipment_Allocation_New,0,MATCH($C$107,Unit_codes,0)),"&gt;0")&lt;ROWS('2.2-Equipment input'!$X$8:$X18),"N/A",INDEX('2.2-Equipment input'!B:B,SMALL(IF(INDEX(Equipment_Allocation_New,0,MATCH($C$107,Unit_codes,0))&gt;0,ROW(equipment_ID)),ROW('2.2-Equipment input'!B11))))</f>
        <v>N/A</v>
      </c>
      <c r="C162" s="70" t="str">
        <f>IF($B162="N/A","N/A",INDEX(Equipment_name[],MATCH(B162,equipment_ID,0)))</f>
        <v>N/A</v>
      </c>
      <c r="D162" s="288" t="str">
        <f t="shared" si="19"/>
        <v>N/A</v>
      </c>
      <c r="E162" s="88" t="str">
        <f t="shared" si="20"/>
        <v>N/A</v>
      </c>
      <c r="F162" s="88" t="str">
        <f t="shared" si="21"/>
        <v>N/A</v>
      </c>
      <c r="G162" s="88" t="str">
        <f t="shared" si="22"/>
        <v>N/A</v>
      </c>
      <c r="H162" s="288" t="str">
        <f>IFERROR(IF($B162="N/A","N/A",IF(MOD(COLUMNS(H$151:$H$151)-1,$E162)=0,$F162*$D162*$G162,)),)</f>
        <v>N/A</v>
      </c>
      <c r="I162" s="288" t="str">
        <f>IFERROR(IF($B162="N/A","N/A",IF(MOD(COLUMNS($H$151:I$151)-1,$E162)=0,$F162*$D162*$G162,)),)</f>
        <v>N/A</v>
      </c>
      <c r="J162" s="288" t="str">
        <f>IFERROR(IF($B162="N/A","N/A",IF(MOD(COLUMNS($H$151:J$151)-1,$E162)=0,$F162*$D162*$G162,)),)</f>
        <v>N/A</v>
      </c>
      <c r="K162" s="288" t="str">
        <f>IFERROR(IF($B162="N/A","N/A",IF(MOD(COLUMNS($H$151:K$151)-1,$E162)=0,$F162*$D162*$G162,)),)</f>
        <v>N/A</v>
      </c>
      <c r="L162" s="288" t="str">
        <f>IFERROR(IF($B162="N/A","N/A",IF(MOD(COLUMNS($H$151:L$151)-1,$E162)=0,$F162*$D162*$G162,)),)</f>
        <v>N/A</v>
      </c>
      <c r="M162" s="288" t="str">
        <f>IFERROR(IF($B162="N/A","N/A",IF(MOD(COLUMNS($H$151:M$151)-1,$E162)=0,$F162*$D162*$G162,)),)</f>
        <v>N/A</v>
      </c>
      <c r="N162" s="288" t="str">
        <f>IFERROR(IF($B162="N/A","N/A",IF(MOD(COLUMNS($H$151:N$151)-1,$E162)=0,$F162*$D162*$G162,)),)</f>
        <v>N/A</v>
      </c>
      <c r="O162" s="288" t="str">
        <f>IFERROR(IF($B162="N/A","N/A",IF(MOD(COLUMNS($H$151:O$151)-1,$E162)=0,$F162*$D162*$G162,)),)</f>
        <v>N/A</v>
      </c>
      <c r="P162" s="288" t="str">
        <f>IFERROR(IF($B162="N/A","N/A",IF(MOD(COLUMNS($H$151:P$151)-1,$E162)=0,$F162*$D162*$G162,)),)</f>
        <v>N/A</v>
      </c>
      <c r="Q162" s="288" t="str">
        <f>IFERROR(IF($B162="N/A","N/A",IF(MOD(COLUMNS($H$151:Q$151)-1,$E162)=0,$F162*$D162*$G162,)),)</f>
        <v>N/A</v>
      </c>
      <c r="R162" s="288" t="str">
        <f>IFERROR(IF($B162="N/A","N/A",IF(MOD(COLUMNS($H$151:R$151)-1,$E162)=0,$F162*$D162*$G162,)),)</f>
        <v>N/A</v>
      </c>
      <c r="S162" s="288" t="str">
        <f>IFERROR(IF($B162="N/A","N/A",IF(MOD(COLUMNS($H$151:S$151)-1,$E162)=0,$F162*$D162*$G162,)),)</f>
        <v>N/A</v>
      </c>
      <c r="T162" s="288" t="str">
        <f>IFERROR(IF($B162="N/A","N/A",IF(MOD(COLUMNS($H$151:T$151)-1,$E162)=0,$F162*$D162*$G162,)),)</f>
        <v>N/A</v>
      </c>
      <c r="U162" s="288" t="str">
        <f>IFERROR(IF($B162="N/A","N/A",IF(MOD(COLUMNS($H$151:U$151)-1,$E162)=0,$F162*$D162*$G162,)),)</f>
        <v>N/A</v>
      </c>
      <c r="V162" s="288" t="str">
        <f>IFERROR(IF($B162="N/A","N/A",IF(MOD(COLUMNS($H$151:V$151)-1,$E162)=0,$F162*$D162*$G162,)),)</f>
        <v>N/A</v>
      </c>
      <c r="W162" s="288" t="str">
        <f>IFERROR(IF($B162="N/A","N/A",IF(MOD(COLUMNS($H$151:W$151)-1,$E162)=0,$F162*$D162*$G162,)),)</f>
        <v>N/A</v>
      </c>
    </row>
    <row r="163" spans="2:23">
      <c r="B163" s="70" t="str">
        <f t="array" ref="B163">IF(COUNTIFS(INDEX(Equipment_Allocation_New,0,MATCH($C$107,Unit_codes,0)),"&gt;0")&lt;ROWS('2.2-Equipment input'!$X$8:$X19),"N/A",INDEX('2.2-Equipment input'!B:B,SMALL(IF(INDEX(Equipment_Allocation_New,0,MATCH($C$107,Unit_codes,0))&gt;0,ROW(equipment_ID)),ROW('2.2-Equipment input'!B12))))</f>
        <v>N/A</v>
      </c>
      <c r="C163" s="70" t="str">
        <f>IF($B163="N/A","N/A",INDEX(Equipment_name[],MATCH(B163,equipment_ID,0)))</f>
        <v>N/A</v>
      </c>
      <c r="D163" s="288" t="str">
        <f t="shared" si="19"/>
        <v>N/A</v>
      </c>
      <c r="E163" s="88" t="str">
        <f t="shared" si="20"/>
        <v>N/A</v>
      </c>
      <c r="F163" s="88" t="str">
        <f t="shared" si="21"/>
        <v>N/A</v>
      </c>
      <c r="G163" s="88" t="str">
        <f t="shared" si="22"/>
        <v>N/A</v>
      </c>
      <c r="H163" s="288" t="str">
        <f>IFERROR(IF($B163="N/A","N/A",IF(MOD(COLUMNS(H$151:$H$151)-1,$E163)=0,$F163*$D163*$G163,)),)</f>
        <v>N/A</v>
      </c>
      <c r="I163" s="288" t="str">
        <f>IFERROR(IF($B163="N/A","N/A",IF(MOD(COLUMNS($H$151:I$151)-1,$E163)=0,$F163*$D163*$G163,)),)</f>
        <v>N/A</v>
      </c>
      <c r="J163" s="288" t="str">
        <f>IFERROR(IF($B163="N/A","N/A",IF(MOD(COLUMNS($H$151:J$151)-1,$E163)=0,$F163*$D163*$G163,)),)</f>
        <v>N/A</v>
      </c>
      <c r="K163" s="288" t="str">
        <f>IFERROR(IF($B163="N/A","N/A",IF(MOD(COLUMNS($H$151:K$151)-1,$E163)=0,$F163*$D163*$G163,)),)</f>
        <v>N/A</v>
      </c>
      <c r="L163" s="288" t="str">
        <f>IFERROR(IF($B163="N/A","N/A",IF(MOD(COLUMNS($H$151:L$151)-1,$E163)=0,$F163*$D163*$G163,)),)</f>
        <v>N/A</v>
      </c>
      <c r="M163" s="288" t="str">
        <f>IFERROR(IF($B163="N/A","N/A",IF(MOD(COLUMNS($H$151:M$151)-1,$E163)=0,$F163*$D163*$G163,)),)</f>
        <v>N/A</v>
      </c>
      <c r="N163" s="288" t="str">
        <f>IFERROR(IF($B163="N/A","N/A",IF(MOD(COLUMNS($H$151:N$151)-1,$E163)=0,$F163*$D163*$G163,)),)</f>
        <v>N/A</v>
      </c>
      <c r="O163" s="288" t="str">
        <f>IFERROR(IF($B163="N/A","N/A",IF(MOD(COLUMNS($H$151:O$151)-1,$E163)=0,$F163*$D163*$G163,)),)</f>
        <v>N/A</v>
      </c>
      <c r="P163" s="288" t="str">
        <f>IFERROR(IF($B163="N/A","N/A",IF(MOD(COLUMNS($H$151:P$151)-1,$E163)=0,$F163*$D163*$G163,)),)</f>
        <v>N/A</v>
      </c>
      <c r="Q163" s="288" t="str">
        <f>IFERROR(IF($B163="N/A","N/A",IF(MOD(COLUMNS($H$151:Q$151)-1,$E163)=0,$F163*$D163*$G163,)),)</f>
        <v>N/A</v>
      </c>
      <c r="R163" s="288" t="str">
        <f>IFERROR(IF($B163="N/A","N/A",IF(MOD(COLUMNS($H$151:R$151)-1,$E163)=0,$F163*$D163*$G163,)),)</f>
        <v>N/A</v>
      </c>
      <c r="S163" s="288" t="str">
        <f>IFERROR(IF($B163="N/A","N/A",IF(MOD(COLUMNS($H$151:S$151)-1,$E163)=0,$F163*$D163*$G163,)),)</f>
        <v>N/A</v>
      </c>
      <c r="T163" s="288" t="str">
        <f>IFERROR(IF($B163="N/A","N/A",IF(MOD(COLUMNS($H$151:T$151)-1,$E163)=0,$F163*$D163*$G163,)),)</f>
        <v>N/A</v>
      </c>
      <c r="U163" s="288" t="str">
        <f>IFERROR(IF($B163="N/A","N/A",IF(MOD(COLUMNS($H$151:U$151)-1,$E163)=0,$F163*$D163*$G163,)),)</f>
        <v>N/A</v>
      </c>
      <c r="V163" s="288" t="str">
        <f>IFERROR(IF($B163="N/A","N/A",IF(MOD(COLUMNS($H$151:V$151)-1,$E163)=0,$F163*$D163*$G163,)),)</f>
        <v>N/A</v>
      </c>
      <c r="W163" s="288" t="str">
        <f>IFERROR(IF($B163="N/A","N/A",IF(MOD(COLUMNS($H$151:W$151)-1,$E163)=0,$F163*$D163*$G163,)),)</f>
        <v>N/A</v>
      </c>
    </row>
    <row r="164" spans="2:23">
      <c r="B164" s="70" t="str">
        <f t="array" ref="B164">IF(COUNTIFS(INDEX(Equipment_Allocation_New,0,MATCH($C$107,Unit_codes,0)),"&gt;0")&lt;ROWS('2.2-Equipment input'!$X$8:$X20),"N/A",INDEX('2.2-Equipment input'!B:B,SMALL(IF(INDEX(Equipment_Allocation_New,0,MATCH($C$107,Unit_codes,0))&gt;0,ROW(equipment_ID)),ROW('2.2-Equipment input'!B13))))</f>
        <v>N/A</v>
      </c>
      <c r="C164" s="70" t="str">
        <f>IF($B164="N/A","N/A",INDEX(Equipment_name[],MATCH(B164,equipment_ID,0)))</f>
        <v>N/A</v>
      </c>
      <c r="D164" s="288" t="str">
        <f t="shared" si="19"/>
        <v>N/A</v>
      </c>
      <c r="E164" s="88" t="str">
        <f t="shared" si="20"/>
        <v>N/A</v>
      </c>
      <c r="F164" s="88" t="str">
        <f t="shared" si="21"/>
        <v>N/A</v>
      </c>
      <c r="G164" s="88" t="str">
        <f t="shared" si="22"/>
        <v>N/A</v>
      </c>
      <c r="H164" s="288" t="str">
        <f>IFERROR(IF($B164="N/A","N/A",IF(MOD(COLUMNS(H$151:$H$151)-1,$E164)=0,$F164*$D164*$G164,)),)</f>
        <v>N/A</v>
      </c>
      <c r="I164" s="288" t="str">
        <f>IFERROR(IF($B164="N/A","N/A",IF(MOD(COLUMNS($H$151:I$151)-1,$E164)=0,$F164*$D164*$G164,)),)</f>
        <v>N/A</v>
      </c>
      <c r="J164" s="288" t="str">
        <f>IFERROR(IF($B164="N/A","N/A",IF(MOD(COLUMNS($H$151:J$151)-1,$E164)=0,$F164*$D164*$G164,)),)</f>
        <v>N/A</v>
      </c>
      <c r="K164" s="288" t="str">
        <f>IFERROR(IF($B164="N/A","N/A",IF(MOD(COLUMNS($H$151:K$151)-1,$E164)=0,$F164*$D164*$G164,)),)</f>
        <v>N/A</v>
      </c>
      <c r="L164" s="288" t="str">
        <f>IFERROR(IF($B164="N/A","N/A",IF(MOD(COLUMNS($H$151:L$151)-1,$E164)=0,$F164*$D164*$G164,)),)</f>
        <v>N/A</v>
      </c>
      <c r="M164" s="288" t="str">
        <f>IFERROR(IF($B164="N/A","N/A",IF(MOD(COLUMNS($H$151:M$151)-1,$E164)=0,$F164*$D164*$G164,)),)</f>
        <v>N/A</v>
      </c>
      <c r="N164" s="288" t="str">
        <f>IFERROR(IF($B164="N/A","N/A",IF(MOD(COLUMNS($H$151:N$151)-1,$E164)=0,$F164*$D164*$G164,)),)</f>
        <v>N/A</v>
      </c>
      <c r="O164" s="288" t="str">
        <f>IFERROR(IF($B164="N/A","N/A",IF(MOD(COLUMNS($H$151:O$151)-1,$E164)=0,$F164*$D164*$G164,)),)</f>
        <v>N/A</v>
      </c>
      <c r="P164" s="288" t="str">
        <f>IFERROR(IF($B164="N/A","N/A",IF(MOD(COLUMNS($H$151:P$151)-1,$E164)=0,$F164*$D164*$G164,)),)</f>
        <v>N/A</v>
      </c>
      <c r="Q164" s="288" t="str">
        <f>IFERROR(IF($B164="N/A","N/A",IF(MOD(COLUMNS($H$151:Q$151)-1,$E164)=0,$F164*$D164*$G164,)),)</f>
        <v>N/A</v>
      </c>
      <c r="R164" s="288" t="str">
        <f>IFERROR(IF($B164="N/A","N/A",IF(MOD(COLUMNS($H$151:R$151)-1,$E164)=0,$F164*$D164*$G164,)),)</f>
        <v>N/A</v>
      </c>
      <c r="S164" s="288" t="str">
        <f>IFERROR(IF($B164="N/A","N/A",IF(MOD(COLUMNS($H$151:S$151)-1,$E164)=0,$F164*$D164*$G164,)),)</f>
        <v>N/A</v>
      </c>
      <c r="T164" s="288" t="str">
        <f>IFERROR(IF($B164="N/A","N/A",IF(MOD(COLUMNS($H$151:T$151)-1,$E164)=0,$F164*$D164*$G164,)),)</f>
        <v>N/A</v>
      </c>
      <c r="U164" s="288" t="str">
        <f>IFERROR(IF($B164="N/A","N/A",IF(MOD(COLUMNS($H$151:U$151)-1,$E164)=0,$F164*$D164*$G164,)),)</f>
        <v>N/A</v>
      </c>
      <c r="V164" s="288" t="str">
        <f>IFERROR(IF($B164="N/A","N/A",IF(MOD(COLUMNS($H$151:V$151)-1,$E164)=0,$F164*$D164*$G164,)),)</f>
        <v>N/A</v>
      </c>
      <c r="W164" s="288" t="str">
        <f>IFERROR(IF($B164="N/A","N/A",IF(MOD(COLUMNS($H$151:W$151)-1,$E164)=0,$F164*$D164*$G164,)),)</f>
        <v>N/A</v>
      </c>
    </row>
    <row r="165" spans="2:23">
      <c r="B165" s="70" t="str">
        <f t="array" ref="B165">IF(COUNTIFS(INDEX(Equipment_Allocation_New,0,MATCH($C$107,Unit_codes,0)),"&gt;0")&lt;ROWS('2.2-Equipment input'!$X$8:$X21),"N/A",INDEX('2.2-Equipment input'!B:B,SMALL(IF(INDEX(Equipment_Allocation_New,0,MATCH($C$107,Unit_codes,0))&gt;0,ROW(equipment_ID)),ROW('2.2-Equipment input'!B14))))</f>
        <v>N/A</v>
      </c>
      <c r="C165" s="70" t="str">
        <f>IF($B165="N/A","N/A",INDEX(Equipment_name[],MATCH(B165,equipment_ID,0)))</f>
        <v>N/A</v>
      </c>
      <c r="D165" s="288" t="str">
        <f t="shared" si="19"/>
        <v>N/A</v>
      </c>
      <c r="E165" s="88" t="str">
        <f t="shared" si="20"/>
        <v>N/A</v>
      </c>
      <c r="F165" s="88" t="str">
        <f t="shared" si="21"/>
        <v>N/A</v>
      </c>
      <c r="G165" s="88" t="str">
        <f t="shared" si="22"/>
        <v>N/A</v>
      </c>
      <c r="H165" s="288" t="str">
        <f>IFERROR(IF($B165="N/A","N/A",IF(MOD(COLUMNS(H$151:$H$151)-1,$E165)=0,$F165*$D165*$G165,)),)</f>
        <v>N/A</v>
      </c>
      <c r="I165" s="288" t="str">
        <f>IFERROR(IF($B165="N/A","N/A",IF(MOD(COLUMNS($H$151:I$151)-1,$E165)=0,$F165*$D165*$G165,)),)</f>
        <v>N/A</v>
      </c>
      <c r="J165" s="288" t="str">
        <f>IFERROR(IF($B165="N/A","N/A",IF(MOD(COLUMNS($H$151:J$151)-1,$E165)=0,$F165*$D165*$G165,)),)</f>
        <v>N/A</v>
      </c>
      <c r="K165" s="288" t="str">
        <f>IFERROR(IF($B165="N/A","N/A",IF(MOD(COLUMNS($H$151:K$151)-1,$E165)=0,$F165*$D165*$G165,)),)</f>
        <v>N/A</v>
      </c>
      <c r="L165" s="288" t="str">
        <f>IFERROR(IF($B165="N/A","N/A",IF(MOD(COLUMNS($H$151:L$151)-1,$E165)=0,$F165*$D165*$G165,)),)</f>
        <v>N/A</v>
      </c>
      <c r="M165" s="288" t="str">
        <f>IFERROR(IF($B165="N/A","N/A",IF(MOD(COLUMNS($H$151:M$151)-1,$E165)=0,$F165*$D165*$G165,)),)</f>
        <v>N/A</v>
      </c>
      <c r="N165" s="288" t="str">
        <f>IFERROR(IF($B165="N/A","N/A",IF(MOD(COLUMNS($H$151:N$151)-1,$E165)=0,$F165*$D165*$G165,)),)</f>
        <v>N/A</v>
      </c>
      <c r="O165" s="288" t="str">
        <f>IFERROR(IF($B165="N/A","N/A",IF(MOD(COLUMNS($H$151:O$151)-1,$E165)=0,$F165*$D165*$G165,)),)</f>
        <v>N/A</v>
      </c>
      <c r="P165" s="288" t="str">
        <f>IFERROR(IF($B165="N/A","N/A",IF(MOD(COLUMNS($H$151:P$151)-1,$E165)=0,$F165*$D165*$G165,)),)</f>
        <v>N/A</v>
      </c>
      <c r="Q165" s="288" t="str">
        <f>IFERROR(IF($B165="N/A","N/A",IF(MOD(COLUMNS($H$151:Q$151)-1,$E165)=0,$F165*$D165*$G165,)),)</f>
        <v>N/A</v>
      </c>
      <c r="R165" s="288" t="str">
        <f>IFERROR(IF($B165="N/A","N/A",IF(MOD(COLUMNS($H$151:R$151)-1,$E165)=0,$F165*$D165*$G165,)),)</f>
        <v>N/A</v>
      </c>
      <c r="S165" s="288" t="str">
        <f>IFERROR(IF($B165="N/A","N/A",IF(MOD(COLUMNS($H$151:S$151)-1,$E165)=0,$F165*$D165*$G165,)),)</f>
        <v>N/A</v>
      </c>
      <c r="T165" s="288" t="str">
        <f>IFERROR(IF($B165="N/A","N/A",IF(MOD(COLUMNS($H$151:T$151)-1,$E165)=0,$F165*$D165*$G165,)),)</f>
        <v>N/A</v>
      </c>
      <c r="U165" s="288" t="str">
        <f>IFERROR(IF($B165="N/A","N/A",IF(MOD(COLUMNS($H$151:U$151)-1,$E165)=0,$F165*$D165*$G165,)),)</f>
        <v>N/A</v>
      </c>
      <c r="V165" s="288" t="str">
        <f>IFERROR(IF($B165="N/A","N/A",IF(MOD(COLUMNS($H$151:V$151)-1,$E165)=0,$F165*$D165*$G165,)),)</f>
        <v>N/A</v>
      </c>
      <c r="W165" s="288" t="str">
        <f>IFERROR(IF($B165="N/A","N/A",IF(MOD(COLUMNS($H$151:W$151)-1,$E165)=0,$F165*$D165*$G165,)),)</f>
        <v>N/A</v>
      </c>
    </row>
    <row r="166" spans="2:23">
      <c r="B166" s="70" t="str">
        <f t="array" ref="B166">IF(COUNTIFS(INDEX(Equipment_Allocation_New,0,MATCH($C$107,Unit_codes,0)),"&gt;0")&lt;ROWS('2.2-Equipment input'!$X$8:$X22),"N/A",INDEX('2.2-Equipment input'!B:B,SMALL(IF(INDEX(Equipment_Allocation_New,0,MATCH($C$107,Unit_codes,0))&gt;0,ROW(equipment_ID)),ROW('2.2-Equipment input'!B15))))</f>
        <v>N/A</v>
      </c>
      <c r="C166" s="70" t="str">
        <f>IF($B166="N/A","N/A",INDEX(Equipment_name[],MATCH(B166,equipment_ID,0)))</f>
        <v>N/A</v>
      </c>
      <c r="D166" s="288" t="str">
        <f t="shared" si="19"/>
        <v>N/A</v>
      </c>
      <c r="E166" s="88" t="str">
        <f t="shared" si="20"/>
        <v>N/A</v>
      </c>
      <c r="F166" s="88" t="str">
        <f t="shared" si="21"/>
        <v>N/A</v>
      </c>
      <c r="G166" s="88" t="str">
        <f t="shared" si="22"/>
        <v>N/A</v>
      </c>
      <c r="H166" s="288" t="str">
        <f>IFERROR(IF($B166="N/A","N/A",IF(MOD(COLUMNS(H$151:$H$151)-1,$E166)=0,$F166*$D166*$G166,)),)</f>
        <v>N/A</v>
      </c>
      <c r="I166" s="288" t="str">
        <f>IFERROR(IF($B166="N/A","N/A",IF(MOD(COLUMNS($H$151:I$151)-1,$E166)=0,$F166*$D166*$G166,)),)</f>
        <v>N/A</v>
      </c>
      <c r="J166" s="288" t="str">
        <f>IFERROR(IF($B166="N/A","N/A",IF(MOD(COLUMNS($H$151:J$151)-1,$E166)=0,$F166*$D166*$G166,)),)</f>
        <v>N/A</v>
      </c>
      <c r="K166" s="288" t="str">
        <f>IFERROR(IF($B166="N/A","N/A",IF(MOD(COLUMNS($H$151:K$151)-1,$E166)=0,$F166*$D166*$G166,)),)</f>
        <v>N/A</v>
      </c>
      <c r="L166" s="288" t="str">
        <f>IFERROR(IF($B166="N/A","N/A",IF(MOD(COLUMNS($H$151:L$151)-1,$E166)=0,$F166*$D166*$G166,)),)</f>
        <v>N/A</v>
      </c>
      <c r="M166" s="288" t="str">
        <f>IFERROR(IF($B166="N/A","N/A",IF(MOD(COLUMNS($H$151:M$151)-1,$E166)=0,$F166*$D166*$G166,)),)</f>
        <v>N/A</v>
      </c>
      <c r="N166" s="288" t="str">
        <f>IFERROR(IF($B166="N/A","N/A",IF(MOD(COLUMNS($H$151:N$151)-1,$E166)=0,$F166*$D166*$G166,)),)</f>
        <v>N/A</v>
      </c>
      <c r="O166" s="288" t="str">
        <f>IFERROR(IF($B166="N/A","N/A",IF(MOD(COLUMNS($H$151:O$151)-1,$E166)=0,$F166*$D166*$G166,)),)</f>
        <v>N/A</v>
      </c>
      <c r="P166" s="288" t="str">
        <f>IFERROR(IF($B166="N/A","N/A",IF(MOD(COLUMNS($H$151:P$151)-1,$E166)=0,$F166*$D166*$G166,)),)</f>
        <v>N/A</v>
      </c>
      <c r="Q166" s="288" t="str">
        <f>IFERROR(IF($B166="N/A","N/A",IF(MOD(COLUMNS($H$151:Q$151)-1,$E166)=0,$F166*$D166*$G166,)),)</f>
        <v>N/A</v>
      </c>
      <c r="R166" s="288" t="str">
        <f>IFERROR(IF($B166="N/A","N/A",IF(MOD(COLUMNS($H$151:R$151)-1,$E166)=0,$F166*$D166*$G166,)),)</f>
        <v>N/A</v>
      </c>
      <c r="S166" s="288" t="str">
        <f>IFERROR(IF($B166="N/A","N/A",IF(MOD(COLUMNS($H$151:S$151)-1,$E166)=0,$F166*$D166*$G166,)),)</f>
        <v>N/A</v>
      </c>
      <c r="T166" s="288" t="str">
        <f>IFERROR(IF($B166="N/A","N/A",IF(MOD(COLUMNS($H$151:T$151)-1,$E166)=0,$F166*$D166*$G166,)),)</f>
        <v>N/A</v>
      </c>
      <c r="U166" s="288" t="str">
        <f>IFERROR(IF($B166="N/A","N/A",IF(MOD(COLUMNS($H$151:U$151)-1,$E166)=0,$F166*$D166*$G166,)),)</f>
        <v>N/A</v>
      </c>
      <c r="V166" s="288" t="str">
        <f>IFERROR(IF($B166="N/A","N/A",IF(MOD(COLUMNS($H$151:V$151)-1,$E166)=0,$F166*$D166*$G166,)),)</f>
        <v>N/A</v>
      </c>
      <c r="W166" s="288" t="str">
        <f>IFERROR(IF($B166="N/A","N/A",IF(MOD(COLUMNS($H$151:W$151)-1,$E166)=0,$F166*$D166*$G166,)),)</f>
        <v>N/A</v>
      </c>
    </row>
    <row r="167" spans="2:23">
      <c r="B167" s="70" t="str">
        <f t="array" ref="B167">IF(COUNTIFS(INDEX(Equipment_Allocation_New,0,MATCH($C$107,Unit_codes,0)),"&gt;0")&lt;ROWS('2.2-Equipment input'!$X$8:$X23),"N/A",INDEX('2.2-Equipment input'!B:B,SMALL(IF(INDEX(Equipment_Allocation_New,0,MATCH($C$107,Unit_codes,0))&gt;0,ROW(equipment_ID)),ROW('2.2-Equipment input'!B16))))</f>
        <v>N/A</v>
      </c>
      <c r="C167" s="70" t="str">
        <f>IF($B167="N/A","N/A",INDEX(Equipment_name[],MATCH(B167,equipment_ID,0)))</f>
        <v>N/A</v>
      </c>
      <c r="D167" s="288" t="str">
        <f t="shared" si="19"/>
        <v>N/A</v>
      </c>
      <c r="E167" s="88" t="str">
        <f t="shared" si="20"/>
        <v>N/A</v>
      </c>
      <c r="F167" s="88" t="str">
        <f t="shared" si="21"/>
        <v>N/A</v>
      </c>
      <c r="G167" s="88" t="str">
        <f t="shared" si="22"/>
        <v>N/A</v>
      </c>
      <c r="H167" s="288" t="str">
        <f>IFERROR(IF($B167="N/A","N/A",IF(MOD(COLUMNS(H$151:$H$151)-1,$E167)=0,$F167*$D167*$G167,)),)</f>
        <v>N/A</v>
      </c>
      <c r="I167" s="288" t="str">
        <f>IFERROR(IF($B167="N/A","N/A",IF(MOD(COLUMNS($H$151:I$151)-1,$E167)=0,$F167*$D167*$G167,)),)</f>
        <v>N/A</v>
      </c>
      <c r="J167" s="288" t="str">
        <f>IFERROR(IF($B167="N/A","N/A",IF(MOD(COLUMNS($H$151:J$151)-1,$E167)=0,$F167*$D167*$G167,)),)</f>
        <v>N/A</v>
      </c>
      <c r="K167" s="288" t="str">
        <f>IFERROR(IF($B167="N/A","N/A",IF(MOD(COLUMNS($H$151:K$151)-1,$E167)=0,$F167*$D167*$G167,)),)</f>
        <v>N/A</v>
      </c>
      <c r="L167" s="288" t="str">
        <f>IFERROR(IF($B167="N/A","N/A",IF(MOD(COLUMNS($H$151:L$151)-1,$E167)=0,$F167*$D167*$G167,)),)</f>
        <v>N/A</v>
      </c>
      <c r="M167" s="288" t="str">
        <f>IFERROR(IF($B167="N/A","N/A",IF(MOD(COLUMNS($H$151:M$151)-1,$E167)=0,$F167*$D167*$G167,)),)</f>
        <v>N/A</v>
      </c>
      <c r="N167" s="288" t="str">
        <f>IFERROR(IF($B167="N/A","N/A",IF(MOD(COLUMNS($H$151:N$151)-1,$E167)=0,$F167*$D167*$G167,)),)</f>
        <v>N/A</v>
      </c>
      <c r="O167" s="288" t="str">
        <f>IFERROR(IF($B167="N/A","N/A",IF(MOD(COLUMNS($H$151:O$151)-1,$E167)=0,$F167*$D167*$G167,)),)</f>
        <v>N/A</v>
      </c>
      <c r="P167" s="288" t="str">
        <f>IFERROR(IF($B167="N/A","N/A",IF(MOD(COLUMNS($H$151:P$151)-1,$E167)=0,$F167*$D167*$G167,)),)</f>
        <v>N/A</v>
      </c>
      <c r="Q167" s="288" t="str">
        <f>IFERROR(IF($B167="N/A","N/A",IF(MOD(COLUMNS($H$151:Q$151)-1,$E167)=0,$F167*$D167*$G167,)),)</f>
        <v>N/A</v>
      </c>
      <c r="R167" s="288" t="str">
        <f>IFERROR(IF($B167="N/A","N/A",IF(MOD(COLUMNS($H$151:R$151)-1,$E167)=0,$F167*$D167*$G167,)),)</f>
        <v>N/A</v>
      </c>
      <c r="S167" s="288" t="str">
        <f>IFERROR(IF($B167="N/A","N/A",IF(MOD(COLUMNS($H$151:S$151)-1,$E167)=0,$F167*$D167*$G167,)),)</f>
        <v>N/A</v>
      </c>
      <c r="T167" s="288" t="str">
        <f>IFERROR(IF($B167="N/A","N/A",IF(MOD(COLUMNS($H$151:T$151)-1,$E167)=0,$F167*$D167*$G167,)),)</f>
        <v>N/A</v>
      </c>
      <c r="U167" s="288" t="str">
        <f>IFERROR(IF($B167="N/A","N/A",IF(MOD(COLUMNS($H$151:U$151)-1,$E167)=0,$F167*$D167*$G167,)),)</f>
        <v>N/A</v>
      </c>
      <c r="V167" s="288" t="str">
        <f>IFERROR(IF($B167="N/A","N/A",IF(MOD(COLUMNS($H$151:V$151)-1,$E167)=0,$F167*$D167*$G167,)),)</f>
        <v>N/A</v>
      </c>
      <c r="W167" s="288" t="str">
        <f>IFERROR(IF($B167="N/A","N/A",IF(MOD(COLUMNS($H$151:W$151)-1,$E167)=0,$F167*$D167*$G167,)),)</f>
        <v>N/A</v>
      </c>
    </row>
    <row r="168" spans="2:23">
      <c r="B168" s="70" t="str">
        <f t="array" ref="B168">IF(COUNTIFS(INDEX(Equipment_Allocation_New,0,MATCH($C$107,Unit_codes,0)),"&gt;0")&lt;ROWS('2.2-Equipment input'!$X$8:$X24),"N/A",INDEX('2.2-Equipment input'!B:B,SMALL(IF(INDEX(Equipment_Allocation_New,0,MATCH($C$107,Unit_codes,0))&gt;0,ROW(equipment_ID)),ROW('2.2-Equipment input'!B17))))</f>
        <v>N/A</v>
      </c>
      <c r="C168" s="70" t="str">
        <f>IF($B168="N/A","N/A",INDEX(Equipment_name[],MATCH(B168,equipment_ID,0)))</f>
        <v>N/A</v>
      </c>
      <c r="D168" s="288" t="str">
        <f t="shared" si="19"/>
        <v>N/A</v>
      </c>
      <c r="E168" s="88" t="str">
        <f t="shared" si="20"/>
        <v>N/A</v>
      </c>
      <c r="F168" s="88" t="str">
        <f t="shared" si="21"/>
        <v>N/A</v>
      </c>
      <c r="G168" s="88" t="str">
        <f t="shared" si="22"/>
        <v>N/A</v>
      </c>
      <c r="H168" s="288" t="str">
        <f>IFERROR(IF($B168="N/A","N/A",IF(MOD(COLUMNS(H$151:$H$151)-1,$E168)=0,$F168*$D168*$G168,)),)</f>
        <v>N/A</v>
      </c>
      <c r="I168" s="288" t="str">
        <f>IFERROR(IF($B168="N/A","N/A",IF(MOD(COLUMNS($H$151:I$151)-1,$E168)=0,$F168*$D168*$G168,)),)</f>
        <v>N/A</v>
      </c>
      <c r="J168" s="288" t="str">
        <f>IFERROR(IF($B168="N/A","N/A",IF(MOD(COLUMNS($H$151:J$151)-1,$E168)=0,$F168*$D168*$G168,)),)</f>
        <v>N/A</v>
      </c>
      <c r="K168" s="288" t="str">
        <f>IFERROR(IF($B168="N/A","N/A",IF(MOD(COLUMNS($H$151:K$151)-1,$E168)=0,$F168*$D168*$G168,)),)</f>
        <v>N/A</v>
      </c>
      <c r="L168" s="288" t="str">
        <f>IFERROR(IF($B168="N/A","N/A",IF(MOD(COLUMNS($H$151:L$151)-1,$E168)=0,$F168*$D168*$G168,)),)</f>
        <v>N/A</v>
      </c>
      <c r="M168" s="288" t="str">
        <f>IFERROR(IF($B168="N/A","N/A",IF(MOD(COLUMNS($H$151:M$151)-1,$E168)=0,$F168*$D168*$G168,)),)</f>
        <v>N/A</v>
      </c>
      <c r="N168" s="288" t="str">
        <f>IFERROR(IF($B168="N/A","N/A",IF(MOD(COLUMNS($H$151:N$151)-1,$E168)=0,$F168*$D168*$G168,)),)</f>
        <v>N/A</v>
      </c>
      <c r="O168" s="288" t="str">
        <f>IFERROR(IF($B168="N/A","N/A",IF(MOD(COLUMNS($H$151:O$151)-1,$E168)=0,$F168*$D168*$G168,)),)</f>
        <v>N/A</v>
      </c>
      <c r="P168" s="288" t="str">
        <f>IFERROR(IF($B168="N/A","N/A",IF(MOD(COLUMNS($H$151:P$151)-1,$E168)=0,$F168*$D168*$G168,)),)</f>
        <v>N/A</v>
      </c>
      <c r="Q168" s="288" t="str">
        <f>IFERROR(IF($B168="N/A","N/A",IF(MOD(COLUMNS($H$151:Q$151)-1,$E168)=0,$F168*$D168*$G168,)),)</f>
        <v>N/A</v>
      </c>
      <c r="R168" s="288" t="str">
        <f>IFERROR(IF($B168="N/A","N/A",IF(MOD(COLUMNS($H$151:R$151)-1,$E168)=0,$F168*$D168*$G168,)),)</f>
        <v>N/A</v>
      </c>
      <c r="S168" s="288" t="str">
        <f>IFERROR(IF($B168="N/A","N/A",IF(MOD(COLUMNS($H$151:S$151)-1,$E168)=0,$F168*$D168*$G168,)),)</f>
        <v>N/A</v>
      </c>
      <c r="T168" s="288" t="str">
        <f>IFERROR(IF($B168="N/A","N/A",IF(MOD(COLUMNS($H$151:T$151)-1,$E168)=0,$F168*$D168*$G168,)),)</f>
        <v>N/A</v>
      </c>
      <c r="U168" s="288" t="str">
        <f>IFERROR(IF($B168="N/A","N/A",IF(MOD(COLUMNS($H$151:U$151)-1,$E168)=0,$F168*$D168*$G168,)),)</f>
        <v>N/A</v>
      </c>
      <c r="V168" s="288" t="str">
        <f>IFERROR(IF($B168="N/A","N/A",IF(MOD(COLUMNS($H$151:V$151)-1,$E168)=0,$F168*$D168*$G168,)),)</f>
        <v>N/A</v>
      </c>
      <c r="W168" s="288" t="str">
        <f>IFERROR(IF($B168="N/A","N/A",IF(MOD(COLUMNS($H$151:W$151)-1,$E168)=0,$F168*$D168*$G168,)),)</f>
        <v>N/A</v>
      </c>
    </row>
    <row r="169" spans="2:23">
      <c r="B169" s="70" t="str">
        <f t="array" ref="B169">IF(COUNTIFS(INDEX(Equipment_Allocation_New,0,MATCH($C$107,Unit_codes,0)),"&gt;0")&lt;ROWS('2.2-Equipment input'!$X$8:$X25),"N/A",INDEX('2.2-Equipment input'!B:B,SMALL(IF(INDEX(Equipment_Allocation_New,0,MATCH($C$107,Unit_codes,0))&gt;0,ROW(equipment_ID)),ROW('2.2-Equipment input'!B18))))</f>
        <v>N/A</v>
      </c>
      <c r="C169" s="70" t="str">
        <f>IF($B169="N/A","N/A",INDEX(Equipment_name[],MATCH(B169,equipment_ID,0)))</f>
        <v>N/A</v>
      </c>
      <c r="D169" s="288" t="str">
        <f t="shared" si="19"/>
        <v>N/A</v>
      </c>
      <c r="E169" s="88" t="str">
        <f t="shared" si="20"/>
        <v>N/A</v>
      </c>
      <c r="F169" s="88" t="str">
        <f t="shared" si="21"/>
        <v>N/A</v>
      </c>
      <c r="G169" s="88" t="str">
        <f t="shared" si="22"/>
        <v>N/A</v>
      </c>
      <c r="H169" s="288" t="str">
        <f>IFERROR(IF($B169="N/A","N/A",IF(MOD(COLUMNS(H$151:$H$151)-1,$E169)=0,$F169*$D169*$G169,)),)</f>
        <v>N/A</v>
      </c>
      <c r="I169" s="288" t="str">
        <f>IFERROR(IF($B169="N/A","N/A",IF(MOD(COLUMNS($H$151:I$151)-1,$E169)=0,$F169*$D169*$G169,)),)</f>
        <v>N/A</v>
      </c>
      <c r="J169" s="288" t="str">
        <f>IFERROR(IF($B169="N/A","N/A",IF(MOD(COLUMNS($H$151:J$151)-1,$E169)=0,$F169*$D169*$G169,)),)</f>
        <v>N/A</v>
      </c>
      <c r="K169" s="288" t="str">
        <f>IFERROR(IF($B169="N/A","N/A",IF(MOD(COLUMNS($H$151:K$151)-1,$E169)=0,$F169*$D169*$G169,)),)</f>
        <v>N/A</v>
      </c>
      <c r="L169" s="288" t="str">
        <f>IFERROR(IF($B169="N/A","N/A",IF(MOD(COLUMNS($H$151:L$151)-1,$E169)=0,$F169*$D169*$G169,)),)</f>
        <v>N/A</v>
      </c>
      <c r="M169" s="288" t="str">
        <f>IFERROR(IF($B169="N/A","N/A",IF(MOD(COLUMNS($H$151:M$151)-1,$E169)=0,$F169*$D169*$G169,)),)</f>
        <v>N/A</v>
      </c>
      <c r="N169" s="288" t="str">
        <f>IFERROR(IF($B169="N/A","N/A",IF(MOD(COLUMNS($H$151:N$151)-1,$E169)=0,$F169*$D169*$G169,)),)</f>
        <v>N/A</v>
      </c>
      <c r="O169" s="288" t="str">
        <f>IFERROR(IF($B169="N/A","N/A",IF(MOD(COLUMNS($H$151:O$151)-1,$E169)=0,$F169*$D169*$G169,)),)</f>
        <v>N/A</v>
      </c>
      <c r="P169" s="288" t="str">
        <f>IFERROR(IF($B169="N/A","N/A",IF(MOD(COLUMNS($H$151:P$151)-1,$E169)=0,$F169*$D169*$G169,)),)</f>
        <v>N/A</v>
      </c>
      <c r="Q169" s="288" t="str">
        <f>IFERROR(IF($B169="N/A","N/A",IF(MOD(COLUMNS($H$151:Q$151)-1,$E169)=0,$F169*$D169*$G169,)),)</f>
        <v>N/A</v>
      </c>
      <c r="R169" s="288" t="str">
        <f>IFERROR(IF($B169="N/A","N/A",IF(MOD(COLUMNS($H$151:R$151)-1,$E169)=0,$F169*$D169*$G169,)),)</f>
        <v>N/A</v>
      </c>
      <c r="S169" s="288" t="str">
        <f>IFERROR(IF($B169="N/A","N/A",IF(MOD(COLUMNS($H$151:S$151)-1,$E169)=0,$F169*$D169*$G169,)),)</f>
        <v>N/A</v>
      </c>
      <c r="T169" s="288" t="str">
        <f>IFERROR(IF($B169="N/A","N/A",IF(MOD(COLUMNS($H$151:T$151)-1,$E169)=0,$F169*$D169*$G169,)),)</f>
        <v>N/A</v>
      </c>
      <c r="U169" s="288" t="str">
        <f>IFERROR(IF($B169="N/A","N/A",IF(MOD(COLUMNS($H$151:U$151)-1,$E169)=0,$F169*$D169*$G169,)),)</f>
        <v>N/A</v>
      </c>
      <c r="V169" s="288" t="str">
        <f>IFERROR(IF($B169="N/A","N/A",IF(MOD(COLUMNS($H$151:V$151)-1,$E169)=0,$F169*$D169*$G169,)),)</f>
        <v>N/A</v>
      </c>
      <c r="W169" s="288" t="str">
        <f>IFERROR(IF($B169="N/A","N/A",IF(MOD(COLUMNS($H$151:W$151)-1,$E169)=0,$F169*$D169*$G169,)),)</f>
        <v>N/A</v>
      </c>
    </row>
    <row r="170" spans="2:23">
      <c r="B170" s="70" t="str">
        <f t="array" ref="B170">IF(COUNTIFS(INDEX(Equipment_Allocation_New,0,MATCH($C$107,Unit_codes,0)),"&gt;0")&lt;ROWS('2.2-Equipment input'!$X$8:$X26),"N/A",INDEX('2.2-Equipment input'!B:B,SMALL(IF(INDEX(Equipment_Allocation_New,0,MATCH($C$107,Unit_codes,0))&gt;0,ROW(equipment_ID)),ROW('2.2-Equipment input'!B19))))</f>
        <v>N/A</v>
      </c>
      <c r="C170" s="70" t="str">
        <f>IF($B170="N/A","N/A",INDEX(Equipment_name[],MATCH(B170,equipment_ID,0)))</f>
        <v>N/A</v>
      </c>
      <c r="D170" s="288" t="str">
        <f t="shared" si="19"/>
        <v>N/A</v>
      </c>
      <c r="E170" s="88" t="str">
        <f t="shared" si="20"/>
        <v>N/A</v>
      </c>
      <c r="F170" s="88" t="str">
        <f t="shared" si="21"/>
        <v>N/A</v>
      </c>
      <c r="G170" s="88" t="str">
        <f t="shared" si="22"/>
        <v>N/A</v>
      </c>
      <c r="H170" s="288" t="str">
        <f>IFERROR(IF($B170="N/A","N/A",IF(MOD(COLUMNS(H$151:$H$151)-1,$E170)=0,$F170*$D170*$G170,)),)</f>
        <v>N/A</v>
      </c>
      <c r="I170" s="288" t="str">
        <f>IFERROR(IF($B170="N/A","N/A",IF(MOD(COLUMNS($H$151:I$151)-1,$E170)=0,$F170*$D170*$G170,)),)</f>
        <v>N/A</v>
      </c>
      <c r="J170" s="288" t="str">
        <f>IFERROR(IF($B170="N/A","N/A",IF(MOD(COLUMNS($H$151:J$151)-1,$E170)=0,$F170*$D170*$G170,)),)</f>
        <v>N/A</v>
      </c>
      <c r="K170" s="288" t="str">
        <f>IFERROR(IF($B170="N/A","N/A",IF(MOD(COLUMNS($H$151:K$151)-1,$E170)=0,$F170*$D170*$G170,)),)</f>
        <v>N/A</v>
      </c>
      <c r="L170" s="288" t="str">
        <f>IFERROR(IF($B170="N/A","N/A",IF(MOD(COLUMNS($H$151:L$151)-1,$E170)=0,$F170*$D170*$G170,)),)</f>
        <v>N/A</v>
      </c>
      <c r="M170" s="288" t="str">
        <f>IFERROR(IF($B170="N/A","N/A",IF(MOD(COLUMNS($H$151:M$151)-1,$E170)=0,$F170*$D170*$G170,)),)</f>
        <v>N/A</v>
      </c>
      <c r="N170" s="288" t="str">
        <f>IFERROR(IF($B170="N/A","N/A",IF(MOD(COLUMNS($H$151:N$151)-1,$E170)=0,$F170*$D170*$G170,)),)</f>
        <v>N/A</v>
      </c>
      <c r="O170" s="288" t="str">
        <f>IFERROR(IF($B170="N/A","N/A",IF(MOD(COLUMNS($H$151:O$151)-1,$E170)=0,$F170*$D170*$G170,)),)</f>
        <v>N/A</v>
      </c>
      <c r="P170" s="288" t="str">
        <f>IFERROR(IF($B170="N/A","N/A",IF(MOD(COLUMNS($H$151:P$151)-1,$E170)=0,$F170*$D170*$G170,)),)</f>
        <v>N/A</v>
      </c>
      <c r="Q170" s="288" t="str">
        <f>IFERROR(IF($B170="N/A","N/A",IF(MOD(COLUMNS($H$151:Q$151)-1,$E170)=0,$F170*$D170*$G170,)),)</f>
        <v>N/A</v>
      </c>
      <c r="R170" s="288" t="str">
        <f>IFERROR(IF($B170="N/A","N/A",IF(MOD(COLUMNS($H$151:R$151)-1,$E170)=0,$F170*$D170*$G170,)),)</f>
        <v>N/A</v>
      </c>
      <c r="S170" s="288" t="str">
        <f>IFERROR(IF($B170="N/A","N/A",IF(MOD(COLUMNS($H$151:S$151)-1,$E170)=0,$F170*$D170*$G170,)),)</f>
        <v>N/A</v>
      </c>
      <c r="T170" s="288" t="str">
        <f>IFERROR(IF($B170="N/A","N/A",IF(MOD(COLUMNS($H$151:T$151)-1,$E170)=0,$F170*$D170*$G170,)),)</f>
        <v>N/A</v>
      </c>
      <c r="U170" s="288" t="str">
        <f>IFERROR(IF($B170="N/A","N/A",IF(MOD(COLUMNS($H$151:U$151)-1,$E170)=0,$F170*$D170*$G170,)),)</f>
        <v>N/A</v>
      </c>
      <c r="V170" s="288" t="str">
        <f>IFERROR(IF($B170="N/A","N/A",IF(MOD(COLUMNS($H$151:V$151)-1,$E170)=0,$F170*$D170*$G170,)),)</f>
        <v>N/A</v>
      </c>
      <c r="W170" s="288" t="str">
        <f>IFERROR(IF($B170="N/A","N/A",IF(MOD(COLUMNS($H$151:W$151)-1,$E170)=0,$F170*$D170*$G170,)),)</f>
        <v>N/A</v>
      </c>
    </row>
    <row r="171" spans="2:23">
      <c r="B171" s="70" t="str">
        <f t="array" ref="B171">IF(COUNTIFS(INDEX(Equipment_Allocation_New,0,MATCH($C$107,Unit_codes,0)),"&gt;0")&lt;ROWS('2.2-Equipment input'!$X$8:$X27),"N/A",INDEX('2.2-Equipment input'!B:B,SMALL(IF(INDEX(Equipment_Allocation_New,0,MATCH($C$107,Unit_codes,0))&gt;0,ROW(equipment_ID)),ROW('2.2-Equipment input'!B20))))</f>
        <v>N/A</v>
      </c>
      <c r="C171" s="70" t="str">
        <f>IF($B171="N/A","N/A",INDEX(Equipment_name[],MATCH(B171,equipment_ID,0)))</f>
        <v>N/A</v>
      </c>
      <c r="D171" s="288" t="str">
        <f t="shared" si="19"/>
        <v>N/A</v>
      </c>
      <c r="E171" s="88" t="str">
        <f t="shared" si="20"/>
        <v>N/A</v>
      </c>
      <c r="F171" s="88" t="str">
        <f t="shared" si="21"/>
        <v>N/A</v>
      </c>
      <c r="G171" s="88" t="str">
        <f t="shared" si="22"/>
        <v>N/A</v>
      </c>
      <c r="H171" s="288" t="str">
        <f>IFERROR(IF($B171="N/A","N/A",IF(MOD(COLUMNS(H$151:$H$151)-1,$E171)=0,$F171*$D171*$G171,)),)</f>
        <v>N/A</v>
      </c>
      <c r="I171" s="288" t="str">
        <f>IFERROR(IF($B171="N/A","N/A",IF(MOD(COLUMNS($H$151:I$151)-1,$E171)=0,$F171*$D171*$G171,)),)</f>
        <v>N/A</v>
      </c>
      <c r="J171" s="288" t="str">
        <f>IFERROR(IF($B171="N/A","N/A",IF(MOD(COLUMNS($H$151:J$151)-1,$E171)=0,$F171*$D171*$G171,)),)</f>
        <v>N/A</v>
      </c>
      <c r="K171" s="288" t="str">
        <f>IFERROR(IF($B171="N/A","N/A",IF(MOD(COLUMNS($H$151:K$151)-1,$E171)=0,$F171*$D171*$G171,)),)</f>
        <v>N/A</v>
      </c>
      <c r="L171" s="288" t="str">
        <f>IFERROR(IF($B171="N/A","N/A",IF(MOD(COLUMNS($H$151:L$151)-1,$E171)=0,$F171*$D171*$G171,)),)</f>
        <v>N/A</v>
      </c>
      <c r="M171" s="288" t="str">
        <f>IFERROR(IF($B171="N/A","N/A",IF(MOD(COLUMNS($H$151:M$151)-1,$E171)=0,$F171*$D171*$G171,)),)</f>
        <v>N/A</v>
      </c>
      <c r="N171" s="288" t="str">
        <f>IFERROR(IF($B171="N/A","N/A",IF(MOD(COLUMNS($H$151:N$151)-1,$E171)=0,$F171*$D171*$G171,)),)</f>
        <v>N/A</v>
      </c>
      <c r="O171" s="288" t="str">
        <f>IFERROR(IF($B171="N/A","N/A",IF(MOD(COLUMNS($H$151:O$151)-1,$E171)=0,$F171*$D171*$G171,)),)</f>
        <v>N/A</v>
      </c>
      <c r="P171" s="288" t="str">
        <f>IFERROR(IF($B171="N/A","N/A",IF(MOD(COLUMNS($H$151:P$151)-1,$E171)=0,$F171*$D171*$G171,)),)</f>
        <v>N/A</v>
      </c>
      <c r="Q171" s="288" t="str">
        <f>IFERROR(IF($B171="N/A","N/A",IF(MOD(COLUMNS($H$151:Q$151)-1,$E171)=0,$F171*$D171*$G171,)),)</f>
        <v>N/A</v>
      </c>
      <c r="R171" s="288" t="str">
        <f>IFERROR(IF($B171="N/A","N/A",IF(MOD(COLUMNS($H$151:R$151)-1,$E171)=0,$F171*$D171*$G171,)),)</f>
        <v>N/A</v>
      </c>
      <c r="S171" s="288" t="str">
        <f>IFERROR(IF($B171="N/A","N/A",IF(MOD(COLUMNS($H$151:S$151)-1,$E171)=0,$F171*$D171*$G171,)),)</f>
        <v>N/A</v>
      </c>
      <c r="T171" s="288" t="str">
        <f>IFERROR(IF($B171="N/A","N/A",IF(MOD(COLUMNS($H$151:T$151)-1,$E171)=0,$F171*$D171*$G171,)),)</f>
        <v>N/A</v>
      </c>
      <c r="U171" s="288" t="str">
        <f>IFERROR(IF($B171="N/A","N/A",IF(MOD(COLUMNS($H$151:U$151)-1,$E171)=0,$F171*$D171*$G171,)),)</f>
        <v>N/A</v>
      </c>
      <c r="V171" s="288" t="str">
        <f>IFERROR(IF($B171="N/A","N/A",IF(MOD(COLUMNS($H$151:V$151)-1,$E171)=0,$F171*$D171*$G171,)),)</f>
        <v>N/A</v>
      </c>
      <c r="W171" s="288" t="str">
        <f>IFERROR(IF($B171="N/A","N/A",IF(MOD(COLUMNS($H$151:W$151)-1,$E171)=0,$F171*$D171*$G171,)),)</f>
        <v>N/A</v>
      </c>
    </row>
    <row r="172" spans="2:23">
      <c r="B172" s="70" t="str">
        <f t="array" ref="B172">IF(COUNTIFS(INDEX(Equipment_Allocation_New,0,MATCH($C$107,Unit_codes,0)),"&gt;0")&lt;ROWS('2.2-Equipment input'!$X$8:$X28),"N/A",INDEX('2.2-Equipment input'!B:B,SMALL(IF(INDEX(Equipment_Allocation_New,0,MATCH($C$107,Unit_codes,0))&gt;0,ROW(equipment_ID)),ROW('2.2-Equipment input'!B21))))</f>
        <v>N/A</v>
      </c>
      <c r="C172" s="70" t="str">
        <f>IF($B172="N/A","N/A",INDEX(Equipment_name[],MATCH(B172,equipment_ID,0)))</f>
        <v>N/A</v>
      </c>
      <c r="D172" s="288" t="str">
        <f t="shared" si="19"/>
        <v>N/A</v>
      </c>
      <c r="E172" s="88" t="str">
        <f t="shared" si="20"/>
        <v>N/A</v>
      </c>
      <c r="F172" s="88" t="str">
        <f t="shared" si="21"/>
        <v>N/A</v>
      </c>
      <c r="G172" s="88" t="str">
        <f t="shared" si="22"/>
        <v>N/A</v>
      </c>
      <c r="H172" s="288" t="str">
        <f>IFERROR(IF($B172="N/A","N/A",IF(MOD(COLUMNS(H$151:$H$151)-1,$E172)=0,$F172*$D172*$G172,)),)</f>
        <v>N/A</v>
      </c>
      <c r="I172" s="288" t="str">
        <f>IFERROR(IF($B172="N/A","N/A",IF(MOD(COLUMNS($H$151:I$151)-1,$E172)=0,$F172*$D172*$G172,)),)</f>
        <v>N/A</v>
      </c>
      <c r="J172" s="288" t="str">
        <f>IFERROR(IF($B172="N/A","N/A",IF(MOD(COLUMNS($H$151:J$151)-1,$E172)=0,$F172*$D172*$G172,)),)</f>
        <v>N/A</v>
      </c>
      <c r="K172" s="288" t="str">
        <f>IFERROR(IF($B172="N/A","N/A",IF(MOD(COLUMNS($H$151:K$151)-1,$E172)=0,$F172*$D172*$G172,)),)</f>
        <v>N/A</v>
      </c>
      <c r="L172" s="288" t="str">
        <f>IFERROR(IF($B172="N/A","N/A",IF(MOD(COLUMNS($H$151:L$151)-1,$E172)=0,$F172*$D172*$G172,)),)</f>
        <v>N/A</v>
      </c>
      <c r="M172" s="288" t="str">
        <f>IFERROR(IF($B172="N/A","N/A",IF(MOD(COLUMNS($H$151:M$151)-1,$E172)=0,$F172*$D172*$G172,)),)</f>
        <v>N/A</v>
      </c>
      <c r="N172" s="288" t="str">
        <f>IFERROR(IF($B172="N/A","N/A",IF(MOD(COLUMNS($H$151:N$151)-1,$E172)=0,$F172*$D172*$G172,)),)</f>
        <v>N/A</v>
      </c>
      <c r="O172" s="288" t="str">
        <f>IFERROR(IF($B172="N/A","N/A",IF(MOD(COLUMNS($H$151:O$151)-1,$E172)=0,$F172*$D172*$G172,)),)</f>
        <v>N/A</v>
      </c>
      <c r="P172" s="288" t="str">
        <f>IFERROR(IF($B172="N/A","N/A",IF(MOD(COLUMNS($H$151:P$151)-1,$E172)=0,$F172*$D172*$G172,)),)</f>
        <v>N/A</v>
      </c>
      <c r="Q172" s="288" t="str">
        <f>IFERROR(IF($B172="N/A","N/A",IF(MOD(COLUMNS($H$151:Q$151)-1,$E172)=0,$F172*$D172*$G172,)),)</f>
        <v>N/A</v>
      </c>
      <c r="R172" s="288" t="str">
        <f>IFERROR(IF($B172="N/A","N/A",IF(MOD(COLUMNS($H$151:R$151)-1,$E172)=0,$F172*$D172*$G172,)),)</f>
        <v>N/A</v>
      </c>
      <c r="S172" s="288" t="str">
        <f>IFERROR(IF($B172="N/A","N/A",IF(MOD(COLUMNS($H$151:S$151)-1,$E172)=0,$F172*$D172*$G172,)),)</f>
        <v>N/A</v>
      </c>
      <c r="T172" s="288" t="str">
        <f>IFERROR(IF($B172="N/A","N/A",IF(MOD(COLUMNS($H$151:T$151)-1,$E172)=0,$F172*$D172*$G172,)),)</f>
        <v>N/A</v>
      </c>
      <c r="U172" s="288" t="str">
        <f>IFERROR(IF($B172="N/A","N/A",IF(MOD(COLUMNS($H$151:U$151)-1,$E172)=0,$F172*$D172*$G172,)),)</f>
        <v>N/A</v>
      </c>
      <c r="V172" s="288" t="str">
        <f>IFERROR(IF($B172="N/A","N/A",IF(MOD(COLUMNS($H$151:V$151)-1,$E172)=0,$F172*$D172*$G172,)),)</f>
        <v>N/A</v>
      </c>
      <c r="W172" s="288" t="str">
        <f>IFERROR(IF($B172="N/A","N/A",IF(MOD(COLUMNS($H$151:W$151)-1,$E172)=0,$F172*$D172*$G172,)),)</f>
        <v>N/A</v>
      </c>
    </row>
    <row r="173" spans="2:23">
      <c r="B173" s="70" t="str">
        <f t="array" ref="B173">IF(COUNTIFS(INDEX(Equipment_Allocation_New,0,MATCH($C$107,Unit_codes,0)),"&gt;0")&lt;ROWS('2.2-Equipment input'!$X$8:$X29),"N/A",INDEX('2.2-Equipment input'!B:B,SMALL(IF(INDEX(Equipment_Allocation_New,0,MATCH($C$107,Unit_codes,0))&gt;0,ROW(equipment_ID)),ROW('2.2-Equipment input'!B22))))</f>
        <v>N/A</v>
      </c>
      <c r="C173" s="70" t="str">
        <f>IF($B173="N/A","N/A",INDEX(Equipment_name[],MATCH(B173,equipment_ID,0)))</f>
        <v>N/A</v>
      </c>
      <c r="D173" s="288" t="str">
        <f t="shared" si="19"/>
        <v>N/A</v>
      </c>
      <c r="E173" s="88" t="str">
        <f t="shared" si="20"/>
        <v>N/A</v>
      </c>
      <c r="F173" s="88" t="str">
        <f t="shared" si="21"/>
        <v>N/A</v>
      </c>
      <c r="G173" s="88" t="str">
        <f t="shared" si="22"/>
        <v>N/A</v>
      </c>
      <c r="H173" s="288" t="str">
        <f>IFERROR(IF($B173="N/A","N/A",IF(MOD(COLUMNS(H$151:$H$151)-1,$E173)=0,$F173*$D173*$G173,)),)</f>
        <v>N/A</v>
      </c>
      <c r="I173" s="288" t="str">
        <f>IFERROR(IF($B173="N/A","N/A",IF(MOD(COLUMNS($H$151:I$151)-1,$E173)=0,$F173*$D173*$G173,)),)</f>
        <v>N/A</v>
      </c>
      <c r="J173" s="288" t="str">
        <f>IFERROR(IF($B173="N/A","N/A",IF(MOD(COLUMNS($H$151:J$151)-1,$E173)=0,$F173*$D173*$G173,)),)</f>
        <v>N/A</v>
      </c>
      <c r="K173" s="288" t="str">
        <f>IFERROR(IF($B173="N/A","N/A",IF(MOD(COLUMNS($H$151:K$151)-1,$E173)=0,$F173*$D173*$G173,)),)</f>
        <v>N/A</v>
      </c>
      <c r="L173" s="288" t="str">
        <f>IFERROR(IF($B173="N/A","N/A",IF(MOD(COLUMNS($H$151:L$151)-1,$E173)=0,$F173*$D173*$G173,)),)</f>
        <v>N/A</v>
      </c>
      <c r="M173" s="288" t="str">
        <f>IFERROR(IF($B173="N/A","N/A",IF(MOD(COLUMNS($H$151:M$151)-1,$E173)=0,$F173*$D173*$G173,)),)</f>
        <v>N/A</v>
      </c>
      <c r="N173" s="288" t="str">
        <f>IFERROR(IF($B173="N/A","N/A",IF(MOD(COLUMNS($H$151:N$151)-1,$E173)=0,$F173*$D173*$G173,)),)</f>
        <v>N/A</v>
      </c>
      <c r="O173" s="288" t="str">
        <f>IFERROR(IF($B173="N/A","N/A",IF(MOD(COLUMNS($H$151:O$151)-1,$E173)=0,$F173*$D173*$G173,)),)</f>
        <v>N/A</v>
      </c>
      <c r="P173" s="288" t="str">
        <f>IFERROR(IF($B173="N/A","N/A",IF(MOD(COLUMNS($H$151:P$151)-1,$E173)=0,$F173*$D173*$G173,)),)</f>
        <v>N/A</v>
      </c>
      <c r="Q173" s="288" t="str">
        <f>IFERROR(IF($B173="N/A","N/A",IF(MOD(COLUMNS($H$151:Q$151)-1,$E173)=0,$F173*$D173*$G173,)),)</f>
        <v>N/A</v>
      </c>
      <c r="R173" s="288" t="str">
        <f>IFERROR(IF($B173="N/A","N/A",IF(MOD(COLUMNS($H$151:R$151)-1,$E173)=0,$F173*$D173*$G173,)),)</f>
        <v>N/A</v>
      </c>
      <c r="S173" s="288" t="str">
        <f>IFERROR(IF($B173="N/A","N/A",IF(MOD(COLUMNS($H$151:S$151)-1,$E173)=0,$F173*$D173*$G173,)),)</f>
        <v>N/A</v>
      </c>
      <c r="T173" s="288" t="str">
        <f>IFERROR(IF($B173="N/A","N/A",IF(MOD(COLUMNS($H$151:T$151)-1,$E173)=0,$F173*$D173*$G173,)),)</f>
        <v>N/A</v>
      </c>
      <c r="U173" s="288" t="str">
        <f>IFERROR(IF($B173="N/A","N/A",IF(MOD(COLUMNS($H$151:U$151)-1,$E173)=0,$F173*$D173*$G173,)),)</f>
        <v>N/A</v>
      </c>
      <c r="V173" s="288" t="str">
        <f>IFERROR(IF($B173="N/A","N/A",IF(MOD(COLUMNS($H$151:V$151)-1,$E173)=0,$F173*$D173*$G173,)),)</f>
        <v>N/A</v>
      </c>
      <c r="W173" s="288" t="str">
        <f>IFERROR(IF($B173="N/A","N/A",IF(MOD(COLUMNS($H$151:W$151)-1,$E173)=0,$F173*$D173*$G173,)),)</f>
        <v>N/A</v>
      </c>
    </row>
    <row r="174" spans="2:23">
      <c r="B174" s="70" t="str">
        <f t="array" ref="B174">IF(COUNTIFS(INDEX(Equipment_Allocation_New,0,MATCH($C$107,Unit_codes,0)),"&gt;0")&lt;ROWS('2.2-Equipment input'!$X$8:$X30),"N/A",INDEX('2.2-Equipment input'!B:B,SMALL(IF(INDEX(Equipment_Allocation_New,0,MATCH($C$107,Unit_codes,0))&gt;0,ROW(equipment_ID)),ROW('2.2-Equipment input'!B23))))</f>
        <v>N/A</v>
      </c>
      <c r="C174" s="70" t="str">
        <f>IF($B174="N/A","N/A",INDEX(Equipment_name[],MATCH(B174,equipment_ID,0)))</f>
        <v>N/A</v>
      </c>
      <c r="D174" s="288" t="str">
        <f t="shared" si="19"/>
        <v>N/A</v>
      </c>
      <c r="E174" s="88" t="str">
        <f t="shared" si="20"/>
        <v>N/A</v>
      </c>
      <c r="F174" s="88" t="str">
        <f t="shared" si="21"/>
        <v>N/A</v>
      </c>
      <c r="G174" s="88" t="str">
        <f t="shared" si="22"/>
        <v>N/A</v>
      </c>
      <c r="H174" s="288" t="str">
        <f>IFERROR(IF($B174="N/A","N/A",IF(MOD(COLUMNS(H$151:$H$151)-1,$E174)=0,$F174*$D174*$G174,)),)</f>
        <v>N/A</v>
      </c>
      <c r="I174" s="288" t="str">
        <f>IFERROR(IF($B174="N/A","N/A",IF(MOD(COLUMNS($H$151:I$151)-1,$E174)=0,$F174*$D174*$G174,)),)</f>
        <v>N/A</v>
      </c>
      <c r="J174" s="288" t="str">
        <f>IFERROR(IF($B174="N/A","N/A",IF(MOD(COLUMNS($H$151:J$151)-1,$E174)=0,$F174*$D174*$G174,)),)</f>
        <v>N/A</v>
      </c>
      <c r="K174" s="288" t="str">
        <f>IFERROR(IF($B174="N/A","N/A",IF(MOD(COLUMNS($H$151:K$151)-1,$E174)=0,$F174*$D174*$G174,)),)</f>
        <v>N/A</v>
      </c>
      <c r="L174" s="288" t="str">
        <f>IFERROR(IF($B174="N/A","N/A",IF(MOD(COLUMNS($H$151:L$151)-1,$E174)=0,$F174*$D174*$G174,)),)</f>
        <v>N/A</v>
      </c>
      <c r="M174" s="288" t="str">
        <f>IFERROR(IF($B174="N/A","N/A",IF(MOD(COLUMNS($H$151:M$151)-1,$E174)=0,$F174*$D174*$G174,)),)</f>
        <v>N/A</v>
      </c>
      <c r="N174" s="288" t="str">
        <f>IFERROR(IF($B174="N/A","N/A",IF(MOD(COLUMNS($H$151:N$151)-1,$E174)=0,$F174*$D174*$G174,)),)</f>
        <v>N/A</v>
      </c>
      <c r="O174" s="288" t="str">
        <f>IFERROR(IF($B174="N/A","N/A",IF(MOD(COLUMNS($H$151:O$151)-1,$E174)=0,$F174*$D174*$G174,)),)</f>
        <v>N/A</v>
      </c>
      <c r="P174" s="288" t="str">
        <f>IFERROR(IF($B174="N/A","N/A",IF(MOD(COLUMNS($H$151:P$151)-1,$E174)=0,$F174*$D174*$G174,)),)</f>
        <v>N/A</v>
      </c>
      <c r="Q174" s="288" t="str">
        <f>IFERROR(IF($B174="N/A","N/A",IF(MOD(COLUMNS($H$151:Q$151)-1,$E174)=0,$F174*$D174*$G174,)),)</f>
        <v>N/A</v>
      </c>
      <c r="R174" s="288" t="str">
        <f>IFERROR(IF($B174="N/A","N/A",IF(MOD(COLUMNS($H$151:R$151)-1,$E174)=0,$F174*$D174*$G174,)),)</f>
        <v>N/A</v>
      </c>
      <c r="S174" s="288" t="str">
        <f>IFERROR(IF($B174="N/A","N/A",IF(MOD(COLUMNS($H$151:S$151)-1,$E174)=0,$F174*$D174*$G174,)),)</f>
        <v>N/A</v>
      </c>
      <c r="T174" s="288" t="str">
        <f>IFERROR(IF($B174="N/A","N/A",IF(MOD(COLUMNS($H$151:T$151)-1,$E174)=0,$F174*$D174*$G174,)),)</f>
        <v>N/A</v>
      </c>
      <c r="U174" s="288" t="str">
        <f>IFERROR(IF($B174="N/A","N/A",IF(MOD(COLUMNS($H$151:U$151)-1,$E174)=0,$F174*$D174*$G174,)),)</f>
        <v>N/A</v>
      </c>
      <c r="V174" s="288" t="str">
        <f>IFERROR(IF($B174="N/A","N/A",IF(MOD(COLUMNS($H$151:V$151)-1,$E174)=0,$F174*$D174*$G174,)),)</f>
        <v>N/A</v>
      </c>
      <c r="W174" s="288" t="str">
        <f>IFERROR(IF($B174="N/A","N/A",IF(MOD(COLUMNS($H$151:W$151)-1,$E174)=0,$F174*$D174*$G174,)),)</f>
        <v>N/A</v>
      </c>
    </row>
    <row r="175" spans="2:23">
      <c r="B175" s="70" t="str">
        <f t="array" ref="B175">IF(COUNTIFS(INDEX(Equipment_Allocation_New,0,MATCH($C$107,Unit_codes,0)),"&gt;0")&lt;ROWS('2.2-Equipment input'!$X$8:$X31),"N/A",INDEX('2.2-Equipment input'!B:B,SMALL(IF(INDEX(Equipment_Allocation_New,0,MATCH($C$107,Unit_codes,0))&gt;0,ROW(equipment_ID)),ROW('2.2-Equipment input'!B24))))</f>
        <v>N/A</v>
      </c>
      <c r="C175" s="70" t="str">
        <f>IF($B175="N/A","N/A",INDEX(Equipment_name[],MATCH(B175,equipment_ID,0)))</f>
        <v>N/A</v>
      </c>
      <c r="D175" s="288" t="str">
        <f t="shared" si="19"/>
        <v>N/A</v>
      </c>
      <c r="E175" s="88" t="str">
        <f t="shared" si="20"/>
        <v>N/A</v>
      </c>
      <c r="F175" s="88" t="str">
        <f t="shared" si="21"/>
        <v>N/A</v>
      </c>
      <c r="G175" s="88" t="str">
        <f t="shared" si="22"/>
        <v>N/A</v>
      </c>
      <c r="H175" s="288" t="str">
        <f>IFERROR(IF($B175="N/A","N/A",IF(MOD(COLUMNS(H$151:$H$151)-1,$E175)=0,$F175*$D175*$G175,)),)</f>
        <v>N/A</v>
      </c>
      <c r="I175" s="288" t="str">
        <f>IFERROR(IF($B175="N/A","N/A",IF(MOD(COLUMNS($H$151:I$151)-1,$E175)=0,$F175*$D175*$G175,)),)</f>
        <v>N/A</v>
      </c>
      <c r="J175" s="288" t="str">
        <f>IFERROR(IF($B175="N/A","N/A",IF(MOD(COLUMNS($H$151:J$151)-1,$E175)=0,$F175*$D175*$G175,)),)</f>
        <v>N/A</v>
      </c>
      <c r="K175" s="288" t="str">
        <f>IFERROR(IF($B175="N/A","N/A",IF(MOD(COLUMNS($H$151:K$151)-1,$E175)=0,$F175*$D175*$G175,)),)</f>
        <v>N/A</v>
      </c>
      <c r="L175" s="288" t="str">
        <f>IFERROR(IF($B175="N/A","N/A",IF(MOD(COLUMNS($H$151:L$151)-1,$E175)=0,$F175*$D175*$G175,)),)</f>
        <v>N/A</v>
      </c>
      <c r="M175" s="288" t="str">
        <f>IFERROR(IF($B175="N/A","N/A",IF(MOD(COLUMNS($H$151:M$151)-1,$E175)=0,$F175*$D175*$G175,)),)</f>
        <v>N/A</v>
      </c>
      <c r="N175" s="288" t="str">
        <f>IFERROR(IF($B175="N/A","N/A",IF(MOD(COLUMNS($H$151:N$151)-1,$E175)=0,$F175*$D175*$G175,)),)</f>
        <v>N/A</v>
      </c>
      <c r="O175" s="288" t="str">
        <f>IFERROR(IF($B175="N/A","N/A",IF(MOD(COLUMNS($H$151:O$151)-1,$E175)=0,$F175*$D175*$G175,)),)</f>
        <v>N/A</v>
      </c>
      <c r="P175" s="288" t="str">
        <f>IFERROR(IF($B175="N/A","N/A",IF(MOD(COLUMNS($H$151:P$151)-1,$E175)=0,$F175*$D175*$G175,)),)</f>
        <v>N/A</v>
      </c>
      <c r="Q175" s="288" t="str">
        <f>IFERROR(IF($B175="N/A","N/A",IF(MOD(COLUMNS($H$151:Q$151)-1,$E175)=0,$F175*$D175*$G175,)),)</f>
        <v>N/A</v>
      </c>
      <c r="R175" s="288" t="str">
        <f>IFERROR(IF($B175="N/A","N/A",IF(MOD(COLUMNS($H$151:R$151)-1,$E175)=0,$F175*$D175*$G175,)),)</f>
        <v>N/A</v>
      </c>
      <c r="S175" s="288" t="str">
        <f>IFERROR(IF($B175="N/A","N/A",IF(MOD(COLUMNS($H$151:S$151)-1,$E175)=0,$F175*$D175*$G175,)),)</f>
        <v>N/A</v>
      </c>
      <c r="T175" s="288" t="str">
        <f>IFERROR(IF($B175="N/A","N/A",IF(MOD(COLUMNS($H$151:T$151)-1,$E175)=0,$F175*$D175*$G175,)),)</f>
        <v>N/A</v>
      </c>
      <c r="U175" s="288" t="str">
        <f>IFERROR(IF($B175="N/A","N/A",IF(MOD(COLUMNS($H$151:U$151)-1,$E175)=0,$F175*$D175*$G175,)),)</f>
        <v>N/A</v>
      </c>
      <c r="V175" s="288" t="str">
        <f>IFERROR(IF($B175="N/A","N/A",IF(MOD(COLUMNS($H$151:V$151)-1,$E175)=0,$F175*$D175*$G175,)),)</f>
        <v>N/A</v>
      </c>
      <c r="W175" s="288" t="str">
        <f>IFERROR(IF($B175="N/A","N/A",IF(MOD(COLUMNS($H$151:W$151)-1,$E175)=0,$F175*$D175*$G175,)),)</f>
        <v>N/A</v>
      </c>
    </row>
    <row r="176" spans="2:23">
      <c r="B176" s="70" t="str">
        <f t="array" ref="B176">IF(COUNTIFS(INDEX(Equipment_Allocation_New,0,MATCH($C$107,Unit_codes,0)),"&gt;0")&lt;ROWS('2.2-Equipment input'!$X$8:$X32),"N/A",INDEX('2.2-Equipment input'!B:B,SMALL(IF(INDEX(Equipment_Allocation_New,0,MATCH($C$107,Unit_codes,0))&gt;0,ROW(equipment_ID)),ROW('2.2-Equipment input'!B25))))</f>
        <v>N/A</v>
      </c>
      <c r="C176" s="70" t="str">
        <f>IF($B176="N/A","N/A",INDEX(Equipment_name[],MATCH(B176,equipment_ID,0)))</f>
        <v>N/A</v>
      </c>
      <c r="D176" s="288" t="str">
        <f t="shared" si="19"/>
        <v>N/A</v>
      </c>
      <c r="E176" s="88" t="str">
        <f t="shared" si="20"/>
        <v>N/A</v>
      </c>
      <c r="F176" s="88" t="str">
        <f t="shared" si="21"/>
        <v>N/A</v>
      </c>
      <c r="G176" s="88" t="str">
        <f t="shared" si="22"/>
        <v>N/A</v>
      </c>
      <c r="H176" s="288" t="str">
        <f>IFERROR(IF($B176="N/A","N/A",IF(MOD(COLUMNS(H$151:$H$151)-1,$E176)=0,$F176*$D176*$G176,)),)</f>
        <v>N/A</v>
      </c>
      <c r="I176" s="288" t="str">
        <f>IFERROR(IF($B176="N/A","N/A",IF(MOD(COLUMNS($H$151:I$151)-1,$E176)=0,$F176*$D176*$G176,)),)</f>
        <v>N/A</v>
      </c>
      <c r="J176" s="288" t="str">
        <f>IFERROR(IF($B176="N/A","N/A",IF(MOD(COLUMNS($H$151:J$151)-1,$E176)=0,$F176*$D176*$G176,)),)</f>
        <v>N/A</v>
      </c>
      <c r="K176" s="288" t="str">
        <f>IFERROR(IF($B176="N/A","N/A",IF(MOD(COLUMNS($H$151:K$151)-1,$E176)=0,$F176*$D176*$G176,)),)</f>
        <v>N/A</v>
      </c>
      <c r="L176" s="288" t="str">
        <f>IFERROR(IF($B176="N/A","N/A",IF(MOD(COLUMNS($H$151:L$151)-1,$E176)=0,$F176*$D176*$G176,)),)</f>
        <v>N/A</v>
      </c>
      <c r="M176" s="288" t="str">
        <f>IFERROR(IF($B176="N/A","N/A",IF(MOD(COLUMNS($H$151:M$151)-1,$E176)=0,$F176*$D176*$G176,)),)</f>
        <v>N/A</v>
      </c>
      <c r="N176" s="288" t="str">
        <f>IFERROR(IF($B176="N/A","N/A",IF(MOD(COLUMNS($H$151:N$151)-1,$E176)=0,$F176*$D176*$G176,)),)</f>
        <v>N/A</v>
      </c>
      <c r="O176" s="288" t="str">
        <f>IFERROR(IF($B176="N/A","N/A",IF(MOD(COLUMNS($H$151:O$151)-1,$E176)=0,$F176*$D176*$G176,)),)</f>
        <v>N/A</v>
      </c>
      <c r="P176" s="288" t="str">
        <f>IFERROR(IF($B176="N/A","N/A",IF(MOD(COLUMNS($H$151:P$151)-1,$E176)=0,$F176*$D176*$G176,)),)</f>
        <v>N/A</v>
      </c>
      <c r="Q176" s="288" t="str">
        <f>IFERROR(IF($B176="N/A","N/A",IF(MOD(COLUMNS($H$151:Q$151)-1,$E176)=0,$F176*$D176*$G176,)),)</f>
        <v>N/A</v>
      </c>
      <c r="R176" s="288" t="str">
        <f>IFERROR(IF($B176="N/A","N/A",IF(MOD(COLUMNS($H$151:R$151)-1,$E176)=0,$F176*$D176*$G176,)),)</f>
        <v>N/A</v>
      </c>
      <c r="S176" s="288" t="str">
        <f>IFERROR(IF($B176="N/A","N/A",IF(MOD(COLUMNS($H$151:S$151)-1,$E176)=0,$F176*$D176*$G176,)),)</f>
        <v>N/A</v>
      </c>
      <c r="T176" s="288" t="str">
        <f>IFERROR(IF($B176="N/A","N/A",IF(MOD(COLUMNS($H$151:T$151)-1,$E176)=0,$F176*$D176*$G176,)),)</f>
        <v>N/A</v>
      </c>
      <c r="U176" s="288" t="str">
        <f>IFERROR(IF($B176="N/A","N/A",IF(MOD(COLUMNS($H$151:U$151)-1,$E176)=0,$F176*$D176*$G176,)),)</f>
        <v>N/A</v>
      </c>
      <c r="V176" s="288" t="str">
        <f>IFERROR(IF($B176="N/A","N/A",IF(MOD(COLUMNS($H$151:V$151)-1,$E176)=0,$F176*$D176*$G176,)),)</f>
        <v>N/A</v>
      </c>
      <c r="W176" s="288" t="str">
        <f>IFERROR(IF($B176="N/A","N/A",IF(MOD(COLUMNS($H$151:W$151)-1,$E176)=0,$F176*$D176*$G176,)),)</f>
        <v>N/A</v>
      </c>
    </row>
    <row r="177" spans="2:23">
      <c r="B177" s="70" t="str">
        <f t="array" ref="B177">IF(COUNTIFS(INDEX(Equipment_Allocation_New,0,MATCH($C$107,Unit_codes,0)),"&gt;0")&lt;ROWS('2.2-Equipment input'!$X$8:$X33),"N/A",INDEX('2.2-Equipment input'!B:B,SMALL(IF(INDEX(Equipment_Allocation_New,0,MATCH($C$107,Unit_codes,0))&gt;0,ROW(equipment_ID)),ROW('2.2-Equipment input'!B26))))</f>
        <v>N/A</v>
      </c>
      <c r="C177" s="70" t="str">
        <f>IF($B177="N/A","N/A",INDEX(Equipment_name[],MATCH(B177,equipment_ID,0)))</f>
        <v>N/A</v>
      </c>
      <c r="D177" s="288" t="str">
        <f t="shared" si="19"/>
        <v>N/A</v>
      </c>
      <c r="E177" s="88" t="str">
        <f t="shared" si="20"/>
        <v>N/A</v>
      </c>
      <c r="F177" s="88" t="str">
        <f t="shared" si="21"/>
        <v>N/A</v>
      </c>
      <c r="G177" s="88" t="str">
        <f t="shared" si="22"/>
        <v>N/A</v>
      </c>
      <c r="H177" s="288" t="str">
        <f>IFERROR(IF($B177="N/A","N/A",IF(MOD(COLUMNS(H$151:$H$151)-1,$E177)=0,$F177*$D177*$G177,)),)</f>
        <v>N/A</v>
      </c>
      <c r="I177" s="288" t="str">
        <f>IFERROR(IF($B177="N/A","N/A",IF(MOD(COLUMNS($H$151:I$151)-1,$E177)=0,$F177*$D177*$G177,)),)</f>
        <v>N/A</v>
      </c>
      <c r="J177" s="288" t="str">
        <f>IFERROR(IF($B177="N/A","N/A",IF(MOD(COLUMNS($H$151:J$151)-1,$E177)=0,$F177*$D177*$G177,)),)</f>
        <v>N/A</v>
      </c>
      <c r="K177" s="288" t="str">
        <f>IFERROR(IF($B177="N/A","N/A",IF(MOD(COLUMNS($H$151:K$151)-1,$E177)=0,$F177*$D177*$G177,)),)</f>
        <v>N/A</v>
      </c>
      <c r="L177" s="288" t="str">
        <f>IFERROR(IF($B177="N/A","N/A",IF(MOD(COLUMNS($H$151:L$151)-1,$E177)=0,$F177*$D177*$G177,)),)</f>
        <v>N/A</v>
      </c>
      <c r="M177" s="288" t="str">
        <f>IFERROR(IF($B177="N/A","N/A",IF(MOD(COLUMNS($H$151:M$151)-1,$E177)=0,$F177*$D177*$G177,)),)</f>
        <v>N/A</v>
      </c>
      <c r="N177" s="288" t="str">
        <f>IFERROR(IF($B177="N/A","N/A",IF(MOD(COLUMNS($H$151:N$151)-1,$E177)=0,$F177*$D177*$G177,)),)</f>
        <v>N/A</v>
      </c>
      <c r="O177" s="288" t="str">
        <f>IFERROR(IF($B177="N/A","N/A",IF(MOD(COLUMNS($H$151:O$151)-1,$E177)=0,$F177*$D177*$G177,)),)</f>
        <v>N/A</v>
      </c>
      <c r="P177" s="288" t="str">
        <f>IFERROR(IF($B177="N/A","N/A",IF(MOD(COLUMNS($H$151:P$151)-1,$E177)=0,$F177*$D177*$G177,)),)</f>
        <v>N/A</v>
      </c>
      <c r="Q177" s="288" t="str">
        <f>IFERROR(IF($B177="N/A","N/A",IF(MOD(COLUMNS($H$151:Q$151)-1,$E177)=0,$F177*$D177*$G177,)),)</f>
        <v>N/A</v>
      </c>
      <c r="R177" s="288" t="str">
        <f>IFERROR(IF($B177="N/A","N/A",IF(MOD(COLUMNS($H$151:R$151)-1,$E177)=0,$F177*$D177*$G177,)),)</f>
        <v>N/A</v>
      </c>
      <c r="S177" s="288" t="str">
        <f>IFERROR(IF($B177="N/A","N/A",IF(MOD(COLUMNS($H$151:S$151)-1,$E177)=0,$F177*$D177*$G177,)),)</f>
        <v>N/A</v>
      </c>
      <c r="T177" s="288" t="str">
        <f>IFERROR(IF($B177="N/A","N/A",IF(MOD(COLUMNS($H$151:T$151)-1,$E177)=0,$F177*$D177*$G177,)),)</f>
        <v>N/A</v>
      </c>
      <c r="U177" s="288" t="str">
        <f>IFERROR(IF($B177="N/A","N/A",IF(MOD(COLUMNS($H$151:U$151)-1,$E177)=0,$F177*$D177*$G177,)),)</f>
        <v>N/A</v>
      </c>
      <c r="V177" s="288" t="str">
        <f>IFERROR(IF($B177="N/A","N/A",IF(MOD(COLUMNS($H$151:V$151)-1,$E177)=0,$F177*$D177*$G177,)),)</f>
        <v>N/A</v>
      </c>
      <c r="W177" s="288" t="str">
        <f>IFERROR(IF($B177="N/A","N/A",IF(MOD(COLUMNS($H$151:W$151)-1,$E177)=0,$F177*$D177*$G177,)),)</f>
        <v>N/A</v>
      </c>
    </row>
    <row r="178" spans="2:23">
      <c r="B178" s="70" t="str">
        <f t="array" ref="B178">IF(COUNTIFS(INDEX(Equipment_Allocation_New,0,MATCH($C$107,Unit_codes,0)),"&gt;0")&lt;ROWS('2.2-Equipment input'!$X$8:$X34),"N/A",INDEX('2.2-Equipment input'!B:B,SMALL(IF(INDEX(Equipment_Allocation_New,0,MATCH($C$107,Unit_codes,0))&gt;0,ROW(equipment_ID)),ROW('2.2-Equipment input'!B27))))</f>
        <v>N/A</v>
      </c>
      <c r="C178" s="70" t="str">
        <f>IF($B178="N/A","N/A",INDEX(Equipment_name[],MATCH(B178,equipment_ID,0)))</f>
        <v>N/A</v>
      </c>
      <c r="D178" s="288" t="str">
        <f t="shared" si="19"/>
        <v>N/A</v>
      </c>
      <c r="E178" s="88" t="str">
        <f t="shared" si="20"/>
        <v>N/A</v>
      </c>
      <c r="F178" s="88" t="str">
        <f t="shared" si="21"/>
        <v>N/A</v>
      </c>
      <c r="G178" s="88" t="str">
        <f t="shared" si="22"/>
        <v>N/A</v>
      </c>
      <c r="H178" s="288" t="str">
        <f>IFERROR(IF($B178="N/A","N/A",IF(MOD(COLUMNS(H$151:$H$151)-1,$E178)=0,$F178*$D178*$G178,)),)</f>
        <v>N/A</v>
      </c>
      <c r="I178" s="288" t="str">
        <f>IFERROR(IF($B178="N/A","N/A",IF(MOD(COLUMNS($H$151:I$151)-1,$E178)=0,$F178*$D178*$G178,)),)</f>
        <v>N/A</v>
      </c>
      <c r="J178" s="288" t="str">
        <f>IFERROR(IF($B178="N/A","N/A",IF(MOD(COLUMNS($H$151:J$151)-1,$E178)=0,$F178*$D178*$G178,)),)</f>
        <v>N/A</v>
      </c>
      <c r="K178" s="288" t="str">
        <f>IFERROR(IF($B178="N/A","N/A",IF(MOD(COLUMNS($H$151:K$151)-1,$E178)=0,$F178*$D178*$G178,)),)</f>
        <v>N/A</v>
      </c>
      <c r="L178" s="288" t="str">
        <f>IFERROR(IF($B178="N/A","N/A",IF(MOD(COLUMNS($H$151:L$151)-1,$E178)=0,$F178*$D178*$G178,)),)</f>
        <v>N/A</v>
      </c>
      <c r="M178" s="288" t="str">
        <f>IFERROR(IF($B178="N/A","N/A",IF(MOD(COLUMNS($H$151:M$151)-1,$E178)=0,$F178*$D178*$G178,)),)</f>
        <v>N/A</v>
      </c>
      <c r="N178" s="288" t="str">
        <f>IFERROR(IF($B178="N/A","N/A",IF(MOD(COLUMNS($H$151:N$151)-1,$E178)=0,$F178*$D178*$G178,)),)</f>
        <v>N/A</v>
      </c>
      <c r="O178" s="288" t="str">
        <f>IFERROR(IF($B178="N/A","N/A",IF(MOD(COLUMNS($H$151:O$151)-1,$E178)=0,$F178*$D178*$G178,)),)</f>
        <v>N/A</v>
      </c>
      <c r="P178" s="288" t="str">
        <f>IFERROR(IF($B178="N/A","N/A",IF(MOD(COLUMNS($H$151:P$151)-1,$E178)=0,$F178*$D178*$G178,)),)</f>
        <v>N/A</v>
      </c>
      <c r="Q178" s="288" t="str">
        <f>IFERROR(IF($B178="N/A","N/A",IF(MOD(COLUMNS($H$151:Q$151)-1,$E178)=0,$F178*$D178*$G178,)),)</f>
        <v>N/A</v>
      </c>
      <c r="R178" s="288" t="str">
        <f>IFERROR(IF($B178="N/A","N/A",IF(MOD(COLUMNS($H$151:R$151)-1,$E178)=0,$F178*$D178*$G178,)),)</f>
        <v>N/A</v>
      </c>
      <c r="S178" s="288" t="str">
        <f>IFERROR(IF($B178="N/A","N/A",IF(MOD(COLUMNS($H$151:S$151)-1,$E178)=0,$F178*$D178*$G178,)),)</f>
        <v>N/A</v>
      </c>
      <c r="T178" s="288" t="str">
        <f>IFERROR(IF($B178="N/A","N/A",IF(MOD(COLUMNS($H$151:T$151)-1,$E178)=0,$F178*$D178*$G178,)),)</f>
        <v>N/A</v>
      </c>
      <c r="U178" s="288" t="str">
        <f>IFERROR(IF($B178="N/A","N/A",IF(MOD(COLUMNS($H$151:U$151)-1,$E178)=0,$F178*$D178*$G178,)),)</f>
        <v>N/A</v>
      </c>
      <c r="V178" s="288" t="str">
        <f>IFERROR(IF($B178="N/A","N/A",IF(MOD(COLUMNS($H$151:V$151)-1,$E178)=0,$F178*$D178*$G178,)),)</f>
        <v>N/A</v>
      </c>
      <c r="W178" s="288" t="str">
        <f>IFERROR(IF($B178="N/A","N/A",IF(MOD(COLUMNS($H$151:W$151)-1,$E178)=0,$F178*$D178*$G178,)),)</f>
        <v>N/A</v>
      </c>
    </row>
    <row r="179" spans="2:23">
      <c r="B179" s="70" t="str">
        <f t="array" ref="B179">IF(COUNTIFS(INDEX(Equipment_Allocation_New,0,MATCH($C$107,Unit_codes,0)),"&gt;0")&lt;ROWS('2.2-Equipment input'!$X$8:$X35),"N/A",INDEX('2.2-Equipment input'!B:B,SMALL(IF(INDEX(Equipment_Allocation_New,0,MATCH($C$107,Unit_codes,0))&gt;0,ROW(equipment_ID)),ROW('2.2-Equipment input'!B28))))</f>
        <v>N/A</v>
      </c>
      <c r="C179" s="70" t="str">
        <f>IF($B179="N/A","N/A",INDEX(Equipment_name[],MATCH(B179,equipment_ID,0)))</f>
        <v>N/A</v>
      </c>
      <c r="D179" s="288" t="str">
        <f t="shared" si="19"/>
        <v>N/A</v>
      </c>
      <c r="E179" s="88" t="str">
        <f t="shared" si="20"/>
        <v>N/A</v>
      </c>
      <c r="F179" s="88" t="str">
        <f t="shared" si="21"/>
        <v>N/A</v>
      </c>
      <c r="G179" s="88" t="str">
        <f t="shared" si="22"/>
        <v>N/A</v>
      </c>
      <c r="H179" s="288" t="str">
        <f>IFERROR(IF($B179="N/A","N/A",IF(MOD(COLUMNS(H$151:$H$151)-1,$E179)=0,$F179*$D179*$G179,)),)</f>
        <v>N/A</v>
      </c>
      <c r="I179" s="288" t="str">
        <f>IFERROR(IF($B179="N/A","N/A",IF(MOD(COLUMNS($H$151:I$151)-1,$E179)=0,$F179*$D179*$G179,)),)</f>
        <v>N/A</v>
      </c>
      <c r="J179" s="288" t="str">
        <f>IFERROR(IF($B179="N/A","N/A",IF(MOD(COLUMNS($H$151:J$151)-1,$E179)=0,$F179*$D179*$G179,)),)</f>
        <v>N/A</v>
      </c>
      <c r="K179" s="288" t="str">
        <f>IFERROR(IF($B179="N/A","N/A",IF(MOD(COLUMNS($H$151:K$151)-1,$E179)=0,$F179*$D179*$G179,)),)</f>
        <v>N/A</v>
      </c>
      <c r="L179" s="288" t="str">
        <f>IFERROR(IF($B179="N/A","N/A",IF(MOD(COLUMNS($H$151:L$151)-1,$E179)=0,$F179*$D179*$G179,)),)</f>
        <v>N/A</v>
      </c>
      <c r="M179" s="288" t="str">
        <f>IFERROR(IF($B179="N/A","N/A",IF(MOD(COLUMNS($H$151:M$151)-1,$E179)=0,$F179*$D179*$G179,)),)</f>
        <v>N/A</v>
      </c>
      <c r="N179" s="288" t="str">
        <f>IFERROR(IF($B179="N/A","N/A",IF(MOD(COLUMNS($H$151:N$151)-1,$E179)=0,$F179*$D179*$G179,)),)</f>
        <v>N/A</v>
      </c>
      <c r="O179" s="288" t="str">
        <f>IFERROR(IF($B179="N/A","N/A",IF(MOD(COLUMNS($H$151:O$151)-1,$E179)=0,$F179*$D179*$G179,)),)</f>
        <v>N/A</v>
      </c>
      <c r="P179" s="288" t="str">
        <f>IFERROR(IF($B179="N/A","N/A",IF(MOD(COLUMNS($H$151:P$151)-1,$E179)=0,$F179*$D179*$G179,)),)</f>
        <v>N/A</v>
      </c>
      <c r="Q179" s="288" t="str">
        <f>IFERROR(IF($B179="N/A","N/A",IF(MOD(COLUMNS($H$151:Q$151)-1,$E179)=0,$F179*$D179*$G179,)),)</f>
        <v>N/A</v>
      </c>
      <c r="R179" s="288" t="str">
        <f>IFERROR(IF($B179="N/A","N/A",IF(MOD(COLUMNS($H$151:R$151)-1,$E179)=0,$F179*$D179*$G179,)),)</f>
        <v>N/A</v>
      </c>
      <c r="S179" s="288" t="str">
        <f>IFERROR(IF($B179="N/A","N/A",IF(MOD(COLUMNS($H$151:S$151)-1,$E179)=0,$F179*$D179*$G179,)),)</f>
        <v>N/A</v>
      </c>
      <c r="T179" s="288" t="str">
        <f>IFERROR(IF($B179="N/A","N/A",IF(MOD(COLUMNS($H$151:T$151)-1,$E179)=0,$F179*$D179*$G179,)),)</f>
        <v>N/A</v>
      </c>
      <c r="U179" s="288" t="str">
        <f>IFERROR(IF($B179="N/A","N/A",IF(MOD(COLUMNS($H$151:U$151)-1,$E179)=0,$F179*$D179*$G179,)),)</f>
        <v>N/A</v>
      </c>
      <c r="V179" s="288" t="str">
        <f>IFERROR(IF($B179="N/A","N/A",IF(MOD(COLUMNS($H$151:V$151)-1,$E179)=0,$F179*$D179*$G179,)),)</f>
        <v>N/A</v>
      </c>
      <c r="W179" s="288" t="str">
        <f>IFERROR(IF($B179="N/A","N/A",IF(MOD(COLUMNS($H$151:W$151)-1,$E179)=0,$F179*$D179*$G179,)),)</f>
        <v>N/A</v>
      </c>
    </row>
    <row r="180" spans="2:23">
      <c r="B180" s="70" t="str">
        <f t="array" ref="B180">IF(COUNTIFS(INDEX(Equipment_Allocation_New,0,MATCH($C$107,Unit_codes,0)),"&gt;0")&lt;ROWS('2.2-Equipment input'!$X$8:$X36),"N/A",INDEX('2.2-Equipment input'!B:B,SMALL(IF(INDEX(Equipment_Allocation_New,0,MATCH($C$107,Unit_codes,0))&gt;0,ROW(equipment_ID)),ROW('2.2-Equipment input'!B29))))</f>
        <v>N/A</v>
      </c>
      <c r="C180" s="70" t="str">
        <f>IF($B180="N/A","N/A",INDEX(Equipment_name[],MATCH(B180,equipment_ID,0)))</f>
        <v>N/A</v>
      </c>
      <c r="D180" s="288" t="str">
        <f t="shared" si="19"/>
        <v>N/A</v>
      </c>
      <c r="E180" s="88" t="str">
        <f t="shared" si="20"/>
        <v>N/A</v>
      </c>
      <c r="F180" s="88" t="str">
        <f t="shared" si="21"/>
        <v>N/A</v>
      </c>
      <c r="G180" s="88" t="str">
        <f t="shared" si="22"/>
        <v>N/A</v>
      </c>
      <c r="H180" s="288" t="str">
        <f>IFERROR(IF($B180="N/A","N/A",IF(MOD(COLUMNS(H$151:$H$151)-1,$E180)=0,$F180*$D180*$G180,)),)</f>
        <v>N/A</v>
      </c>
      <c r="I180" s="288" t="str">
        <f>IFERROR(IF($B180="N/A","N/A",IF(MOD(COLUMNS($H$151:I$151)-1,$E180)=0,$F180*$D180*$G180,)),)</f>
        <v>N/A</v>
      </c>
      <c r="J180" s="288" t="str">
        <f>IFERROR(IF($B180="N/A","N/A",IF(MOD(COLUMNS($H$151:J$151)-1,$E180)=0,$F180*$D180*$G180,)),)</f>
        <v>N/A</v>
      </c>
      <c r="K180" s="288" t="str">
        <f>IFERROR(IF($B180="N/A","N/A",IF(MOD(COLUMNS($H$151:K$151)-1,$E180)=0,$F180*$D180*$G180,)),)</f>
        <v>N/A</v>
      </c>
      <c r="L180" s="288" t="str">
        <f>IFERROR(IF($B180="N/A","N/A",IF(MOD(COLUMNS($H$151:L$151)-1,$E180)=0,$F180*$D180*$G180,)),)</f>
        <v>N/A</v>
      </c>
      <c r="M180" s="288" t="str">
        <f>IFERROR(IF($B180="N/A","N/A",IF(MOD(COLUMNS($H$151:M$151)-1,$E180)=0,$F180*$D180*$G180,)),)</f>
        <v>N/A</v>
      </c>
      <c r="N180" s="288" t="str">
        <f>IFERROR(IF($B180="N/A","N/A",IF(MOD(COLUMNS($H$151:N$151)-1,$E180)=0,$F180*$D180*$G180,)),)</f>
        <v>N/A</v>
      </c>
      <c r="O180" s="288" t="str">
        <f>IFERROR(IF($B180="N/A","N/A",IF(MOD(COLUMNS($H$151:O$151)-1,$E180)=0,$F180*$D180*$G180,)),)</f>
        <v>N/A</v>
      </c>
      <c r="P180" s="288" t="str">
        <f>IFERROR(IF($B180="N/A","N/A",IF(MOD(COLUMNS($H$151:P$151)-1,$E180)=0,$F180*$D180*$G180,)),)</f>
        <v>N/A</v>
      </c>
      <c r="Q180" s="288" t="str">
        <f>IFERROR(IF($B180="N/A","N/A",IF(MOD(COLUMNS($H$151:Q$151)-1,$E180)=0,$F180*$D180*$G180,)),)</f>
        <v>N/A</v>
      </c>
      <c r="R180" s="288" t="str">
        <f>IFERROR(IF($B180="N/A","N/A",IF(MOD(COLUMNS($H$151:R$151)-1,$E180)=0,$F180*$D180*$G180,)),)</f>
        <v>N/A</v>
      </c>
      <c r="S180" s="288" t="str">
        <f>IFERROR(IF($B180="N/A","N/A",IF(MOD(COLUMNS($H$151:S$151)-1,$E180)=0,$F180*$D180*$G180,)),)</f>
        <v>N/A</v>
      </c>
      <c r="T180" s="288" t="str">
        <f>IFERROR(IF($B180="N/A","N/A",IF(MOD(COLUMNS($H$151:T$151)-1,$E180)=0,$F180*$D180*$G180,)),)</f>
        <v>N/A</v>
      </c>
      <c r="U180" s="288" t="str">
        <f>IFERROR(IF($B180="N/A","N/A",IF(MOD(COLUMNS($H$151:U$151)-1,$E180)=0,$F180*$D180*$G180,)),)</f>
        <v>N/A</v>
      </c>
      <c r="V180" s="288" t="str">
        <f>IFERROR(IF($B180="N/A","N/A",IF(MOD(COLUMNS($H$151:V$151)-1,$E180)=0,$F180*$D180*$G180,)),)</f>
        <v>N/A</v>
      </c>
      <c r="W180" s="288" t="str">
        <f>IFERROR(IF($B180="N/A","N/A",IF(MOD(COLUMNS($H$151:W$151)-1,$E180)=0,$F180*$D180*$G180,)),)</f>
        <v>N/A</v>
      </c>
    </row>
    <row r="181" spans="2:23">
      <c r="B181" s="70" t="str">
        <f t="array" ref="B181">IF(COUNTIFS(INDEX(Equipment_Allocation_New,0,MATCH($C$107,Unit_codes,0)),"&gt;0")&lt;ROWS('2.2-Equipment input'!$X$8:$X37),"N/A",INDEX('2.2-Equipment input'!B:B,SMALL(IF(INDEX(Equipment_Allocation_New,0,MATCH($C$107,Unit_codes,0))&gt;0,ROW(equipment_ID)),ROW('2.2-Equipment input'!B30))))</f>
        <v>N/A</v>
      </c>
      <c r="C181" s="70" t="str">
        <f>IF($B181="N/A","N/A",INDEX(Equipment_name[],MATCH(B181,equipment_ID,0)))</f>
        <v>N/A</v>
      </c>
      <c r="D181" s="288" t="str">
        <f t="shared" si="19"/>
        <v>N/A</v>
      </c>
      <c r="E181" s="88" t="str">
        <f t="shared" si="20"/>
        <v>N/A</v>
      </c>
      <c r="F181" s="88" t="str">
        <f t="shared" si="21"/>
        <v>N/A</v>
      </c>
      <c r="G181" s="88" t="str">
        <f t="shared" si="22"/>
        <v>N/A</v>
      </c>
      <c r="H181" s="288" t="str">
        <f>IFERROR(IF($B181="N/A","N/A",IF(MOD(COLUMNS(H$151:$H$151)-1,$E181)=0,$F181*$D181*$G181,)),)</f>
        <v>N/A</v>
      </c>
      <c r="I181" s="288" t="str">
        <f>IFERROR(IF($B181="N/A","N/A",IF(MOD(COLUMNS($H$151:I$151)-1,$E181)=0,$F181*$D181*$G181,)),)</f>
        <v>N/A</v>
      </c>
      <c r="J181" s="288" t="str">
        <f>IFERROR(IF($B181="N/A","N/A",IF(MOD(COLUMNS($H$151:J$151)-1,$E181)=0,$F181*$D181*$G181,)),)</f>
        <v>N/A</v>
      </c>
      <c r="K181" s="288" t="str">
        <f>IFERROR(IF($B181="N/A","N/A",IF(MOD(COLUMNS($H$151:K$151)-1,$E181)=0,$F181*$D181*$G181,)),)</f>
        <v>N/A</v>
      </c>
      <c r="L181" s="288" t="str">
        <f>IFERROR(IF($B181="N/A","N/A",IF(MOD(COLUMNS($H$151:L$151)-1,$E181)=0,$F181*$D181*$G181,)),)</f>
        <v>N/A</v>
      </c>
      <c r="M181" s="288" t="str">
        <f>IFERROR(IF($B181="N/A","N/A",IF(MOD(COLUMNS($H$151:M$151)-1,$E181)=0,$F181*$D181*$G181,)),)</f>
        <v>N/A</v>
      </c>
      <c r="N181" s="288" t="str">
        <f>IFERROR(IF($B181="N/A","N/A",IF(MOD(COLUMNS($H$151:N$151)-1,$E181)=0,$F181*$D181*$G181,)),)</f>
        <v>N/A</v>
      </c>
      <c r="O181" s="288" t="str">
        <f>IFERROR(IF($B181="N/A","N/A",IF(MOD(COLUMNS($H$151:O$151)-1,$E181)=0,$F181*$D181*$G181,)),)</f>
        <v>N/A</v>
      </c>
      <c r="P181" s="288" t="str">
        <f>IFERROR(IF($B181="N/A","N/A",IF(MOD(COLUMNS($H$151:P$151)-1,$E181)=0,$F181*$D181*$G181,)),)</f>
        <v>N/A</v>
      </c>
      <c r="Q181" s="288" t="str">
        <f>IFERROR(IF($B181="N/A","N/A",IF(MOD(COLUMNS($H$151:Q$151)-1,$E181)=0,$F181*$D181*$G181,)),)</f>
        <v>N/A</v>
      </c>
      <c r="R181" s="288" t="str">
        <f>IFERROR(IF($B181="N/A","N/A",IF(MOD(COLUMNS($H$151:R$151)-1,$E181)=0,$F181*$D181*$G181,)),)</f>
        <v>N/A</v>
      </c>
      <c r="S181" s="288" t="str">
        <f>IFERROR(IF($B181="N/A","N/A",IF(MOD(COLUMNS($H$151:S$151)-1,$E181)=0,$F181*$D181*$G181,)),)</f>
        <v>N/A</v>
      </c>
      <c r="T181" s="288" t="str">
        <f>IFERROR(IF($B181="N/A","N/A",IF(MOD(COLUMNS($H$151:T$151)-1,$E181)=0,$F181*$D181*$G181,)),)</f>
        <v>N/A</v>
      </c>
      <c r="U181" s="288" t="str">
        <f>IFERROR(IF($B181="N/A","N/A",IF(MOD(COLUMNS($H$151:U$151)-1,$E181)=0,$F181*$D181*$G181,)),)</f>
        <v>N/A</v>
      </c>
      <c r="V181" s="288" t="str">
        <f>IFERROR(IF($B181="N/A","N/A",IF(MOD(COLUMNS($H$151:V$151)-1,$E181)=0,$F181*$D181*$G181,)),)</f>
        <v>N/A</v>
      </c>
      <c r="W181" s="288" t="str">
        <f>IFERROR(IF($B181="N/A","N/A",IF(MOD(COLUMNS($H$151:W$151)-1,$E181)=0,$F181*$D181*$G181,)),)</f>
        <v>N/A</v>
      </c>
    </row>
    <row r="182" spans="2:23">
      <c r="B182" s="70" t="str">
        <f t="array" ref="B182">IF(COUNTIFS(INDEX(Equipment_Allocation_New,0,MATCH($C$107,Unit_codes,0)),"&gt;0")&lt;ROWS('2.2-Equipment input'!$X$8:$X38),"N/A",INDEX('2.2-Equipment input'!B:B,SMALL(IF(INDEX(Equipment_Allocation_New,0,MATCH($C$107,Unit_codes,0))&gt;0,ROW(equipment_ID)),ROW('2.2-Equipment input'!B31))))</f>
        <v>N/A</v>
      </c>
      <c r="C182" s="70" t="str">
        <f>IF($B182="N/A","N/A",INDEX(Equipment_name[],MATCH(B182,equipment_ID,0)))</f>
        <v>N/A</v>
      </c>
      <c r="D182" s="288" t="str">
        <f t="shared" si="19"/>
        <v>N/A</v>
      </c>
      <c r="E182" s="88" t="str">
        <f t="shared" si="20"/>
        <v>N/A</v>
      </c>
      <c r="F182" s="88" t="str">
        <f t="shared" si="21"/>
        <v>N/A</v>
      </c>
      <c r="G182" s="88" t="str">
        <f t="shared" si="22"/>
        <v>N/A</v>
      </c>
      <c r="H182" s="288" t="str">
        <f>IFERROR(IF($B182="N/A","N/A",IF(MOD(COLUMNS(H$151:$H$151)-1,$E182)=0,$F182*$D182*$G182,)),)</f>
        <v>N/A</v>
      </c>
      <c r="I182" s="288" t="str">
        <f>IFERROR(IF($B182="N/A","N/A",IF(MOD(COLUMNS($H$151:I$151)-1,$E182)=0,$F182*$D182*$G182,)),)</f>
        <v>N/A</v>
      </c>
      <c r="J182" s="288" t="str">
        <f>IFERROR(IF($B182="N/A","N/A",IF(MOD(COLUMNS($H$151:J$151)-1,$E182)=0,$F182*$D182*$G182,)),)</f>
        <v>N/A</v>
      </c>
      <c r="K182" s="288" t="str">
        <f>IFERROR(IF($B182="N/A","N/A",IF(MOD(COLUMNS($H$151:K$151)-1,$E182)=0,$F182*$D182*$G182,)),)</f>
        <v>N/A</v>
      </c>
      <c r="L182" s="288" t="str">
        <f>IFERROR(IF($B182="N/A","N/A",IF(MOD(COLUMNS($H$151:L$151)-1,$E182)=0,$F182*$D182*$G182,)),)</f>
        <v>N/A</v>
      </c>
      <c r="M182" s="288" t="str">
        <f>IFERROR(IF($B182="N/A","N/A",IF(MOD(COLUMNS($H$151:M$151)-1,$E182)=0,$F182*$D182*$G182,)),)</f>
        <v>N/A</v>
      </c>
      <c r="N182" s="288" t="str">
        <f>IFERROR(IF($B182="N/A","N/A",IF(MOD(COLUMNS($H$151:N$151)-1,$E182)=0,$F182*$D182*$G182,)),)</f>
        <v>N/A</v>
      </c>
      <c r="O182" s="288" t="str">
        <f>IFERROR(IF($B182="N/A","N/A",IF(MOD(COLUMNS($H$151:O$151)-1,$E182)=0,$F182*$D182*$G182,)),)</f>
        <v>N/A</v>
      </c>
      <c r="P182" s="288" t="str">
        <f>IFERROR(IF($B182="N/A","N/A",IF(MOD(COLUMNS($H$151:P$151)-1,$E182)=0,$F182*$D182*$G182,)),)</f>
        <v>N/A</v>
      </c>
      <c r="Q182" s="288" t="str">
        <f>IFERROR(IF($B182="N/A","N/A",IF(MOD(COLUMNS($H$151:Q$151)-1,$E182)=0,$F182*$D182*$G182,)),)</f>
        <v>N/A</v>
      </c>
      <c r="R182" s="288" t="str">
        <f>IFERROR(IF($B182="N/A","N/A",IF(MOD(COLUMNS($H$151:R$151)-1,$E182)=0,$F182*$D182*$G182,)),)</f>
        <v>N/A</v>
      </c>
      <c r="S182" s="288" t="str">
        <f>IFERROR(IF($B182="N/A","N/A",IF(MOD(COLUMNS($H$151:S$151)-1,$E182)=0,$F182*$D182*$G182,)),)</f>
        <v>N/A</v>
      </c>
      <c r="T182" s="288" t="str">
        <f>IFERROR(IF($B182="N/A","N/A",IF(MOD(COLUMNS($H$151:T$151)-1,$E182)=0,$F182*$D182*$G182,)),)</f>
        <v>N/A</v>
      </c>
      <c r="U182" s="288" t="str">
        <f>IFERROR(IF($B182="N/A","N/A",IF(MOD(COLUMNS($H$151:U$151)-1,$E182)=0,$F182*$D182*$G182,)),)</f>
        <v>N/A</v>
      </c>
      <c r="V182" s="288" t="str">
        <f>IFERROR(IF($B182="N/A","N/A",IF(MOD(COLUMNS($H$151:V$151)-1,$E182)=0,$F182*$D182*$G182,)),)</f>
        <v>N/A</v>
      </c>
      <c r="W182" s="288" t="str">
        <f>IFERROR(IF($B182="N/A","N/A",IF(MOD(COLUMNS($H$151:W$151)-1,$E182)=0,$F182*$D182*$G182,)),)</f>
        <v>N/A</v>
      </c>
    </row>
    <row r="183" spans="2:23">
      <c r="B183" s="70" t="str">
        <f t="array" ref="B183">IF(COUNTIFS(INDEX(Equipment_Allocation_New,0,MATCH($C$107,Unit_codes,0)),"&gt;0")&lt;ROWS('2.2-Equipment input'!$X$8:$X39),"N/A",INDEX('2.2-Equipment input'!B:B,SMALL(IF(INDEX(Equipment_Allocation_New,0,MATCH($C$107,Unit_codes,0))&gt;0,ROW(equipment_ID)),ROW('2.2-Equipment input'!B32))))</f>
        <v>N/A</v>
      </c>
      <c r="C183" s="70" t="str">
        <f>IF($B183="N/A","N/A",INDEX(Equipment_name[],MATCH(B183,equipment_ID,0)))</f>
        <v>N/A</v>
      </c>
      <c r="D183" s="288" t="str">
        <f t="shared" si="19"/>
        <v>N/A</v>
      </c>
      <c r="E183" s="88" t="str">
        <f t="shared" si="20"/>
        <v>N/A</v>
      </c>
      <c r="F183" s="88" t="str">
        <f t="shared" si="21"/>
        <v>N/A</v>
      </c>
      <c r="G183" s="88" t="str">
        <f t="shared" si="22"/>
        <v>N/A</v>
      </c>
      <c r="H183" s="288" t="str">
        <f>IFERROR(IF($B183="N/A","N/A",IF(MOD(COLUMNS(H$151:$H$151)-1,$E183)=0,$F183*$D183*$G183,)),)</f>
        <v>N/A</v>
      </c>
      <c r="I183" s="288" t="str">
        <f>IFERROR(IF($B183="N/A","N/A",IF(MOD(COLUMNS($H$151:I$151)-1,$E183)=0,$F183*$D183*$G183,)),)</f>
        <v>N/A</v>
      </c>
      <c r="J183" s="288" t="str">
        <f>IFERROR(IF($B183="N/A","N/A",IF(MOD(COLUMNS($H$151:J$151)-1,$E183)=0,$F183*$D183*$G183,)),)</f>
        <v>N/A</v>
      </c>
      <c r="K183" s="288" t="str">
        <f>IFERROR(IF($B183="N/A","N/A",IF(MOD(COLUMNS($H$151:K$151)-1,$E183)=0,$F183*$D183*$G183,)),)</f>
        <v>N/A</v>
      </c>
      <c r="L183" s="288" t="str">
        <f>IFERROR(IF($B183="N/A","N/A",IF(MOD(COLUMNS($H$151:L$151)-1,$E183)=0,$F183*$D183*$G183,)),)</f>
        <v>N/A</v>
      </c>
      <c r="M183" s="288" t="str">
        <f>IFERROR(IF($B183="N/A","N/A",IF(MOD(COLUMNS($H$151:M$151)-1,$E183)=0,$F183*$D183*$G183,)),)</f>
        <v>N/A</v>
      </c>
      <c r="N183" s="288" t="str">
        <f>IFERROR(IF($B183="N/A","N/A",IF(MOD(COLUMNS($H$151:N$151)-1,$E183)=0,$F183*$D183*$G183,)),)</f>
        <v>N/A</v>
      </c>
      <c r="O183" s="288" t="str">
        <f>IFERROR(IF($B183="N/A","N/A",IF(MOD(COLUMNS($H$151:O$151)-1,$E183)=0,$F183*$D183*$G183,)),)</f>
        <v>N/A</v>
      </c>
      <c r="P183" s="288" t="str">
        <f>IFERROR(IF($B183="N/A","N/A",IF(MOD(COLUMNS($H$151:P$151)-1,$E183)=0,$F183*$D183*$G183,)),)</f>
        <v>N/A</v>
      </c>
      <c r="Q183" s="288" t="str">
        <f>IFERROR(IF($B183="N/A","N/A",IF(MOD(COLUMNS($H$151:Q$151)-1,$E183)=0,$F183*$D183*$G183,)),)</f>
        <v>N/A</v>
      </c>
      <c r="R183" s="288" t="str">
        <f>IFERROR(IF($B183="N/A","N/A",IF(MOD(COLUMNS($H$151:R$151)-1,$E183)=0,$F183*$D183*$G183,)),)</f>
        <v>N/A</v>
      </c>
      <c r="S183" s="288" t="str">
        <f>IFERROR(IF($B183="N/A","N/A",IF(MOD(COLUMNS($H$151:S$151)-1,$E183)=0,$F183*$D183*$G183,)),)</f>
        <v>N/A</v>
      </c>
      <c r="T183" s="288" t="str">
        <f>IFERROR(IF($B183="N/A","N/A",IF(MOD(COLUMNS($H$151:T$151)-1,$E183)=0,$F183*$D183*$G183,)),)</f>
        <v>N/A</v>
      </c>
      <c r="U183" s="288" t="str">
        <f>IFERROR(IF($B183="N/A","N/A",IF(MOD(COLUMNS($H$151:U$151)-1,$E183)=0,$F183*$D183*$G183,)),)</f>
        <v>N/A</v>
      </c>
      <c r="V183" s="288" t="str">
        <f>IFERROR(IF($B183="N/A","N/A",IF(MOD(COLUMNS($H$151:V$151)-1,$E183)=0,$F183*$D183*$G183,)),)</f>
        <v>N/A</v>
      </c>
      <c r="W183" s="288" t="str">
        <f>IFERROR(IF($B183="N/A","N/A",IF(MOD(COLUMNS($H$151:W$151)-1,$E183)=0,$F183*$D183*$G183,)),)</f>
        <v>N/A</v>
      </c>
    </row>
    <row r="184" spans="2:23">
      <c r="B184" s="70" t="str">
        <f t="array" ref="B184">IF(COUNTIFS(INDEX(Equipment_Allocation_New,0,MATCH($C$107,Unit_codes,0)),"&gt;0")&lt;ROWS('2.2-Equipment input'!$X$8:$X40),"N/A",INDEX('2.2-Equipment input'!B:B,SMALL(IF(INDEX(Equipment_Allocation_New,0,MATCH($C$107,Unit_codes,0))&gt;0,ROW(equipment_ID)),ROW('2.2-Equipment input'!B33))))</f>
        <v>N/A</v>
      </c>
      <c r="C184" s="70" t="str">
        <f>IF($B184="N/A","N/A",INDEX(Equipment_name[],MATCH(B184,equipment_ID,0)))</f>
        <v>N/A</v>
      </c>
      <c r="D184" s="288" t="str">
        <f t="shared" si="19"/>
        <v>N/A</v>
      </c>
      <c r="E184" s="88" t="str">
        <f t="shared" si="20"/>
        <v>N/A</v>
      </c>
      <c r="F184" s="88" t="str">
        <f t="shared" si="21"/>
        <v>N/A</v>
      </c>
      <c r="G184" s="88" t="str">
        <f t="shared" si="22"/>
        <v>N/A</v>
      </c>
      <c r="H184" s="288" t="str">
        <f>IFERROR(IF($B184="N/A","N/A",IF(MOD(COLUMNS(H$151:$H$151)-1,$E184)=0,$F184*$D184*$G184,)),)</f>
        <v>N/A</v>
      </c>
      <c r="I184" s="288" t="str">
        <f>IFERROR(IF($B184="N/A","N/A",IF(MOD(COLUMNS($H$151:I$151)-1,$E184)=0,$F184*$D184*$G184,)),)</f>
        <v>N/A</v>
      </c>
      <c r="J184" s="288" t="str">
        <f>IFERROR(IF($B184="N/A","N/A",IF(MOD(COLUMNS($H$151:J$151)-1,$E184)=0,$F184*$D184*$G184,)),)</f>
        <v>N/A</v>
      </c>
      <c r="K184" s="288" t="str">
        <f>IFERROR(IF($B184="N/A","N/A",IF(MOD(COLUMNS($H$151:K$151)-1,$E184)=0,$F184*$D184*$G184,)),)</f>
        <v>N/A</v>
      </c>
      <c r="L184" s="288" t="str">
        <f>IFERROR(IF($B184="N/A","N/A",IF(MOD(COLUMNS($H$151:L$151)-1,$E184)=0,$F184*$D184*$G184,)),)</f>
        <v>N/A</v>
      </c>
      <c r="M184" s="288" t="str">
        <f>IFERROR(IF($B184="N/A","N/A",IF(MOD(COLUMNS($H$151:M$151)-1,$E184)=0,$F184*$D184*$G184,)),)</f>
        <v>N/A</v>
      </c>
      <c r="N184" s="288" t="str">
        <f>IFERROR(IF($B184="N/A","N/A",IF(MOD(COLUMNS($H$151:N$151)-1,$E184)=0,$F184*$D184*$G184,)),)</f>
        <v>N/A</v>
      </c>
      <c r="O184" s="288" t="str">
        <f>IFERROR(IF($B184="N/A","N/A",IF(MOD(COLUMNS($H$151:O$151)-1,$E184)=0,$F184*$D184*$G184,)),)</f>
        <v>N/A</v>
      </c>
      <c r="P184" s="288" t="str">
        <f>IFERROR(IF($B184="N/A","N/A",IF(MOD(COLUMNS($H$151:P$151)-1,$E184)=0,$F184*$D184*$G184,)),)</f>
        <v>N/A</v>
      </c>
      <c r="Q184" s="288" t="str">
        <f>IFERROR(IF($B184="N/A","N/A",IF(MOD(COLUMNS($H$151:Q$151)-1,$E184)=0,$F184*$D184*$G184,)),)</f>
        <v>N/A</v>
      </c>
      <c r="R184" s="288" t="str">
        <f>IFERROR(IF($B184="N/A","N/A",IF(MOD(COLUMNS($H$151:R$151)-1,$E184)=0,$F184*$D184*$G184,)),)</f>
        <v>N/A</v>
      </c>
      <c r="S184" s="288" t="str">
        <f>IFERROR(IF($B184="N/A","N/A",IF(MOD(COLUMNS($H$151:S$151)-1,$E184)=0,$F184*$D184*$G184,)),)</f>
        <v>N/A</v>
      </c>
      <c r="T184" s="288" t="str">
        <f>IFERROR(IF($B184="N/A","N/A",IF(MOD(COLUMNS($H$151:T$151)-1,$E184)=0,$F184*$D184*$G184,)),)</f>
        <v>N/A</v>
      </c>
      <c r="U184" s="288" t="str">
        <f>IFERROR(IF($B184="N/A","N/A",IF(MOD(COLUMNS($H$151:U$151)-1,$E184)=0,$F184*$D184*$G184,)),)</f>
        <v>N/A</v>
      </c>
      <c r="V184" s="288" t="str">
        <f>IFERROR(IF($B184="N/A","N/A",IF(MOD(COLUMNS($H$151:V$151)-1,$E184)=0,$F184*$D184*$G184,)),)</f>
        <v>N/A</v>
      </c>
      <c r="W184" s="288" t="str">
        <f>IFERROR(IF($B184="N/A","N/A",IF(MOD(COLUMNS($H$151:W$151)-1,$E184)=0,$F184*$D184*$G184,)),)</f>
        <v>N/A</v>
      </c>
    </row>
    <row r="185" spans="2:23">
      <c r="B185" s="70" t="str">
        <f t="array" ref="B185">IF(COUNTIFS(INDEX(Equipment_Allocation_New,0,MATCH($C$107,Unit_codes,0)),"&gt;0")&lt;ROWS('2.2-Equipment input'!$X$8:$X41),"N/A",INDEX('2.2-Equipment input'!B:B,SMALL(IF(INDEX(Equipment_Allocation_New,0,MATCH($C$107,Unit_codes,0))&gt;0,ROW(equipment_ID)),ROW('2.2-Equipment input'!B34))))</f>
        <v>N/A</v>
      </c>
      <c r="C185" s="70" t="str">
        <f>IF($B185="N/A","N/A",INDEX(Equipment_name[],MATCH(B185,equipment_ID,0)))</f>
        <v>N/A</v>
      </c>
      <c r="D185" s="288" t="str">
        <f t="shared" si="19"/>
        <v>N/A</v>
      </c>
      <c r="E185" s="88" t="str">
        <f t="shared" si="20"/>
        <v>N/A</v>
      </c>
      <c r="F185" s="88" t="str">
        <f t="shared" si="21"/>
        <v>N/A</v>
      </c>
      <c r="G185" s="88" t="str">
        <f t="shared" si="22"/>
        <v>N/A</v>
      </c>
      <c r="H185" s="288" t="str">
        <f>IFERROR(IF($B185="N/A","N/A",IF(MOD(COLUMNS(H$151:$H$151)-1,$E185)=0,$F185*$D185*$G185,)),)</f>
        <v>N/A</v>
      </c>
      <c r="I185" s="288" t="str">
        <f>IFERROR(IF($B185="N/A","N/A",IF(MOD(COLUMNS($H$151:I$151)-1,$E185)=0,$F185*$D185*$G185,)),)</f>
        <v>N/A</v>
      </c>
      <c r="J185" s="288" t="str">
        <f>IFERROR(IF($B185="N/A","N/A",IF(MOD(COLUMNS($H$151:J$151)-1,$E185)=0,$F185*$D185*$G185,)),)</f>
        <v>N/A</v>
      </c>
      <c r="K185" s="288" t="str">
        <f>IFERROR(IF($B185="N/A","N/A",IF(MOD(COLUMNS($H$151:K$151)-1,$E185)=0,$F185*$D185*$G185,)),)</f>
        <v>N/A</v>
      </c>
      <c r="L185" s="288" t="str">
        <f>IFERROR(IF($B185="N/A","N/A",IF(MOD(COLUMNS($H$151:L$151)-1,$E185)=0,$F185*$D185*$G185,)),)</f>
        <v>N/A</v>
      </c>
      <c r="M185" s="288" t="str">
        <f>IFERROR(IF($B185="N/A","N/A",IF(MOD(COLUMNS($H$151:M$151)-1,$E185)=0,$F185*$D185*$G185,)),)</f>
        <v>N/A</v>
      </c>
      <c r="N185" s="288" t="str">
        <f>IFERROR(IF($B185="N/A","N/A",IF(MOD(COLUMNS($H$151:N$151)-1,$E185)=0,$F185*$D185*$G185,)),)</f>
        <v>N/A</v>
      </c>
      <c r="O185" s="288" t="str">
        <f>IFERROR(IF($B185="N/A","N/A",IF(MOD(COLUMNS($H$151:O$151)-1,$E185)=0,$F185*$D185*$G185,)),)</f>
        <v>N/A</v>
      </c>
      <c r="P185" s="288" t="str">
        <f>IFERROR(IF($B185="N/A","N/A",IF(MOD(COLUMNS($H$151:P$151)-1,$E185)=0,$F185*$D185*$G185,)),)</f>
        <v>N/A</v>
      </c>
      <c r="Q185" s="288" t="str">
        <f>IFERROR(IF($B185="N/A","N/A",IF(MOD(COLUMNS($H$151:Q$151)-1,$E185)=0,$F185*$D185*$G185,)),)</f>
        <v>N/A</v>
      </c>
      <c r="R185" s="288" t="str">
        <f>IFERROR(IF($B185="N/A","N/A",IF(MOD(COLUMNS($H$151:R$151)-1,$E185)=0,$F185*$D185*$G185,)),)</f>
        <v>N/A</v>
      </c>
      <c r="S185" s="288" t="str">
        <f>IFERROR(IF($B185="N/A","N/A",IF(MOD(COLUMNS($H$151:S$151)-1,$E185)=0,$F185*$D185*$G185,)),)</f>
        <v>N/A</v>
      </c>
      <c r="T185" s="288" t="str">
        <f>IFERROR(IF($B185="N/A","N/A",IF(MOD(COLUMNS($H$151:T$151)-1,$E185)=0,$F185*$D185*$G185,)),)</f>
        <v>N/A</v>
      </c>
      <c r="U185" s="288" t="str">
        <f>IFERROR(IF($B185="N/A","N/A",IF(MOD(COLUMNS($H$151:U$151)-1,$E185)=0,$F185*$D185*$G185,)),)</f>
        <v>N/A</v>
      </c>
      <c r="V185" s="288" t="str">
        <f>IFERROR(IF($B185="N/A","N/A",IF(MOD(COLUMNS($H$151:V$151)-1,$E185)=0,$F185*$D185*$G185,)),)</f>
        <v>N/A</v>
      </c>
      <c r="W185" s="288" t="str">
        <f>IFERROR(IF($B185="N/A","N/A",IF(MOD(COLUMNS($H$151:W$151)-1,$E185)=0,$F185*$D185*$G185,)),)</f>
        <v>N/A</v>
      </c>
    </row>
    <row r="186" spans="2:23">
      <c r="B186" s="70" t="str">
        <f t="array" ref="B186">IF(COUNTIFS(INDEX(Equipment_Allocation_New,0,MATCH($C$107,Unit_codes,0)),"&gt;0")&lt;ROWS('2.2-Equipment input'!$X$8:$X42),"N/A",INDEX('2.2-Equipment input'!B:B,SMALL(IF(INDEX(Equipment_Allocation_New,0,MATCH($C$107,Unit_codes,0))&gt;0,ROW(equipment_ID)),ROW('2.2-Equipment input'!B35))))</f>
        <v>N/A</v>
      </c>
      <c r="C186" s="70" t="str">
        <f>IF($B186="N/A","N/A",INDEX(Equipment_name[],MATCH(B186,equipment_ID,0)))</f>
        <v>N/A</v>
      </c>
      <c r="D186" s="288" t="str">
        <f t="shared" si="19"/>
        <v>N/A</v>
      </c>
      <c r="E186" s="88" t="str">
        <f t="shared" si="20"/>
        <v>N/A</v>
      </c>
      <c r="F186" s="88" t="str">
        <f t="shared" si="21"/>
        <v>N/A</v>
      </c>
      <c r="G186" s="88" t="str">
        <f t="shared" si="22"/>
        <v>N/A</v>
      </c>
      <c r="H186" s="288" t="str">
        <f>IFERROR(IF($B186="N/A","N/A",IF(MOD(COLUMNS(H$151:$H$151)-1,$E186)=0,$F186*$D186*$G186,)),)</f>
        <v>N/A</v>
      </c>
      <c r="I186" s="288" t="str">
        <f>IFERROR(IF($B186="N/A","N/A",IF(MOD(COLUMNS($H$151:I$151)-1,$E186)=0,$F186*$D186*$G186,)),)</f>
        <v>N/A</v>
      </c>
      <c r="J186" s="288" t="str">
        <f>IFERROR(IF($B186="N/A","N/A",IF(MOD(COLUMNS($H$151:J$151)-1,$E186)=0,$F186*$D186*$G186,)),)</f>
        <v>N/A</v>
      </c>
      <c r="K186" s="288" t="str">
        <f>IFERROR(IF($B186="N/A","N/A",IF(MOD(COLUMNS($H$151:K$151)-1,$E186)=0,$F186*$D186*$G186,)),)</f>
        <v>N/A</v>
      </c>
      <c r="L186" s="288" t="str">
        <f>IFERROR(IF($B186="N/A","N/A",IF(MOD(COLUMNS($H$151:L$151)-1,$E186)=0,$F186*$D186*$G186,)),)</f>
        <v>N/A</v>
      </c>
      <c r="M186" s="288" t="str">
        <f>IFERROR(IF($B186="N/A","N/A",IF(MOD(COLUMNS($H$151:M$151)-1,$E186)=0,$F186*$D186*$G186,)),)</f>
        <v>N/A</v>
      </c>
      <c r="N186" s="288" t="str">
        <f>IFERROR(IF($B186="N/A","N/A",IF(MOD(COLUMNS($H$151:N$151)-1,$E186)=0,$F186*$D186*$G186,)),)</f>
        <v>N/A</v>
      </c>
      <c r="O186" s="288" t="str">
        <f>IFERROR(IF($B186="N/A","N/A",IF(MOD(COLUMNS($H$151:O$151)-1,$E186)=0,$F186*$D186*$G186,)),)</f>
        <v>N/A</v>
      </c>
      <c r="P186" s="288" t="str">
        <f>IFERROR(IF($B186="N/A","N/A",IF(MOD(COLUMNS($H$151:P$151)-1,$E186)=0,$F186*$D186*$G186,)),)</f>
        <v>N/A</v>
      </c>
      <c r="Q186" s="288" t="str">
        <f>IFERROR(IF($B186="N/A","N/A",IF(MOD(COLUMNS($H$151:Q$151)-1,$E186)=0,$F186*$D186*$G186,)),)</f>
        <v>N/A</v>
      </c>
      <c r="R186" s="288" t="str">
        <f>IFERROR(IF($B186="N/A","N/A",IF(MOD(COLUMNS($H$151:R$151)-1,$E186)=0,$F186*$D186*$G186,)),)</f>
        <v>N/A</v>
      </c>
      <c r="S186" s="288" t="str">
        <f>IFERROR(IF($B186="N/A","N/A",IF(MOD(COLUMNS($H$151:S$151)-1,$E186)=0,$F186*$D186*$G186,)),)</f>
        <v>N/A</v>
      </c>
      <c r="T186" s="288" t="str">
        <f>IFERROR(IF($B186="N/A","N/A",IF(MOD(COLUMNS($H$151:T$151)-1,$E186)=0,$F186*$D186*$G186,)),)</f>
        <v>N/A</v>
      </c>
      <c r="U186" s="288" t="str">
        <f>IFERROR(IF($B186="N/A","N/A",IF(MOD(COLUMNS($H$151:U$151)-1,$E186)=0,$F186*$D186*$G186,)),)</f>
        <v>N/A</v>
      </c>
      <c r="V186" s="288" t="str">
        <f>IFERROR(IF($B186="N/A","N/A",IF(MOD(COLUMNS($H$151:V$151)-1,$E186)=0,$F186*$D186*$G186,)),)</f>
        <v>N/A</v>
      </c>
      <c r="W186" s="288" t="str">
        <f>IFERROR(IF($B186="N/A","N/A",IF(MOD(COLUMNS($H$151:W$151)-1,$E186)=0,$F186*$D186*$G186,)),)</f>
        <v>N/A</v>
      </c>
    </row>
    <row r="187" spans="2:23">
      <c r="B187" s="70" t="str">
        <f t="array" ref="B187">IF(COUNTIFS(INDEX(Equipment_Allocation_New,0,MATCH($C$107,Unit_codes,0)),"&gt;0")&lt;ROWS('2.2-Equipment input'!$X$8:$X43),"N/A",INDEX('2.2-Equipment input'!B:B,SMALL(IF(INDEX(Equipment_Allocation_New,0,MATCH($C$107,Unit_codes,0))&gt;0,ROW(equipment_ID)),ROW('2.2-Equipment input'!B36))))</f>
        <v>N/A</v>
      </c>
      <c r="C187" s="70" t="str">
        <f>IF($B187="N/A","N/A",INDEX(Equipment_name[],MATCH(B187,equipment_ID,0)))</f>
        <v>N/A</v>
      </c>
      <c r="D187" s="288" t="str">
        <f t="shared" si="19"/>
        <v>N/A</v>
      </c>
      <c r="E187" s="88" t="str">
        <f t="shared" si="20"/>
        <v>N/A</v>
      </c>
      <c r="F187" s="88" t="str">
        <f t="shared" si="21"/>
        <v>N/A</v>
      </c>
      <c r="G187" s="88" t="str">
        <f t="shared" si="22"/>
        <v>N/A</v>
      </c>
      <c r="H187" s="288" t="str">
        <f>IFERROR(IF($B187="N/A","N/A",IF(MOD(COLUMNS(H$151:$H$151)-1,$E187)=0,$F187*$D187*$G187,)),)</f>
        <v>N/A</v>
      </c>
      <c r="I187" s="288" t="str">
        <f>IFERROR(IF($B187="N/A","N/A",IF(MOD(COLUMNS($H$151:I$151)-1,$E187)=0,$F187*$D187*$G187,)),)</f>
        <v>N/A</v>
      </c>
      <c r="J187" s="288" t="str">
        <f>IFERROR(IF($B187="N/A","N/A",IF(MOD(COLUMNS($H$151:J$151)-1,$E187)=0,$F187*$D187*$G187,)),)</f>
        <v>N/A</v>
      </c>
      <c r="K187" s="288" t="str">
        <f>IFERROR(IF($B187="N/A","N/A",IF(MOD(COLUMNS($H$151:K$151)-1,$E187)=0,$F187*$D187*$G187,)),)</f>
        <v>N/A</v>
      </c>
      <c r="L187" s="288" t="str">
        <f>IFERROR(IF($B187="N/A","N/A",IF(MOD(COLUMNS($H$151:L$151)-1,$E187)=0,$F187*$D187*$G187,)),)</f>
        <v>N/A</v>
      </c>
      <c r="M187" s="288" t="str">
        <f>IFERROR(IF($B187="N/A","N/A",IF(MOD(COLUMNS($H$151:M$151)-1,$E187)=0,$F187*$D187*$G187,)),)</f>
        <v>N/A</v>
      </c>
      <c r="N187" s="288" t="str">
        <f>IFERROR(IF($B187="N/A","N/A",IF(MOD(COLUMNS($H$151:N$151)-1,$E187)=0,$F187*$D187*$G187,)),)</f>
        <v>N/A</v>
      </c>
      <c r="O187" s="288" t="str">
        <f>IFERROR(IF($B187="N/A","N/A",IF(MOD(COLUMNS($H$151:O$151)-1,$E187)=0,$F187*$D187*$G187,)),)</f>
        <v>N/A</v>
      </c>
      <c r="P187" s="288" t="str">
        <f>IFERROR(IF($B187="N/A","N/A",IF(MOD(COLUMNS($H$151:P$151)-1,$E187)=0,$F187*$D187*$G187,)),)</f>
        <v>N/A</v>
      </c>
      <c r="Q187" s="288" t="str">
        <f>IFERROR(IF($B187="N/A","N/A",IF(MOD(COLUMNS($H$151:Q$151)-1,$E187)=0,$F187*$D187*$G187,)),)</f>
        <v>N/A</v>
      </c>
      <c r="R187" s="288" t="str">
        <f>IFERROR(IF($B187="N/A","N/A",IF(MOD(COLUMNS($H$151:R$151)-1,$E187)=0,$F187*$D187*$G187,)),)</f>
        <v>N/A</v>
      </c>
      <c r="S187" s="288" t="str">
        <f>IFERROR(IF($B187="N/A","N/A",IF(MOD(COLUMNS($H$151:S$151)-1,$E187)=0,$F187*$D187*$G187,)),)</f>
        <v>N/A</v>
      </c>
      <c r="T187" s="288" t="str">
        <f>IFERROR(IF($B187="N/A","N/A",IF(MOD(COLUMNS($H$151:T$151)-1,$E187)=0,$F187*$D187*$G187,)),)</f>
        <v>N/A</v>
      </c>
      <c r="U187" s="288" t="str">
        <f>IFERROR(IF($B187="N/A","N/A",IF(MOD(COLUMNS($H$151:U$151)-1,$E187)=0,$F187*$D187*$G187,)),)</f>
        <v>N/A</v>
      </c>
      <c r="V187" s="288" t="str">
        <f>IFERROR(IF($B187="N/A","N/A",IF(MOD(COLUMNS($H$151:V$151)-1,$E187)=0,$F187*$D187*$G187,)),)</f>
        <v>N/A</v>
      </c>
      <c r="W187" s="288" t="str">
        <f>IFERROR(IF($B187="N/A","N/A",IF(MOD(COLUMNS($H$151:W$151)-1,$E187)=0,$F187*$D187*$G187,)),)</f>
        <v>N/A</v>
      </c>
    </row>
    <row r="188" spans="2:23">
      <c r="B188" s="70" t="str">
        <f t="array" ref="B188">IF(COUNTIFS(INDEX(Equipment_Allocation_New,0,MATCH($C$107,Unit_codes,0)),"&gt;0")&lt;ROWS('2.2-Equipment input'!$X$8:$X44),"N/A",INDEX('2.2-Equipment input'!B:B,SMALL(IF(INDEX(Equipment_Allocation_New,0,MATCH($C$107,Unit_codes,0))&gt;0,ROW(equipment_ID)),ROW('2.2-Equipment input'!B37))))</f>
        <v>N/A</v>
      </c>
      <c r="C188" s="70" t="str">
        <f>IF($B188="N/A","N/A",INDEX(Equipment_name[],MATCH(B188,equipment_ID,0)))</f>
        <v>N/A</v>
      </c>
      <c r="D188" s="288" t="str">
        <f t="shared" si="19"/>
        <v>N/A</v>
      </c>
      <c r="E188" s="88" t="str">
        <f t="shared" si="20"/>
        <v>N/A</v>
      </c>
      <c r="F188" s="88" t="str">
        <f t="shared" si="21"/>
        <v>N/A</v>
      </c>
      <c r="G188" s="88" t="str">
        <f t="shared" si="22"/>
        <v>N/A</v>
      </c>
      <c r="H188" s="288" t="str">
        <f>IFERROR(IF($B188="N/A","N/A",IF(MOD(COLUMNS(H$151:$H$151)-1,$E188)=0,$F188*$D188*$G188,)),)</f>
        <v>N/A</v>
      </c>
      <c r="I188" s="288" t="str">
        <f>IFERROR(IF($B188="N/A","N/A",IF(MOD(COLUMNS($H$151:I$151)-1,$E188)=0,$F188*$D188*$G188,)),)</f>
        <v>N/A</v>
      </c>
      <c r="J188" s="288" t="str">
        <f>IFERROR(IF($B188="N/A","N/A",IF(MOD(COLUMNS($H$151:J$151)-1,$E188)=0,$F188*$D188*$G188,)),)</f>
        <v>N/A</v>
      </c>
      <c r="K188" s="288" t="str">
        <f>IFERROR(IF($B188="N/A","N/A",IF(MOD(COLUMNS($H$151:K$151)-1,$E188)=0,$F188*$D188*$G188,)),)</f>
        <v>N/A</v>
      </c>
      <c r="L188" s="288" t="str">
        <f>IFERROR(IF($B188="N/A","N/A",IF(MOD(COLUMNS($H$151:L$151)-1,$E188)=0,$F188*$D188*$G188,)),)</f>
        <v>N/A</v>
      </c>
      <c r="M188" s="288" t="str">
        <f>IFERROR(IF($B188="N/A","N/A",IF(MOD(COLUMNS($H$151:M$151)-1,$E188)=0,$F188*$D188*$G188,)),)</f>
        <v>N/A</v>
      </c>
      <c r="N188" s="288" t="str">
        <f>IFERROR(IF($B188="N/A","N/A",IF(MOD(COLUMNS($H$151:N$151)-1,$E188)=0,$F188*$D188*$G188,)),)</f>
        <v>N/A</v>
      </c>
      <c r="O188" s="288" t="str">
        <f>IFERROR(IF($B188="N/A","N/A",IF(MOD(COLUMNS($H$151:O$151)-1,$E188)=0,$F188*$D188*$G188,)),)</f>
        <v>N/A</v>
      </c>
      <c r="P188" s="288" t="str">
        <f>IFERROR(IF($B188="N/A","N/A",IF(MOD(COLUMNS($H$151:P$151)-1,$E188)=0,$F188*$D188*$G188,)),)</f>
        <v>N/A</v>
      </c>
      <c r="Q188" s="288" t="str">
        <f>IFERROR(IF($B188="N/A","N/A",IF(MOD(COLUMNS($H$151:Q$151)-1,$E188)=0,$F188*$D188*$G188,)),)</f>
        <v>N/A</v>
      </c>
      <c r="R188" s="288" t="str">
        <f>IFERROR(IF($B188="N/A","N/A",IF(MOD(COLUMNS($H$151:R$151)-1,$E188)=0,$F188*$D188*$G188,)),)</f>
        <v>N/A</v>
      </c>
      <c r="S188" s="288" t="str">
        <f>IFERROR(IF($B188="N/A","N/A",IF(MOD(COLUMNS($H$151:S$151)-1,$E188)=0,$F188*$D188*$G188,)),)</f>
        <v>N/A</v>
      </c>
      <c r="T188" s="288" t="str">
        <f>IFERROR(IF($B188="N/A","N/A",IF(MOD(COLUMNS($H$151:T$151)-1,$E188)=0,$F188*$D188*$G188,)),)</f>
        <v>N/A</v>
      </c>
      <c r="U188" s="288" t="str">
        <f>IFERROR(IF($B188="N/A","N/A",IF(MOD(COLUMNS($H$151:U$151)-1,$E188)=0,$F188*$D188*$G188,)),)</f>
        <v>N/A</v>
      </c>
      <c r="V188" s="288" t="str">
        <f>IFERROR(IF($B188="N/A","N/A",IF(MOD(COLUMNS($H$151:V$151)-1,$E188)=0,$F188*$D188*$G188,)),)</f>
        <v>N/A</v>
      </c>
      <c r="W188" s="288" t="str">
        <f>IFERROR(IF($B188="N/A","N/A",IF(MOD(COLUMNS($H$151:W$151)-1,$E188)=0,$F188*$D188*$G188,)),)</f>
        <v>N/A</v>
      </c>
    </row>
    <row r="189" spans="2:23">
      <c r="B189" s="70" t="str">
        <f t="array" ref="B189">IF(COUNTIFS(INDEX(Equipment_Allocation_New,0,MATCH($C$107,Unit_codes,0)),"&gt;0")&lt;ROWS('2.2-Equipment input'!$X$8:$X45),"N/A",INDEX('2.2-Equipment input'!B:B,SMALL(IF(INDEX(Equipment_Allocation_New,0,MATCH($C$107,Unit_codes,0))&gt;0,ROW(equipment_ID)),ROW('2.2-Equipment input'!B38))))</f>
        <v>N/A</v>
      </c>
      <c r="C189" s="70" t="str">
        <f>IF($B189="N/A","N/A",INDEX(Equipment_name[],MATCH(B189,equipment_ID,0)))</f>
        <v>N/A</v>
      </c>
      <c r="D189" s="288" t="str">
        <f t="shared" si="19"/>
        <v>N/A</v>
      </c>
      <c r="E189" s="88" t="str">
        <f t="shared" si="20"/>
        <v>N/A</v>
      </c>
      <c r="F189" s="88" t="str">
        <f t="shared" si="21"/>
        <v>N/A</v>
      </c>
      <c r="G189" s="88" t="str">
        <f t="shared" si="22"/>
        <v>N/A</v>
      </c>
      <c r="H189" s="288" t="str">
        <f>IFERROR(IF($B189="N/A","N/A",IF(MOD(COLUMNS(H$151:$H$151)-1,$E189)=0,$F189*$D189*$G189,)),)</f>
        <v>N/A</v>
      </c>
      <c r="I189" s="288" t="str">
        <f>IFERROR(IF($B189="N/A","N/A",IF(MOD(COLUMNS($H$151:I$151)-1,$E189)=0,$F189*$D189*$G189,)),)</f>
        <v>N/A</v>
      </c>
      <c r="J189" s="288" t="str">
        <f>IFERROR(IF($B189="N/A","N/A",IF(MOD(COLUMNS($H$151:J$151)-1,$E189)=0,$F189*$D189*$G189,)),)</f>
        <v>N/A</v>
      </c>
      <c r="K189" s="288" t="str">
        <f>IFERROR(IF($B189="N/A","N/A",IF(MOD(COLUMNS($H$151:K$151)-1,$E189)=0,$F189*$D189*$G189,)),)</f>
        <v>N/A</v>
      </c>
      <c r="L189" s="288" t="str">
        <f>IFERROR(IF($B189="N/A","N/A",IF(MOD(COLUMNS($H$151:L$151)-1,$E189)=0,$F189*$D189*$G189,)),)</f>
        <v>N/A</v>
      </c>
      <c r="M189" s="288" t="str">
        <f>IFERROR(IF($B189="N/A","N/A",IF(MOD(COLUMNS($H$151:M$151)-1,$E189)=0,$F189*$D189*$G189,)),)</f>
        <v>N/A</v>
      </c>
      <c r="N189" s="288" t="str">
        <f>IFERROR(IF($B189="N/A","N/A",IF(MOD(COLUMNS($H$151:N$151)-1,$E189)=0,$F189*$D189*$G189,)),)</f>
        <v>N/A</v>
      </c>
      <c r="O189" s="288" t="str">
        <f>IFERROR(IF($B189="N/A","N/A",IF(MOD(COLUMNS($H$151:O$151)-1,$E189)=0,$F189*$D189*$G189,)),)</f>
        <v>N/A</v>
      </c>
      <c r="P189" s="288" t="str">
        <f>IFERROR(IF($B189="N/A","N/A",IF(MOD(COLUMNS($H$151:P$151)-1,$E189)=0,$F189*$D189*$G189,)),)</f>
        <v>N/A</v>
      </c>
      <c r="Q189" s="288" t="str">
        <f>IFERROR(IF($B189="N/A","N/A",IF(MOD(COLUMNS($H$151:Q$151)-1,$E189)=0,$F189*$D189*$G189,)),)</f>
        <v>N/A</v>
      </c>
      <c r="R189" s="288" t="str">
        <f>IFERROR(IF($B189="N/A","N/A",IF(MOD(COLUMNS($H$151:R$151)-1,$E189)=0,$F189*$D189*$G189,)),)</f>
        <v>N/A</v>
      </c>
      <c r="S189" s="288" t="str">
        <f>IFERROR(IF($B189="N/A","N/A",IF(MOD(COLUMNS($H$151:S$151)-1,$E189)=0,$F189*$D189*$G189,)),)</f>
        <v>N/A</v>
      </c>
      <c r="T189" s="288" t="str">
        <f>IFERROR(IF($B189="N/A","N/A",IF(MOD(COLUMNS($H$151:T$151)-1,$E189)=0,$F189*$D189*$G189,)),)</f>
        <v>N/A</v>
      </c>
      <c r="U189" s="288" t="str">
        <f>IFERROR(IF($B189="N/A","N/A",IF(MOD(COLUMNS($H$151:U$151)-1,$E189)=0,$F189*$D189*$G189,)),)</f>
        <v>N/A</v>
      </c>
      <c r="V189" s="288" t="str">
        <f>IFERROR(IF($B189="N/A","N/A",IF(MOD(COLUMNS($H$151:V$151)-1,$E189)=0,$F189*$D189*$G189,)),)</f>
        <v>N/A</v>
      </c>
      <c r="W189" s="288" t="str">
        <f>IFERROR(IF($B189="N/A","N/A",IF(MOD(COLUMNS($H$151:W$151)-1,$E189)=0,$F189*$D189*$G189,)),)</f>
        <v>N/A</v>
      </c>
    </row>
  </sheetData>
  <sheetProtection algorithmName="SHA-512" hashValue="3kiX9ibCmiIAAVE0PZm2xgjgnT6ZOuQ/vuO/HQbqT88LPej9YPxAiuf1IrqUfXEBC8RudJ7Yz9PyBetVHhiZYQ==" saltValue="SqJSjjG7xzpn38mtN3fhow==" spinCount="100000" sheet="1" objects="1" scenarios="1" selectLockedCells="1" selectUnlockedCells="1"/>
  <mergeCells count="7">
    <mergeCell ref="C80:D80"/>
    <mergeCell ref="B43:D43"/>
    <mergeCell ref="I43:K43"/>
    <mergeCell ref="B33:D33"/>
    <mergeCell ref="C48:D48"/>
    <mergeCell ref="C49:D49"/>
    <mergeCell ref="C79:D79"/>
  </mergeCells>
  <conditionalFormatting sqref="F152:F189">
    <cfRule type="containsText" dxfId="115" priority="83" operator="containsText" text="N/A">
      <formula>NOT(ISERROR(SEARCH("N/A",F152)))</formula>
    </cfRule>
  </conditionalFormatting>
  <conditionalFormatting sqref="B110:C147">
    <cfRule type="containsText" dxfId="114" priority="101" operator="containsText" text="N/A">
      <formula>NOT(ISERROR(SEARCH("N/A",B110)))</formula>
    </cfRule>
  </conditionalFormatting>
  <conditionalFormatting sqref="E110:E147">
    <cfRule type="containsText" dxfId="113" priority="100" operator="containsText" text="N/A">
      <formula>NOT(ISERROR(SEARCH("N/A",E110)))</formula>
    </cfRule>
  </conditionalFormatting>
  <conditionalFormatting sqref="E52:E74 B52:B74">
    <cfRule type="containsText" dxfId="112" priority="99" operator="containsText" text="N/A">
      <formula>NOT(ISERROR(SEARCH("N/A",B52)))</formula>
    </cfRule>
  </conditionalFormatting>
  <conditionalFormatting sqref="C52:C74">
    <cfRule type="containsText" dxfId="111" priority="98" operator="containsText" text="N/A">
      <formula>NOT(ISERROR(SEARCH("N/A",C52)))</formula>
    </cfRule>
  </conditionalFormatting>
  <conditionalFormatting sqref="F52:F74">
    <cfRule type="containsText" dxfId="110" priority="96" operator="containsText" text="N/A">
      <formula>NOT(ISERROR(SEARCH("N/A",F52)))</formula>
    </cfRule>
  </conditionalFormatting>
  <conditionalFormatting sqref="E83:E103 B83:B103">
    <cfRule type="containsText" dxfId="109" priority="95" operator="containsText" text="N/A">
      <formula>NOT(ISERROR(SEARCH("N/A",B83)))</formula>
    </cfRule>
  </conditionalFormatting>
  <conditionalFormatting sqref="C83:C103">
    <cfRule type="containsText" dxfId="108" priority="94" operator="containsText" text="N/A">
      <formula>NOT(ISERROR(SEARCH("N/A",C83)))</formula>
    </cfRule>
  </conditionalFormatting>
  <conditionalFormatting sqref="F83:F103">
    <cfRule type="containsText" dxfId="107" priority="92" operator="containsText" text="N/A">
      <formula>NOT(ISERROR(SEARCH("N/A",F83)))</formula>
    </cfRule>
  </conditionalFormatting>
  <conditionalFormatting sqref="B20:D31">
    <cfRule type="containsText" dxfId="106" priority="91" operator="containsText" text="N/A">
      <formula>NOT(ISERROR(SEARCH("N/A",B20)))</formula>
    </cfRule>
  </conditionalFormatting>
  <conditionalFormatting sqref="G110:G147">
    <cfRule type="containsText" dxfId="105" priority="90" operator="containsText" text="N/A">
      <formula>NOT(ISERROR(SEARCH("N/A",G110)))</formula>
    </cfRule>
  </conditionalFormatting>
  <conditionalFormatting sqref="I110:I147">
    <cfRule type="containsText" dxfId="104" priority="89" operator="containsText" text="N/A">
      <formula>NOT(ISERROR(SEARCH("N/A",I110)))</formula>
    </cfRule>
  </conditionalFormatting>
  <conditionalFormatting sqref="K110:K147">
    <cfRule type="containsText" dxfId="103" priority="88" operator="containsText" text="N/A">
      <formula>NOT(ISERROR(SEARCH("N/A",K110)))</formula>
    </cfRule>
  </conditionalFormatting>
  <conditionalFormatting sqref="F110:F147">
    <cfRule type="containsText" dxfId="102" priority="87" operator="containsText" text="N/A">
      <formula>NOT(ISERROR(SEARCH("N/A",F110)))</formula>
    </cfRule>
  </conditionalFormatting>
  <conditionalFormatting sqref="B152:B189">
    <cfRule type="containsText" dxfId="101" priority="85" operator="containsText" text="N/A">
      <formula>NOT(ISERROR(SEARCH("N/A",B152)))</formula>
    </cfRule>
  </conditionalFormatting>
  <conditionalFormatting sqref="C152:C189">
    <cfRule type="containsText" dxfId="100" priority="84" operator="containsText" text="N/A">
      <formula>NOT(ISERROR(SEARCH("N/A",C152)))</formula>
    </cfRule>
  </conditionalFormatting>
  <conditionalFormatting sqref="E152:E189">
    <cfRule type="containsText" dxfId="99" priority="81" operator="containsText" text="N/A">
      <formula>NOT(ISERROR(SEARCH("N/A",E152)))</formula>
    </cfRule>
  </conditionalFormatting>
  <conditionalFormatting sqref="O110:O147">
    <cfRule type="containsText" dxfId="98" priority="72" operator="containsText" text="N/A">
      <formula>NOT(ISERROR(SEARCH("N/A",O110)))</formula>
    </cfRule>
  </conditionalFormatting>
  <conditionalFormatting sqref="H153:W189 I152:W152">
    <cfRule type="containsText" dxfId="97" priority="78" operator="containsText" text="N/A">
      <formula>NOT(ISERROR(SEARCH("N/A",H152)))</formula>
    </cfRule>
  </conditionalFormatting>
  <conditionalFormatting sqref="G152:G189">
    <cfRule type="containsText" dxfId="96" priority="75" operator="containsText" text="N/A">
      <formula>NOT(ISERROR(SEARCH("N/A",G152)))</formula>
    </cfRule>
  </conditionalFormatting>
  <conditionalFormatting sqref="E20:E31">
    <cfRule type="containsText" dxfId="95" priority="73" operator="containsText" text="N/A">
      <formula>NOT(ISERROR(SEARCH("N/A",E20)))</formula>
    </cfRule>
  </conditionalFormatting>
  <conditionalFormatting sqref="F39:F41">
    <cfRule type="expression" dxfId="94" priority="66">
      <formula>IF(INDIRECT("General_Currency_Selection")="CHF",TRUE)</formula>
    </cfRule>
    <cfRule type="expression" dxfId="93" priority="67">
      <formula>IF(INDIRECT("General_Currency_Selection")="EUR",TRUE)</formula>
    </cfRule>
    <cfRule type="expression" dxfId="92" priority="68">
      <formula>IF(INDIRECT("General_Currency_Selection")="USD",TRUE)</formula>
    </cfRule>
  </conditionalFormatting>
  <conditionalFormatting sqref="E39:E41">
    <cfRule type="expression" dxfId="91" priority="63">
      <formula>IF(INDIRECT("General_Currency_Selection")="CHF",TRUE)</formula>
    </cfRule>
    <cfRule type="expression" dxfId="90" priority="64">
      <formula>IF(INDIRECT("General_Currency_Selection")="EUR",TRUE)</formula>
    </cfRule>
    <cfRule type="expression" dxfId="89" priority="65">
      <formula>IF(INDIRECT("General_Currency_Selection")="USD",TRUE)</formula>
    </cfRule>
  </conditionalFormatting>
  <conditionalFormatting sqref="E43:F43">
    <cfRule type="expression" dxfId="88" priority="60">
      <formula>IF(INDIRECT("General_Currency_Selection")="CHF",TRUE)</formula>
    </cfRule>
    <cfRule type="expression" dxfId="87" priority="61">
      <formula>IF(INDIRECT("General_Currency_Selection")="EUR",TRUE)</formula>
    </cfRule>
    <cfRule type="expression" dxfId="86" priority="62">
      <formula>IF(INDIRECT("General_Currency_Selection")="USD",TRUE)</formula>
    </cfRule>
  </conditionalFormatting>
  <conditionalFormatting sqref="G35">
    <cfRule type="expression" dxfId="85" priority="57">
      <formula>IF(INDIRECT("General_Currency_Selection")="CHF",TRUE)</formula>
    </cfRule>
    <cfRule type="expression" dxfId="84" priority="58">
      <formula>IF(INDIRECT("General_Currency_Selection")="EUR",TRUE)</formula>
    </cfRule>
    <cfRule type="expression" dxfId="83" priority="59">
      <formula>IF(INDIRECT("General_Currency_Selection")="USD",TRUE)</formula>
    </cfRule>
  </conditionalFormatting>
  <conditionalFormatting sqref="G15">
    <cfRule type="expression" dxfId="82" priority="54">
      <formula>IF(INDIRECT("General_Currency_Selection")="CHF",TRUE)</formula>
    </cfRule>
    <cfRule type="expression" dxfId="81" priority="55">
      <formula>IF(INDIRECT("General_Currency_Selection")="EUR",TRUE)</formula>
    </cfRule>
    <cfRule type="expression" dxfId="80" priority="56">
      <formula>IF(INDIRECT("General_Currency_Selection")="USD",TRUE)</formula>
    </cfRule>
  </conditionalFormatting>
  <conditionalFormatting sqref="G45">
    <cfRule type="expression" dxfId="79" priority="51">
      <formula>IF(INDIRECT("General_Currency_Selection")="CHF",TRUE)</formula>
    </cfRule>
    <cfRule type="expression" dxfId="78" priority="52">
      <formula>IF(INDIRECT("General_Currency_Selection")="EUR",TRUE)</formula>
    </cfRule>
    <cfRule type="expression" dxfId="77" priority="53">
      <formula>IF(INDIRECT("General_Currency_Selection")="USD",TRUE)</formula>
    </cfRule>
  </conditionalFormatting>
  <conditionalFormatting sqref="F20:F31">
    <cfRule type="expression" dxfId="76" priority="48">
      <formula>IF(INDIRECT("General_Currency_Selection")="CHF",TRUE)</formula>
    </cfRule>
    <cfRule type="expression" dxfId="75" priority="49">
      <formula>IF(INDIRECT("General_Currency_Selection")="EUR",TRUE)</formula>
    </cfRule>
    <cfRule type="expression" dxfId="74" priority="50">
      <formula>IF(INDIRECT("General_Currency_Selection")="USD",TRUE)</formula>
    </cfRule>
  </conditionalFormatting>
  <conditionalFormatting sqref="E33">
    <cfRule type="expression" dxfId="73" priority="45">
      <formula>IF(INDIRECT("General_Currency_Selection")="CHF",TRUE)</formula>
    </cfRule>
    <cfRule type="expression" dxfId="72" priority="46">
      <formula>IF(INDIRECT("General_Currency_Selection")="EUR",TRUE)</formula>
    </cfRule>
    <cfRule type="expression" dxfId="71" priority="47">
      <formula>IF(INDIRECT("General_Currency_Selection")="USD",TRUE)</formula>
    </cfRule>
  </conditionalFormatting>
  <conditionalFormatting sqref="D52:D74">
    <cfRule type="expression" dxfId="70" priority="42">
      <formula>IF(INDIRECT("General_Currency_Selection")="CHF",TRUE)</formula>
    </cfRule>
    <cfRule type="expression" dxfId="69" priority="43">
      <formula>IF(INDIRECT("General_Currency_Selection")="EUR",TRUE)</formula>
    </cfRule>
    <cfRule type="expression" dxfId="68" priority="44">
      <formula>IF(INDIRECT("General_Currency_Selection")="USD",TRUE)</formula>
    </cfRule>
  </conditionalFormatting>
  <conditionalFormatting sqref="G52:G74">
    <cfRule type="expression" dxfId="67" priority="39">
      <formula>IF(INDIRECT("General_Currency_Selection")="CHF",TRUE)</formula>
    </cfRule>
    <cfRule type="expression" dxfId="66" priority="40">
      <formula>IF(INDIRECT("General_Currency_Selection")="EUR",TRUE)</formula>
    </cfRule>
    <cfRule type="expression" dxfId="65" priority="41">
      <formula>IF(INDIRECT("General_Currency_Selection")="USD",TRUE)</formula>
    </cfRule>
  </conditionalFormatting>
  <conditionalFormatting sqref="G76">
    <cfRule type="expression" dxfId="64" priority="36">
      <formula>IF(INDIRECT("General_Currency_Selection")="CHF",TRUE)</formula>
    </cfRule>
    <cfRule type="expression" dxfId="63" priority="37">
      <formula>IF(INDIRECT("General_Currency_Selection")="EUR",TRUE)</formula>
    </cfRule>
    <cfRule type="expression" dxfId="62" priority="38">
      <formula>IF(INDIRECT("General_Currency_Selection")="USD",TRUE)</formula>
    </cfRule>
  </conditionalFormatting>
  <conditionalFormatting sqref="D83:D103">
    <cfRule type="expression" dxfId="61" priority="33">
      <formula>IF(INDIRECT("General_Currency_Selection")="CHF",TRUE)</formula>
    </cfRule>
    <cfRule type="expression" dxfId="60" priority="34">
      <formula>IF(INDIRECT("General_Currency_Selection")="EUR",TRUE)</formula>
    </cfRule>
    <cfRule type="expression" dxfId="59" priority="35">
      <formula>IF(INDIRECT("General_Currency_Selection")="USD",TRUE)</formula>
    </cfRule>
  </conditionalFormatting>
  <conditionalFormatting sqref="G83:G103">
    <cfRule type="expression" dxfId="58" priority="30">
      <formula>IF(INDIRECT("General_Currency_Selection")="CHF",TRUE)</formula>
    </cfRule>
    <cfRule type="expression" dxfId="57" priority="31">
      <formula>IF(INDIRECT("General_Currency_Selection")="EUR",TRUE)</formula>
    </cfRule>
    <cfRule type="expression" dxfId="56" priority="32">
      <formula>IF(INDIRECT("General_Currency_Selection")="USD",TRUE)</formula>
    </cfRule>
  </conditionalFormatting>
  <conditionalFormatting sqref="G105">
    <cfRule type="expression" dxfId="55" priority="27">
      <formula>IF(INDIRECT("General_Currency_Selection")="CHF",TRUE)</formula>
    </cfRule>
    <cfRule type="expression" dxfId="54" priority="28">
      <formula>IF(INDIRECT("General_Currency_Selection")="EUR",TRUE)</formula>
    </cfRule>
    <cfRule type="expression" dxfId="53" priority="29">
      <formula>IF(INDIRECT("General_Currency_Selection")="USD",TRUE)</formula>
    </cfRule>
  </conditionalFormatting>
  <conditionalFormatting sqref="D110:D147">
    <cfRule type="expression" dxfId="52" priority="24">
      <formula>IF(INDIRECT("General_Currency_Selection")="CHF",TRUE)</formula>
    </cfRule>
    <cfRule type="expression" dxfId="51" priority="25">
      <formula>IF(INDIRECT("General_Currency_Selection")="EUR",TRUE)</formula>
    </cfRule>
    <cfRule type="expression" dxfId="50" priority="26">
      <formula>IF(INDIRECT("General_Currency_Selection")="USD",TRUE)</formula>
    </cfRule>
  </conditionalFormatting>
  <conditionalFormatting sqref="N110:N147">
    <cfRule type="expression" dxfId="49" priority="21">
      <formula>IF(INDIRECT("General_Currency_Selection")="CHF",TRUE)</formula>
    </cfRule>
    <cfRule type="expression" dxfId="48" priority="22">
      <formula>IF(INDIRECT("General_Currency_Selection")="EUR",TRUE)</formula>
    </cfRule>
    <cfRule type="expression" dxfId="47" priority="23">
      <formula>IF(INDIRECT("General_Currency_Selection")="USD",TRUE)</formula>
    </cfRule>
  </conditionalFormatting>
  <conditionalFormatting sqref="D152:D189">
    <cfRule type="expression" dxfId="46" priority="18">
      <formula>IF(INDIRECT("General_Currency_Selection")="CHF",TRUE)</formula>
    </cfRule>
    <cfRule type="expression" dxfId="45" priority="19">
      <formula>IF(INDIRECT("General_Currency_Selection")="EUR",TRUE)</formula>
    </cfRule>
    <cfRule type="expression" dxfId="44" priority="20">
      <formula>IF(INDIRECT("General_Currency_Selection")="USD",TRUE)</formula>
    </cfRule>
  </conditionalFormatting>
  <conditionalFormatting sqref="H149:W149">
    <cfRule type="expression" dxfId="43" priority="15">
      <formula>IF(INDIRECT("General_Currency_Selection")="CHF",TRUE)</formula>
    </cfRule>
    <cfRule type="expression" dxfId="42" priority="16">
      <formula>IF(INDIRECT("General_Currency_Selection")="EUR",TRUE)</formula>
    </cfRule>
    <cfRule type="expression" dxfId="41" priority="17">
      <formula>IF(INDIRECT("General_Currency_Selection")="USD",TRUE)</formula>
    </cfRule>
  </conditionalFormatting>
  <conditionalFormatting sqref="H152:W189">
    <cfRule type="expression" dxfId="40" priority="12">
      <formula>IF(INDIRECT("General_Currency_Selection")="CHF",TRUE)</formula>
    </cfRule>
    <cfRule type="expression" dxfId="39" priority="13">
      <formula>IF(INDIRECT("General_Currency_Selection")="EUR",TRUE)</formula>
    </cfRule>
    <cfRule type="expression" dxfId="38" priority="14">
      <formula>IF(INDIRECT("General_Currency_Selection")="USD",TRUE)</formula>
    </cfRule>
  </conditionalFormatting>
  <conditionalFormatting sqref="H110:H147">
    <cfRule type="expression" dxfId="37" priority="7">
      <formula>IF(INDIRECT("General_Currency_Selection")="CHF",TRUE)</formula>
    </cfRule>
    <cfRule type="expression" dxfId="36" priority="8">
      <formula>IF(INDIRECT("General_Currency_Selection")="EUR",TRUE)</formula>
    </cfRule>
    <cfRule type="expression" dxfId="35" priority="9">
      <formula>IF(INDIRECT("General_Currency_Selection")="USD",TRUE)</formula>
    </cfRule>
  </conditionalFormatting>
  <conditionalFormatting sqref="J110:J147">
    <cfRule type="expression" dxfId="34" priority="4">
      <formula>IF(INDIRECT("General_Currency_Selection")="CHF",TRUE)</formula>
    </cfRule>
    <cfRule type="expression" dxfId="33" priority="5">
      <formula>IF(INDIRECT("General_Currency_Selection")="EUR",TRUE)</formula>
    </cfRule>
    <cfRule type="expression" dxfId="32" priority="6">
      <formula>IF(INDIRECT("General_Currency_Selection")="USD",TRUE)</formula>
    </cfRule>
  </conditionalFormatting>
  <conditionalFormatting sqref="L110:L147">
    <cfRule type="expression" dxfId="31" priority="1">
      <formula>IF(INDIRECT("General_Currency_Selection")="CHF",TRUE)</formula>
    </cfRule>
    <cfRule type="expression" dxfId="30" priority="2">
      <formula>IF(INDIRECT("General_Currency_Selection")="EUR",TRUE)</formula>
    </cfRule>
    <cfRule type="expression" dxfId="29" priority="3">
      <formula>IF(INDIRECT("General_Currency_Selection")="USD",TRUE)</formula>
    </cfRule>
  </conditionalFormatting>
  <dataValidations disablePrompts="1" count="2">
    <dataValidation type="list" allowBlank="1" showInputMessage="1" showErrorMessage="1" sqref="C49 C80 C107 C17 C37">
      <formula1>Unit_codes</formula1>
    </dataValidation>
    <dataValidation type="list" allowBlank="1" showInputMessage="1" showErrorMessage="1" sqref="C48 C79">
      <formula1>Staff_categories</formula1>
    </dataValidation>
  </dataValidations>
  <pageMargins left="0.7" right="0.7" top="0.75" bottom="0.75" header="0.3" footer="0.3"/>
  <pageSetup paperSize="9"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79998168889431442"/>
  </sheetPr>
  <dimension ref="B1:P97"/>
  <sheetViews>
    <sheetView showGridLines="0" showRowColHeaders="0" zoomScale="90" zoomScaleNormal="90" workbookViewId="0">
      <selection activeCell="G3" sqref="G3"/>
    </sheetView>
  </sheetViews>
  <sheetFormatPr defaultColWidth="11.1796875" defaultRowHeight="14.5"/>
  <cols>
    <col min="1" max="1" width="0.81640625" style="15" customWidth="1"/>
    <col min="2" max="2" width="21.7265625" style="15" customWidth="1"/>
    <col min="3" max="3" width="18.453125" style="15" customWidth="1"/>
    <col min="4" max="4" width="21.54296875" style="15" bestFit="1" customWidth="1"/>
    <col min="5" max="5" width="18.81640625" style="15" customWidth="1"/>
    <col min="6" max="6" width="21.54296875" style="15" customWidth="1"/>
    <col min="7" max="7" width="19.453125" style="15" bestFit="1" customWidth="1"/>
    <col min="8" max="16384" width="11.1796875" style="15"/>
  </cols>
  <sheetData>
    <row r="1" spans="2:16" ht="21">
      <c r="B1" s="1" t="s">
        <v>207</v>
      </c>
      <c r="C1" s="6"/>
      <c r="D1" s="6"/>
      <c r="E1" s="6"/>
    </row>
    <row r="2" spans="2:16" ht="15" thickBot="1">
      <c r="F2" s="54"/>
      <c r="G2" s="54"/>
    </row>
    <row r="3" spans="2:16" ht="18.5">
      <c r="B3" s="104" t="s">
        <v>202</v>
      </c>
      <c r="C3" s="105"/>
      <c r="D3" s="79"/>
      <c r="E3" s="79"/>
      <c r="F3" s="141" t="s">
        <v>205</v>
      </c>
      <c r="G3" s="505">
        <f>SUMIF(G8:G30,("&lt;&gt;N/A"),G8:G30)</f>
        <v>0</v>
      </c>
      <c r="H3" s="79"/>
      <c r="I3" s="79"/>
      <c r="J3" s="79"/>
      <c r="K3" s="79"/>
      <c r="L3" s="79"/>
      <c r="M3" s="79"/>
      <c r="N3" s="79"/>
      <c r="O3" s="79"/>
      <c r="P3" s="79"/>
    </row>
    <row r="4" spans="2:16" ht="15.5">
      <c r="B4" s="61"/>
    </row>
    <row r="5" spans="2:16">
      <c r="B5" s="98" t="s">
        <v>76</v>
      </c>
      <c r="C5" s="900" t="s">
        <v>135</v>
      </c>
      <c r="D5" s="900"/>
    </row>
    <row r="7" spans="2:16" ht="31">
      <c r="B7" s="93" t="s">
        <v>220</v>
      </c>
      <c r="C7" s="93" t="s">
        <v>4</v>
      </c>
      <c r="D7" s="93" t="s">
        <v>77</v>
      </c>
      <c r="E7" s="122" t="s">
        <v>242</v>
      </c>
      <c r="F7" s="93" t="s">
        <v>119</v>
      </c>
      <c r="G7" s="93" t="s">
        <v>120</v>
      </c>
    </row>
    <row r="8" spans="2:16">
      <c r="B8" s="71" t="str">
        <f t="array" ref="B8">IF(COUNTIFS(INDEX(Staff_Position_Allocation,0,MATCH($C$5,Unit_codes,0)),"&gt;0")&lt;ROWS('2.3-Staff input'!$I$5:$I5),"N/A",INDEX('2.3-Staff input'!B:B,SMALL(IF(INDEX(Staff_Position_Allocation,0,MATCH($C$5,Unit_codes,0))&gt;0,ROW(Staff_Position_ID)),ROW('2.3-Staff input'!B1))))</f>
        <v>pos003</v>
      </c>
      <c r="C8" s="71" t="str">
        <f>IF($B8="N/A","N/A",INDEX(Staff_position[],MATCH(B8,Staff_Position_ID,0)))</f>
        <v>Waste units manager</v>
      </c>
      <c r="D8" s="84">
        <f>IF($B8="N/A","N/A",INDEX(Staff_net_salary[],MATCH(B8,Staff_Position_ID,0)))</f>
        <v>3398.8990399526419</v>
      </c>
      <c r="E8" s="85">
        <f t="shared" ref="E8:E30" si="0">IF($B8="N/A","N/A",INDEX(Staff_number_of_employees,MATCH(B8,Staff_Position_ID,0)))</f>
        <v>0</v>
      </c>
      <c r="F8" s="86">
        <f t="shared" ref="F8:F30" si="1">IFERROR(INDEX(Staff_Position_Allocation,MATCH(B8,Staff_Position_ID),MATCH($C$5,Unit_codes,0)),"")</f>
        <v>0.1</v>
      </c>
      <c r="G8" s="225">
        <f>IFERROR(D8*E8*F8,"")</f>
        <v>0</v>
      </c>
    </row>
    <row r="9" spans="2:16">
      <c r="B9" s="71" t="str">
        <f t="array" ref="B9">IF(COUNTIFS(INDEX(Staff_Position_Allocation,0,MATCH($C$5,Unit_codes,0)),"&gt;0")&lt;ROWS('2.3-Staff input'!$I$5:$I6),"N/A",INDEX('2.3-Staff input'!B:B,SMALL(IF(INDEX(Staff_Position_Allocation,0,MATCH($C$5,Unit_codes,0))&gt;0,ROW(Staff_Position_ID)),ROW('2.3-Staff input'!B2))))</f>
        <v>pos004</v>
      </c>
      <c r="C9" s="71" t="str">
        <f>IF($B9="N/A","N/A",INDEX(Staff_position[],MATCH(B9,Staff_Position_ID,0)))</f>
        <v>Nursery manager</v>
      </c>
      <c r="D9" s="84">
        <f>IF($B9="N/A","N/A",INDEX(Staff_net_salary[],MATCH(B9,Staff_Position_ID,0)))</f>
        <v>3398.8990399526419</v>
      </c>
      <c r="E9" s="85">
        <f t="shared" si="0"/>
        <v>0</v>
      </c>
      <c r="F9" s="86">
        <f t="shared" si="1"/>
        <v>0.25</v>
      </c>
      <c r="G9" s="225">
        <f t="shared" ref="G9:G30" si="2">IFERROR(D9*E9*F9,"")</f>
        <v>0</v>
      </c>
    </row>
    <row r="10" spans="2:16">
      <c r="B10" s="71" t="str">
        <f t="array" ref="B10">IF(COUNTIFS(INDEX(Staff_Position_Allocation,0,MATCH($C$5,Unit_codes,0)),"&gt;0")&lt;ROWS('2.3-Staff input'!$I$5:$I7),"N/A",INDEX('2.3-Staff input'!B:B,SMALL(IF(INDEX(Staff_Position_Allocation,0,MATCH($C$5,Unit_codes,0))&gt;0,ROW(Staff_Position_ID)),ROW('2.3-Staff input'!B3))))</f>
        <v>pos005</v>
      </c>
      <c r="C10" s="71" t="str">
        <f>IF($B10="N/A","N/A",INDEX(Staff_position[],MATCH(B10,Staff_Position_ID,0)))</f>
        <v>Site manager</v>
      </c>
      <c r="D10" s="84">
        <f>IF($B10="N/A","N/A",INDEX(Staff_net_salary[],MATCH(B10,Staff_Position_ID,0)))</f>
        <v>5098.3485599289634</v>
      </c>
      <c r="E10" s="85">
        <f t="shared" si="0"/>
        <v>0</v>
      </c>
      <c r="F10" s="86">
        <f t="shared" si="1"/>
        <v>0.4</v>
      </c>
      <c r="G10" s="225">
        <f t="shared" si="2"/>
        <v>0</v>
      </c>
    </row>
    <row r="11" spans="2:16">
      <c r="B11" s="71" t="str">
        <f t="array" ref="B11">IF(COUNTIFS(INDEX(Staff_Position_Allocation,0,MATCH($C$5,Unit_codes,0)),"&gt;0")&lt;ROWS('2.3-Staff input'!$I$5:$I8),"N/A",INDEX('2.3-Staff input'!B:B,SMALL(IF(INDEX(Staff_Position_Allocation,0,MATCH($C$5,Unit_codes,0))&gt;0,ROW(Staff_Position_ID)),ROW('2.3-Staff input'!B4))))</f>
        <v>pos006</v>
      </c>
      <c r="C11" s="71" t="str">
        <f>IF($B11="N/A","N/A",INDEX(Staff_position[],MATCH(B11,Staff_Position_ID,0)))</f>
        <v>Sales manager</v>
      </c>
      <c r="D11" s="84">
        <f>IF($B11="N/A","N/A",INDEX(Staff_net_salary[],MATCH(B11,Staff_Position_ID,0)))</f>
        <v>4248.6237999408031</v>
      </c>
      <c r="E11" s="85">
        <f t="shared" si="0"/>
        <v>0</v>
      </c>
      <c r="F11" s="86">
        <f t="shared" si="1"/>
        <v>1</v>
      </c>
      <c r="G11" s="225">
        <f t="shared" si="2"/>
        <v>0</v>
      </c>
    </row>
    <row r="12" spans="2:16">
      <c r="B12" s="71" t="str">
        <f t="array" ref="B12">IF(COUNTIFS(INDEX(Staff_Position_Allocation,0,MATCH($C$5,Unit_codes,0)),"&gt;0")&lt;ROWS('2.3-Staff input'!$I$5:$I9),"N/A",INDEX('2.3-Staff input'!B:B,SMALL(IF(INDEX(Staff_Position_Allocation,0,MATCH($C$5,Unit_codes,0))&gt;0,ROW(Staff_Position_ID)),ROW('2.3-Staff input'!B5))))</f>
        <v>pos007</v>
      </c>
      <c r="C12" s="71" t="str">
        <f>IF($B12="N/A","N/A",INDEX(Staff_position[],MATCH(B12,Staff_Position_ID,0)))</f>
        <v>Admin &amp; Accounting</v>
      </c>
      <c r="D12" s="84">
        <f>IF($B12="N/A","N/A",INDEX(Staff_net_salary[],MATCH(B12,Staff_Position_ID,0)))</f>
        <v>2124.3118999704016</v>
      </c>
      <c r="E12" s="85">
        <f t="array" ref="E12">IF($B12="N/A","N/A",INDEX(Staff_number_of_employees,MATCH(B12,Staff_Position_ID,0)))</f>
        <v>0</v>
      </c>
      <c r="F12" s="86">
        <f t="shared" si="1"/>
        <v>1</v>
      </c>
      <c r="G12" s="225">
        <f t="shared" si="2"/>
        <v>0</v>
      </c>
    </row>
    <row r="13" spans="2:16">
      <c r="B13" s="71" t="str">
        <f t="array" ref="B13">IF(COUNTIFS(INDEX(Staff_Position_Allocation,0,MATCH($C$5,Unit_codes,0)),"&gt;0")&lt;ROWS('2.3-Staff input'!$I$5:$I10),"N/A",INDEX('2.3-Staff input'!B:B,SMALL(IF(INDEX(Staff_Position_Allocation,0,MATCH($C$5,Unit_codes,0))&gt;0,ROW(Staff_Position_ID)),ROW('2.3-Staff input'!B6))))</f>
        <v>pos010</v>
      </c>
      <c r="C13" s="71" t="str">
        <f>IF($B13="N/A","N/A",INDEX(Staff_position[],MATCH(B13,Staff_Position_ID,0)))</f>
        <v>Driver (transport)</v>
      </c>
      <c r="D13" s="84">
        <f>IF($B13="N/A","N/A",INDEX(Staff_net_salary[],MATCH(B13,Staff_Position_ID,0)))</f>
        <v>1699.449519976321</v>
      </c>
      <c r="E13" s="85">
        <f t="shared" si="0"/>
        <v>0</v>
      </c>
      <c r="F13" s="86">
        <f t="shared" si="1"/>
        <v>1</v>
      </c>
      <c r="G13" s="225">
        <f t="shared" si="2"/>
        <v>0</v>
      </c>
    </row>
    <row r="14" spans="2:16">
      <c r="B14" s="71" t="str">
        <f t="array" ref="B14">IF(COUNTIFS(INDEX(Staff_Position_Allocation,0,MATCH($C$5,Unit_codes,0)),"&gt;0")&lt;ROWS('2.3-Staff input'!$I$5:$I11),"N/A",INDEX('2.3-Staff input'!B:B,SMALL(IF(INDEX(Staff_Position_Allocation,0,MATCH($C$5,Unit_codes,0))&gt;0,ROW(Staff_Position_ID)),ROW('2.3-Staff input'!B7))))</f>
        <v>N/A</v>
      </c>
      <c r="C14" s="71" t="str">
        <f>IF($B14="N/A","N/A",INDEX(Staff_position[],MATCH(B14,Staff_Position_ID,0)))</f>
        <v>N/A</v>
      </c>
      <c r="D14" s="84" t="str">
        <f>IF($B14="N/A","N/A",INDEX(Staff_net_salary[],MATCH(B14,Staff_Position_ID,0)))</f>
        <v>N/A</v>
      </c>
      <c r="E14" s="85" t="str">
        <f t="shared" si="0"/>
        <v>N/A</v>
      </c>
      <c r="F14" s="86" t="str">
        <f t="shared" si="1"/>
        <v/>
      </c>
      <c r="G14" s="225" t="str">
        <f t="shared" si="2"/>
        <v/>
      </c>
    </row>
    <row r="15" spans="2:16">
      <c r="B15" s="71" t="str">
        <f t="array" ref="B15">IF(COUNTIFS(INDEX(Staff_Position_Allocation,0,MATCH($C$5,Unit_codes,0)),"&gt;0")&lt;ROWS('2.3-Staff input'!$I$5:$I12),"N/A",INDEX('2.3-Staff input'!B:B,SMALL(IF(INDEX(Staff_Position_Allocation,0,MATCH($C$5,Unit_codes,0))&gt;0,ROW(Staff_Position_ID)),ROW('2.3-Staff input'!B8))))</f>
        <v>N/A</v>
      </c>
      <c r="C15" s="71" t="str">
        <f>IF($B15="N/A","N/A",INDEX(Staff_position[],MATCH(B15,Staff_Position_ID,0)))</f>
        <v>N/A</v>
      </c>
      <c r="D15" s="84" t="str">
        <f>IF($B15="N/A","N/A",INDEX(Staff_net_salary[],MATCH(B15,Staff_Position_ID,0)))</f>
        <v>N/A</v>
      </c>
      <c r="E15" s="85" t="str">
        <f t="shared" si="0"/>
        <v>N/A</v>
      </c>
      <c r="F15" s="86" t="str">
        <f t="shared" si="1"/>
        <v/>
      </c>
      <c r="G15" s="225" t="str">
        <f t="shared" si="2"/>
        <v/>
      </c>
    </row>
    <row r="16" spans="2:16">
      <c r="B16" s="71" t="str">
        <f t="array" ref="B16">IF(COUNTIFS(INDEX(Staff_Position_Allocation,0,MATCH($C$5,Unit_codes,0)),"&gt;0")&lt;ROWS('2.3-Staff input'!$I$5:$I13),"N/A",INDEX('2.3-Staff input'!B:B,SMALL(IF(INDEX(Staff_Position_Allocation,0,MATCH($C$5,Unit_codes,0))&gt;0,ROW(Staff_Position_ID)),ROW('2.3-Staff input'!B9))))</f>
        <v>N/A</v>
      </c>
      <c r="C16" s="71" t="str">
        <f>IF($B16="N/A","N/A",INDEX(Staff_position[],MATCH(B16,Staff_Position_ID,0)))</f>
        <v>N/A</v>
      </c>
      <c r="D16" s="84" t="str">
        <f>IF($B16="N/A","N/A",INDEX(Staff_net_salary[],MATCH(B16,Staff_Position_ID,0)))</f>
        <v>N/A</v>
      </c>
      <c r="E16" s="85" t="str">
        <f t="shared" si="0"/>
        <v>N/A</v>
      </c>
      <c r="F16" s="86" t="str">
        <f t="shared" si="1"/>
        <v/>
      </c>
      <c r="G16" s="225" t="str">
        <f t="shared" si="2"/>
        <v/>
      </c>
    </row>
    <row r="17" spans="2:16">
      <c r="B17" s="71" t="str">
        <f t="array" ref="B17">IF(COUNTIFS(INDEX(Staff_Position_Allocation,0,MATCH($C$5,Unit_codes,0)),"&gt;0")&lt;ROWS('2.3-Staff input'!$I$5:$I14),"N/A",INDEX('2.3-Staff input'!B:B,SMALL(IF(INDEX(Staff_Position_Allocation,0,MATCH($C$5,Unit_codes,0))&gt;0,ROW(Staff_Position_ID)),ROW('2.3-Staff input'!B10))))</f>
        <v>N/A</v>
      </c>
      <c r="C17" s="71" t="str">
        <f>IF($B17="N/A","N/A",INDEX(Staff_position[],MATCH(B17,Staff_Position_ID,0)))</f>
        <v>N/A</v>
      </c>
      <c r="D17" s="84" t="str">
        <f>IF($B17="N/A","N/A",INDEX(Staff_net_salary[],MATCH(B17,Staff_Position_ID,0)))</f>
        <v>N/A</v>
      </c>
      <c r="E17" s="85" t="str">
        <f t="shared" si="0"/>
        <v>N/A</v>
      </c>
      <c r="F17" s="86" t="str">
        <f t="shared" si="1"/>
        <v/>
      </c>
      <c r="G17" s="225" t="str">
        <f t="shared" si="2"/>
        <v/>
      </c>
    </row>
    <row r="18" spans="2:16">
      <c r="B18" s="71" t="str">
        <f t="array" ref="B18">IF(COUNTIFS(INDEX(Staff_Position_Allocation,0,MATCH($C$5,Unit_codes,0)),"&gt;0")&lt;ROWS('2.3-Staff input'!$I$5:$I15),"N/A",INDEX('2.3-Staff input'!B:B,SMALL(IF(INDEX(Staff_Position_Allocation,0,MATCH($C$5,Unit_codes,0))&gt;0,ROW(Staff_Position_ID)),ROW('2.3-Staff input'!B11))))</f>
        <v>N/A</v>
      </c>
      <c r="C18" s="71" t="str">
        <f>IF($B18="N/A","N/A",INDEX(Staff_position[],MATCH(B18,Staff_Position_ID,0)))</f>
        <v>N/A</v>
      </c>
      <c r="D18" s="84" t="str">
        <f>IF($B18="N/A","N/A",INDEX(Staff_net_salary[],MATCH(B18,Staff_Position_ID,0)))</f>
        <v>N/A</v>
      </c>
      <c r="E18" s="85" t="str">
        <f t="shared" si="0"/>
        <v>N/A</v>
      </c>
      <c r="F18" s="86" t="str">
        <f t="shared" si="1"/>
        <v/>
      </c>
      <c r="G18" s="225" t="str">
        <f t="shared" si="2"/>
        <v/>
      </c>
    </row>
    <row r="19" spans="2:16">
      <c r="B19" s="71" t="str">
        <f t="array" ref="B19">IF(COUNTIFS(INDEX(Staff_Position_Allocation,0,MATCH($C$5,Unit_codes,0)),"&gt;0")&lt;ROWS('2.3-Staff input'!$I$5:$I16),"N/A",INDEX('2.3-Staff input'!B:B,SMALL(IF(INDEX(Staff_Position_Allocation,0,MATCH($C$5,Unit_codes,0))&gt;0,ROW(Staff_Position_ID)),ROW('2.3-Staff input'!B12))))</f>
        <v>N/A</v>
      </c>
      <c r="C19" s="71" t="str">
        <f>IF($B19="N/A","N/A",INDEX(Staff_position[],MATCH(B19,Staff_Position_ID,0)))</f>
        <v>N/A</v>
      </c>
      <c r="D19" s="84" t="str">
        <f>IF($B19="N/A","N/A",INDEX(Staff_net_salary[],MATCH(B19,Staff_Position_ID,0)))</f>
        <v>N/A</v>
      </c>
      <c r="E19" s="85" t="str">
        <f t="shared" si="0"/>
        <v>N/A</v>
      </c>
      <c r="F19" s="86" t="str">
        <f t="shared" si="1"/>
        <v/>
      </c>
      <c r="G19" s="225" t="str">
        <f t="shared" si="2"/>
        <v/>
      </c>
    </row>
    <row r="20" spans="2:16">
      <c r="B20" s="71" t="str">
        <f t="array" ref="B20">IF(COUNTIFS(INDEX(Staff_Position_Allocation,0,MATCH($C$5,Unit_codes,0)),"&gt;0")&lt;ROWS('2.3-Staff input'!$I$5:$I17),"N/A",INDEX('2.3-Staff input'!B:B,SMALL(IF(INDEX(Staff_Position_Allocation,0,MATCH($C$5,Unit_codes,0))&gt;0,ROW(Staff_Position_ID)),ROW('2.3-Staff input'!B13))))</f>
        <v>N/A</v>
      </c>
      <c r="C20" s="71" t="str">
        <f>IF($B20="N/A","N/A",INDEX(Staff_position[],MATCH(B20,Staff_Position_ID,0)))</f>
        <v>N/A</v>
      </c>
      <c r="D20" s="84" t="str">
        <f>IF($B20="N/A","N/A",INDEX(Staff_net_salary[],MATCH(B20,Staff_Position_ID,0)))</f>
        <v>N/A</v>
      </c>
      <c r="E20" s="85" t="str">
        <f t="shared" si="0"/>
        <v>N/A</v>
      </c>
      <c r="F20" s="86" t="str">
        <f t="shared" si="1"/>
        <v/>
      </c>
      <c r="G20" s="225" t="str">
        <f t="shared" si="2"/>
        <v/>
      </c>
    </row>
    <row r="21" spans="2:16">
      <c r="B21" s="71" t="str">
        <f t="array" ref="B21">IF(COUNTIFS(INDEX(Staff_Position_Allocation,0,MATCH($C$5,Unit_codes,0)),"&gt;0")&lt;ROWS('2.3-Staff input'!$I$5:$I18),"N/A",INDEX('2.3-Staff input'!B:B,SMALL(IF(INDEX(Staff_Position_Allocation,0,MATCH($C$5,Unit_codes,0))&gt;0,ROW(Staff_Position_ID)),ROW('2.3-Staff input'!B14))))</f>
        <v>N/A</v>
      </c>
      <c r="C21" s="71" t="str">
        <f>IF($B21="N/A","N/A",INDEX(Staff_position[],MATCH(B21,Staff_Position_ID,0)))</f>
        <v>N/A</v>
      </c>
      <c r="D21" s="84" t="str">
        <f>IF($B21="N/A","N/A",INDEX(Staff_net_salary[],MATCH(B21,Staff_Position_ID,0)))</f>
        <v>N/A</v>
      </c>
      <c r="E21" s="85" t="str">
        <f t="shared" si="0"/>
        <v>N/A</v>
      </c>
      <c r="F21" s="86" t="str">
        <f t="shared" si="1"/>
        <v/>
      </c>
      <c r="G21" s="225" t="str">
        <f t="shared" si="2"/>
        <v/>
      </c>
    </row>
    <row r="22" spans="2:16">
      <c r="B22" s="71" t="str">
        <f t="array" ref="B22">IF(COUNTIFS(INDEX(Staff_Position_Allocation,0,MATCH($C$5,Unit_codes,0)),"&gt;0")&lt;ROWS('2.3-Staff input'!$I$5:$I19),"N/A",INDEX('2.3-Staff input'!B:B,SMALL(IF(INDEX(Staff_Position_Allocation,0,MATCH($C$5,Unit_codes,0))&gt;0,ROW(Staff_Position_ID)),ROW('2.3-Staff input'!B15))))</f>
        <v>N/A</v>
      </c>
      <c r="C22" s="71" t="str">
        <f>IF($B22="N/A","N/A",INDEX(Staff_position[],MATCH(B22,Staff_Position_ID,0)))</f>
        <v>N/A</v>
      </c>
      <c r="D22" s="84" t="str">
        <f>IF($B22="N/A","N/A",INDEX(Staff_net_salary[],MATCH(B22,Staff_Position_ID,0)))</f>
        <v>N/A</v>
      </c>
      <c r="E22" s="85" t="str">
        <f t="shared" si="0"/>
        <v>N/A</v>
      </c>
      <c r="F22" s="86" t="str">
        <f t="shared" si="1"/>
        <v/>
      </c>
      <c r="G22" s="225" t="str">
        <f t="shared" si="2"/>
        <v/>
      </c>
    </row>
    <row r="23" spans="2:16">
      <c r="B23" s="71" t="str">
        <f t="array" ref="B23">IF(COUNTIFS(INDEX(Staff_Position_Allocation,0,MATCH($C$5,Unit_codes,0)),"&gt;0")&lt;ROWS('2.3-Staff input'!$I$5:$I20),"N/A",INDEX('2.3-Staff input'!B:B,SMALL(IF(INDEX(Staff_Position_Allocation,0,MATCH($C$5,Unit_codes,0))&gt;0,ROW(Staff_Position_ID)),ROW('2.3-Staff input'!B16))))</f>
        <v>N/A</v>
      </c>
      <c r="C23" s="71" t="str">
        <f>IF($B23="N/A","N/A",INDEX(Staff_position[],MATCH(B23,Staff_Position_ID,0)))</f>
        <v>N/A</v>
      </c>
      <c r="D23" s="84" t="str">
        <f>IF($B23="N/A","N/A",INDEX(Staff_net_salary[],MATCH(B23,Staff_Position_ID,0)))</f>
        <v>N/A</v>
      </c>
      <c r="E23" s="85" t="str">
        <f t="shared" si="0"/>
        <v>N/A</v>
      </c>
      <c r="F23" s="86" t="str">
        <f t="shared" si="1"/>
        <v/>
      </c>
      <c r="G23" s="225" t="str">
        <f t="shared" si="2"/>
        <v/>
      </c>
    </row>
    <row r="24" spans="2:16">
      <c r="B24" s="71" t="str">
        <f t="array" ref="B24">IF(COUNTIFS(INDEX(Staff_Position_Allocation,0,MATCH($C$5,Unit_codes,0)),"&gt;0")&lt;ROWS('2.3-Staff input'!$I$5:$I21),"N/A",INDEX('2.3-Staff input'!B:B,SMALL(IF(INDEX(Staff_Position_Allocation,0,MATCH($C$5,Unit_codes,0))&gt;0,ROW(Staff_Position_ID)),ROW('2.3-Staff input'!B17))))</f>
        <v>N/A</v>
      </c>
      <c r="C24" s="71" t="str">
        <f>IF($B24="N/A","N/A",INDEX(Staff_position[],MATCH(B24,Staff_Position_ID,0)))</f>
        <v>N/A</v>
      </c>
      <c r="D24" s="84" t="str">
        <f>IF($B24="N/A","N/A",INDEX(Staff_net_salary[],MATCH(B24,Staff_Position_ID,0)))</f>
        <v>N/A</v>
      </c>
      <c r="E24" s="85" t="str">
        <f t="shared" si="0"/>
        <v>N/A</v>
      </c>
      <c r="F24" s="86" t="str">
        <f t="shared" si="1"/>
        <v/>
      </c>
      <c r="G24" s="225" t="str">
        <f t="shared" si="2"/>
        <v/>
      </c>
    </row>
    <row r="25" spans="2:16">
      <c r="B25" s="71" t="str">
        <f t="array" ref="B25">IF(COUNTIFS(INDEX(Staff_Position_Allocation,0,MATCH($C$5,Unit_codes,0)),"&gt;0")&lt;ROWS('2.3-Staff input'!$I$5:$I22),"N/A",INDEX('2.3-Staff input'!B:B,SMALL(IF(INDEX(Staff_Position_Allocation,0,MATCH($C$5,Unit_codes,0))&gt;0,ROW(Staff_Position_ID)),ROW('2.3-Staff input'!B18))))</f>
        <v>N/A</v>
      </c>
      <c r="C25" s="71" t="str">
        <f>IF($B25="N/A","N/A",INDEX(Staff_position[],MATCH(B25,Staff_Position_ID,0)))</f>
        <v>N/A</v>
      </c>
      <c r="D25" s="84" t="str">
        <f>IF($B25="N/A","N/A",INDEX(Staff_net_salary[],MATCH(B25,Staff_Position_ID,0)))</f>
        <v>N/A</v>
      </c>
      <c r="E25" s="85" t="str">
        <f t="shared" si="0"/>
        <v>N/A</v>
      </c>
      <c r="F25" s="86" t="str">
        <f t="shared" si="1"/>
        <v/>
      </c>
      <c r="G25" s="225" t="str">
        <f t="shared" si="2"/>
        <v/>
      </c>
    </row>
    <row r="26" spans="2:16">
      <c r="B26" s="71" t="str">
        <f t="array" ref="B26">IF(COUNTIFS(INDEX(Staff_Position_Allocation,0,MATCH($C$5,Unit_codes,0)),"&gt;0")&lt;ROWS('2.3-Staff input'!$I$5:$I23),"N/A",INDEX('2.3-Staff input'!B:B,SMALL(IF(INDEX(Staff_Position_Allocation,0,MATCH($C$5,Unit_codes,0))&gt;0,ROW(Staff_Position_ID)),ROW('2.3-Staff input'!B19))))</f>
        <v>N/A</v>
      </c>
      <c r="C26" s="71" t="str">
        <f>IF($B26="N/A","N/A",INDEX(Staff_position[],MATCH(B26,Staff_Position_ID,0)))</f>
        <v>N/A</v>
      </c>
      <c r="D26" s="84" t="str">
        <f>IF($B26="N/A","N/A",INDEX(Staff_net_salary[],MATCH(B26,Staff_Position_ID,0)))</f>
        <v>N/A</v>
      </c>
      <c r="E26" s="85" t="str">
        <f t="shared" si="0"/>
        <v>N/A</v>
      </c>
      <c r="F26" s="86" t="str">
        <f t="shared" si="1"/>
        <v/>
      </c>
      <c r="G26" s="225" t="str">
        <f t="shared" si="2"/>
        <v/>
      </c>
    </row>
    <row r="27" spans="2:16">
      <c r="B27" s="71" t="str">
        <f t="array" ref="B27">IF(COUNTIFS(INDEX(Staff_Position_Allocation,0,MATCH($C$5,Unit_codes,0)),"&gt;0")&lt;ROWS('2.3-Staff input'!$I$5:$I24),"N/A",INDEX('2.3-Staff input'!B:B,SMALL(IF(INDEX(Staff_Position_Allocation,0,MATCH($C$5,Unit_codes,0))&gt;0,ROW(Staff_Position_ID)),ROW('2.3-Staff input'!B20))))</f>
        <v>N/A</v>
      </c>
      <c r="C27" s="71" t="str">
        <f>IF($B27="N/A","N/A",INDEX(Staff_position[],MATCH(B27,Staff_Position_ID,0)))</f>
        <v>N/A</v>
      </c>
      <c r="D27" s="84" t="str">
        <f>IF($B27="N/A","N/A",INDEX(Staff_net_salary[],MATCH(B27,Staff_Position_ID,0)))</f>
        <v>N/A</v>
      </c>
      <c r="E27" s="85" t="str">
        <f t="shared" si="0"/>
        <v>N/A</v>
      </c>
      <c r="F27" s="86" t="str">
        <f t="shared" si="1"/>
        <v/>
      </c>
      <c r="G27" s="225" t="str">
        <f t="shared" si="2"/>
        <v/>
      </c>
    </row>
    <row r="28" spans="2:16">
      <c r="B28" s="71" t="str">
        <f t="array" ref="B28">IF(COUNTIFS(INDEX(Staff_Position_Allocation,0,MATCH($C$5,Unit_codes,0)),"&gt;0")&lt;ROWS('2.3-Staff input'!$I$5:$I25),"N/A",INDEX('2.3-Staff input'!B:B,SMALL(IF(INDEX(Staff_Position_Allocation,0,MATCH($C$5,Unit_codes,0))&gt;0,ROW(Staff_Position_ID)),ROW('2.3-Staff input'!B21))))</f>
        <v>N/A</v>
      </c>
      <c r="C28" s="71" t="str">
        <f>IF($B28="N/A","N/A",INDEX(Staff_position[],MATCH(B28,Staff_Position_ID,0)))</f>
        <v>N/A</v>
      </c>
      <c r="D28" s="84" t="str">
        <f>IF($B28="N/A","N/A",INDEX(Staff_net_salary[],MATCH(B28,Staff_Position_ID,0)))</f>
        <v>N/A</v>
      </c>
      <c r="E28" s="85" t="str">
        <f t="shared" si="0"/>
        <v>N/A</v>
      </c>
      <c r="F28" s="86" t="str">
        <f t="shared" si="1"/>
        <v/>
      </c>
      <c r="G28" s="225" t="str">
        <f t="shared" si="2"/>
        <v/>
      </c>
    </row>
    <row r="29" spans="2:16">
      <c r="B29" s="71" t="str">
        <f t="array" ref="B29">IF(COUNTIFS(INDEX(Staff_Position_Allocation,0,MATCH($C$5,Unit_codes,0)),"&gt;0")&lt;ROWS('2.3-Staff input'!$I$5:$I26),"N/A",INDEX('2.3-Staff input'!B:B,SMALL(IF(INDEX(Staff_Position_Allocation,0,MATCH($C$5,Unit_codes,0))&gt;0,ROW(Staff_Position_ID)),ROW('2.3-Staff input'!B22))))</f>
        <v>N/A</v>
      </c>
      <c r="C29" s="71" t="str">
        <f>IF($B29="N/A","N/A",INDEX(Staff_position[],MATCH(B29,Staff_Position_ID,0)))</f>
        <v>N/A</v>
      </c>
      <c r="D29" s="84" t="str">
        <f>IF($B29="N/A","N/A",INDEX(Staff_net_salary[],MATCH(B29,Staff_Position_ID,0)))</f>
        <v>N/A</v>
      </c>
      <c r="E29" s="85" t="str">
        <f t="shared" si="0"/>
        <v>N/A</v>
      </c>
      <c r="F29" s="86" t="str">
        <f t="shared" si="1"/>
        <v/>
      </c>
      <c r="G29" s="225" t="str">
        <f t="shared" si="2"/>
        <v/>
      </c>
    </row>
    <row r="30" spans="2:16">
      <c r="B30" s="71" t="str">
        <f t="array" ref="B30">IF(COUNTIFS(INDEX(Staff_Position_Allocation,0,MATCH($C$5,Unit_codes,0)),"&gt;0")&lt;ROWS('2.3-Staff input'!$I$5:$I27),"N/A",INDEX('2.3-Staff input'!B:B,SMALL(IF(INDEX(Staff_Position_Allocation,0,MATCH($C$5,Unit_codes,0))&gt;0,ROW(Staff_Position_ID)),ROW('2.3-Staff input'!B23))))</f>
        <v>N/A</v>
      </c>
      <c r="C30" s="71" t="str">
        <f>IF($B30="N/A","N/A",INDEX(Staff_position[],MATCH(B30,Staff_Position_ID,0)))</f>
        <v>N/A</v>
      </c>
      <c r="D30" s="84" t="str">
        <f>IF($B30="N/A","N/A",INDEX(Staff_net_salary[],MATCH(B30,Staff_Position_ID,0)))</f>
        <v>N/A</v>
      </c>
      <c r="E30" s="85" t="str">
        <f t="shared" si="0"/>
        <v>N/A</v>
      </c>
      <c r="F30" s="86" t="str">
        <f t="shared" si="1"/>
        <v/>
      </c>
      <c r="G30" s="225" t="str">
        <f t="shared" si="2"/>
        <v/>
      </c>
    </row>
    <row r="31" spans="2:16" ht="15" thickBot="1">
      <c r="F31" s="143"/>
      <c r="G31" s="143"/>
    </row>
    <row r="32" spans="2:16" ht="18.5">
      <c r="B32" s="104" t="s">
        <v>203</v>
      </c>
      <c r="C32" s="105"/>
      <c r="D32" s="79"/>
      <c r="E32" s="79"/>
      <c r="F32" s="147" t="s">
        <v>206</v>
      </c>
      <c r="G32" s="290">
        <f>SUM(C45:C48)</f>
        <v>366.60836050661129</v>
      </c>
      <c r="H32" s="79"/>
      <c r="I32" s="79"/>
      <c r="J32" s="79"/>
      <c r="K32" s="79"/>
      <c r="L32" s="79"/>
      <c r="M32" s="79"/>
      <c r="N32" s="79"/>
      <c r="O32" s="79"/>
      <c r="P32" s="79"/>
    </row>
    <row r="33" spans="2:16" ht="15.5">
      <c r="F33" s="127"/>
      <c r="G33" s="127"/>
      <c r="H33" s="127"/>
      <c r="I33" s="127"/>
      <c r="J33" s="127"/>
      <c r="K33" s="127"/>
      <c r="L33" s="127"/>
      <c r="M33" s="127"/>
      <c r="N33" s="127"/>
      <c r="O33" s="127"/>
      <c r="P33" s="127"/>
    </row>
    <row r="34" spans="2:16" ht="15.5">
      <c r="B34" s="93" t="s">
        <v>688</v>
      </c>
      <c r="C34" s="93" t="s">
        <v>641</v>
      </c>
      <c r="D34" s="93" t="s">
        <v>837</v>
      </c>
      <c r="G34" s="127"/>
      <c r="H34" s="127"/>
      <c r="I34" s="127"/>
      <c r="J34" s="127"/>
      <c r="K34" s="127"/>
      <c r="L34" s="127"/>
      <c r="M34" s="127"/>
      <c r="N34" s="127"/>
      <c r="O34" s="127"/>
      <c r="P34" s="127"/>
    </row>
    <row r="35" spans="2:16" ht="15.5">
      <c r="B35" s="277" t="s">
        <v>676</v>
      </c>
      <c r="C35" s="282">
        <f>SUM('5.3-Unit W'!O110:O147)</f>
        <v>0</v>
      </c>
      <c r="D35" s="282">
        <f>C35/'1.0-General input'!$E$78</f>
        <v>0</v>
      </c>
      <c r="E35" s="154" t="s">
        <v>836</v>
      </c>
      <c r="G35" s="127"/>
      <c r="H35" s="127"/>
      <c r="I35" s="127"/>
      <c r="J35" s="127"/>
      <c r="K35" s="127"/>
      <c r="L35" s="127"/>
      <c r="M35" s="127"/>
      <c r="N35" s="127"/>
      <c r="O35" s="127"/>
      <c r="P35" s="127"/>
    </row>
    <row r="36" spans="2:16" ht="15.5">
      <c r="B36" s="277" t="s">
        <v>677</v>
      </c>
      <c r="C36" s="282">
        <f>SUM('5.3-Unit T'!O110:O147)</f>
        <v>0.76747200000000004</v>
      </c>
      <c r="D36" s="282">
        <f>C36/'1.0-General input'!$E$78</f>
        <v>2.5582400000000001</v>
      </c>
      <c r="E36" s="15" t="s">
        <v>836</v>
      </c>
      <c r="F36" s="127"/>
      <c r="G36" s="127"/>
      <c r="H36" s="127"/>
      <c r="I36" s="127"/>
      <c r="J36" s="127"/>
      <c r="K36" s="127"/>
      <c r="L36" s="127"/>
      <c r="M36" s="127"/>
      <c r="N36" s="127"/>
      <c r="O36" s="127"/>
      <c r="P36" s="127"/>
    </row>
    <row r="37" spans="2:16" ht="15.5">
      <c r="B37" s="277" t="s">
        <v>678</v>
      </c>
      <c r="C37" s="282">
        <f>SUM('5.3-Unit H'!O110:O147)</f>
        <v>4.7517339999999999</v>
      </c>
      <c r="D37" s="282">
        <f>C37/'1.0-General input'!$E$78</f>
        <v>15.839113333333334</v>
      </c>
      <c r="E37" s="15" t="s">
        <v>836</v>
      </c>
      <c r="F37" s="127"/>
      <c r="G37" s="127"/>
      <c r="H37" s="127"/>
      <c r="I37" s="127"/>
      <c r="J37" s="127"/>
      <c r="K37" s="127"/>
      <c r="L37" s="127"/>
      <c r="M37" s="127"/>
      <c r="N37" s="127"/>
      <c r="O37" s="127"/>
      <c r="P37" s="127"/>
    </row>
    <row r="38" spans="2:16" ht="15.5">
      <c r="B38" s="277" t="s">
        <v>679</v>
      </c>
      <c r="C38" s="282">
        <f>SUM('5.3-Unit N (17DOL-Egg)'!O110:O147)+SUM('5.3-Unit N (Egg-5DOL)'!O110:O147)+SUM('5.3-Unit N (5DOL-17DOL)'!O110:O147)</f>
        <v>9.5175000000000018</v>
      </c>
      <c r="D38" s="282">
        <f>C38/'1.0-General input'!$E$78</f>
        <v>31.725000000000009</v>
      </c>
      <c r="E38" s="15" t="s">
        <v>836</v>
      </c>
      <c r="F38" s="127"/>
      <c r="G38" s="127"/>
      <c r="H38" s="127"/>
      <c r="I38" s="127"/>
      <c r="J38" s="127"/>
      <c r="K38" s="127"/>
      <c r="L38" s="127"/>
      <c r="M38" s="127"/>
      <c r="N38" s="127"/>
      <c r="O38" s="127"/>
      <c r="P38" s="127"/>
    </row>
    <row r="39" spans="2:16" ht="15.5">
      <c r="B39" s="277" t="s">
        <v>680</v>
      </c>
      <c r="C39" s="282">
        <f>SUM('5.3-Unit P'!O110:O147)</f>
        <v>0.24709400000000004</v>
      </c>
      <c r="D39" s="282">
        <f>C39/'1.0-General input'!$E$78</f>
        <v>0.82364666666666686</v>
      </c>
      <c r="E39" s="15" t="s">
        <v>836</v>
      </c>
      <c r="F39" s="127"/>
      <c r="G39" s="127"/>
      <c r="H39" s="127"/>
      <c r="I39" s="127"/>
      <c r="J39" s="127"/>
      <c r="K39" s="127"/>
      <c r="L39" s="127"/>
      <c r="M39" s="127"/>
      <c r="N39" s="127"/>
      <c r="O39" s="127"/>
      <c r="P39" s="127"/>
    </row>
    <row r="40" spans="2:16" ht="15.5">
      <c r="B40" s="277" t="s">
        <v>681</v>
      </c>
      <c r="C40" s="282">
        <f>General_Residue_TotalProd/Staff_Days_Operation*'1.0-General input'!E89*'1.0-General input'!E90</f>
        <v>6.0739209136740482E-2</v>
      </c>
      <c r="D40" s="282">
        <f>C40</f>
        <v>6.0739209136740482E-2</v>
      </c>
      <c r="F40" s="127"/>
      <c r="G40" s="127"/>
      <c r="H40" s="127"/>
      <c r="I40" s="127"/>
      <c r="J40" s="127"/>
      <c r="K40" s="127"/>
      <c r="L40" s="127"/>
      <c r="M40" s="127"/>
      <c r="N40" s="127"/>
      <c r="O40" s="127"/>
      <c r="P40" s="127"/>
    </row>
    <row r="41" spans="2:16" ht="15.5">
      <c r="B41" s="277" t="s">
        <v>790</v>
      </c>
      <c r="C41" s="282">
        <f>'1.0-General input'!E80*SUM('2.3-Staff input'!J7:J11)</f>
        <v>0</v>
      </c>
      <c r="D41" s="282">
        <f>C41</f>
        <v>0</v>
      </c>
      <c r="F41" s="127"/>
      <c r="G41" s="127"/>
      <c r="H41" s="127"/>
      <c r="I41" s="127"/>
      <c r="J41" s="127"/>
      <c r="K41" s="127"/>
      <c r="L41" s="127"/>
      <c r="M41" s="127"/>
      <c r="N41" s="127"/>
      <c r="O41" s="127"/>
      <c r="P41" s="127"/>
    </row>
    <row r="42" spans="2:16" ht="15.5">
      <c r="B42" s="277" t="s">
        <v>640</v>
      </c>
      <c r="C42" s="282">
        <f>SUM(C35:C41)</f>
        <v>15.344539209136743</v>
      </c>
      <c r="D42" s="282">
        <f>SUM(D35:D41)</f>
        <v>51.006739209136754</v>
      </c>
      <c r="E42" s="281"/>
      <c r="F42" s="127"/>
      <c r="G42" s="127"/>
      <c r="H42" s="127"/>
      <c r="I42" s="127"/>
      <c r="J42" s="127"/>
      <c r="K42" s="127"/>
      <c r="L42" s="127"/>
      <c r="M42" s="127"/>
      <c r="N42" s="127"/>
      <c r="O42" s="127"/>
      <c r="P42" s="127"/>
    </row>
    <row r="43" spans="2:16" ht="15.5">
      <c r="D43" s="127"/>
      <c r="E43" s="127"/>
      <c r="F43" s="127"/>
      <c r="G43" s="127"/>
      <c r="H43" s="127"/>
      <c r="I43" s="127"/>
      <c r="J43" s="127"/>
      <c r="K43" s="127"/>
      <c r="L43" s="127"/>
      <c r="M43" s="127"/>
      <c r="N43" s="127"/>
      <c r="O43" s="127"/>
      <c r="P43" s="127"/>
    </row>
    <row r="44" spans="2:16" ht="15.5">
      <c r="B44" s="93" t="s">
        <v>145</v>
      </c>
      <c r="C44" s="93" t="s">
        <v>204</v>
      </c>
      <c r="D44" s="127"/>
      <c r="G44" s="127"/>
      <c r="H44" s="127"/>
      <c r="I44" s="127"/>
      <c r="J44" s="127"/>
      <c r="K44" s="127"/>
      <c r="L44" s="127"/>
      <c r="M44" s="127"/>
      <c r="N44" s="127"/>
      <c r="O44" s="127"/>
      <c r="P44" s="127"/>
    </row>
    <row r="45" spans="2:16" ht="15.5">
      <c r="B45" s="128" t="s">
        <v>622</v>
      </c>
      <c r="C45" s="288">
        <f>IF(General_Factory_Decision=INDEX(Factory_Renting_Buying[],1),D42*General_Factory_Rent,0)</f>
        <v>361.18074360218691</v>
      </c>
      <c r="D45" s="127"/>
      <c r="G45" s="127"/>
      <c r="H45" s="127"/>
      <c r="I45" s="127"/>
      <c r="J45" s="127"/>
      <c r="K45" s="127"/>
      <c r="L45" s="127"/>
      <c r="M45" s="127"/>
      <c r="N45" s="127"/>
      <c r="O45" s="127"/>
      <c r="P45" s="127"/>
    </row>
    <row r="46" spans="2:16" ht="15.5">
      <c r="B46" s="128" t="s">
        <v>750</v>
      </c>
      <c r="C46" s="288">
        <f>'1.0-General input'!E81/1000*SUM(Staff_number_of_employees)*General_Water_Price*Staff_Days_Operation</f>
        <v>5.4276169044243758</v>
      </c>
      <c r="D46" s="127"/>
      <c r="G46" s="127"/>
      <c r="H46" s="127"/>
      <c r="I46" s="127"/>
      <c r="J46" s="127"/>
      <c r="K46" s="127"/>
      <c r="L46" s="127"/>
      <c r="M46" s="127"/>
      <c r="N46" s="127"/>
      <c r="O46" s="127"/>
      <c r="P46" s="127"/>
    </row>
    <row r="47" spans="2:16">
      <c r="B47" s="128" t="s">
        <v>751</v>
      </c>
      <c r="C47" s="288">
        <f>'1.0-General input'!E82*'5.3-Unit SG&amp;A'!D41*General_Electricity_Price</f>
        <v>0</v>
      </c>
    </row>
    <row r="48" spans="2:16">
      <c r="B48" s="128" t="s">
        <v>752</v>
      </c>
      <c r="C48" s="288">
        <f>'1.0-General input'!E79</f>
        <v>0</v>
      </c>
    </row>
    <row r="50" spans="2:16" ht="15.5">
      <c r="B50" s="93" t="s">
        <v>145</v>
      </c>
      <c r="C50" s="93" t="s">
        <v>204</v>
      </c>
    </row>
    <row r="51" spans="2:16">
      <c r="B51" s="128" t="s">
        <v>689</v>
      </c>
      <c r="C51" s="288">
        <f>IF(General_Factory_Decision=INDEX(Factory_Renting_Buying[],2),D42*General_Factory_Land,0)</f>
        <v>0</v>
      </c>
    </row>
    <row r="52" spans="2:16" ht="15.5">
      <c r="B52" s="128" t="s">
        <v>687</v>
      </c>
      <c r="C52" s="288">
        <f>IF(General_Factory_Decision=INDEX(Factory_Renting_Buying[],2),D42*General_Factory_Construction,0)</f>
        <v>0</v>
      </c>
      <c r="E52" s="127" t="s">
        <v>950</v>
      </c>
    </row>
    <row r="53" spans="2:16" ht="15" thickBot="1">
      <c r="E53" s="54"/>
      <c r="F53" s="54"/>
      <c r="G53" s="54"/>
    </row>
    <row r="54" spans="2:16" ht="29">
      <c r="B54" s="2" t="s">
        <v>1</v>
      </c>
      <c r="C54" s="103"/>
      <c r="D54" s="51"/>
      <c r="F54" s="145" t="s">
        <v>86</v>
      </c>
      <c r="G54" s="290">
        <f>SUMIF(B59:B96,("&lt;&gt;N/A"),G59:G96)</f>
        <v>0</v>
      </c>
      <c r="H54" s="51"/>
      <c r="I54" s="51"/>
      <c r="J54" s="51"/>
      <c r="K54" s="51"/>
      <c r="L54" s="51"/>
      <c r="M54" s="51"/>
      <c r="N54" s="51"/>
      <c r="O54" s="51"/>
      <c r="P54" s="51"/>
    </row>
    <row r="55" spans="2:16" ht="15.5">
      <c r="B55" s="61" t="s">
        <v>80</v>
      </c>
    </row>
    <row r="56" spans="2:16">
      <c r="B56" s="98" t="s">
        <v>76</v>
      </c>
      <c r="C56" s="80" t="s">
        <v>135</v>
      </c>
    </row>
    <row r="58" spans="2:16" ht="46.5">
      <c r="B58" s="93" t="s">
        <v>82</v>
      </c>
      <c r="C58" s="93" t="s">
        <v>51</v>
      </c>
      <c r="D58" s="93" t="s">
        <v>150</v>
      </c>
      <c r="E58" s="93" t="s">
        <v>48</v>
      </c>
      <c r="F58" s="129" t="s">
        <v>85</v>
      </c>
      <c r="G58" s="93" t="s">
        <v>152</v>
      </c>
    </row>
    <row r="59" spans="2:16">
      <c r="B59" s="70" t="str">
        <f t="array" ref="B59">IF(COUNTIFS(INDEX(Equipment_Allocation_New,0,MATCH($C$56,Unit_codes,0)),"&gt;0")&lt;ROWS('2.2-Equipment input'!$X$8:$X8),"N/A",INDEX('2.2-Equipment input'!B:B,SMALL(IF(INDEX(Equipment_Allocation_New,0,MATCH($C$56,Unit_codes,0))&gt;0,ROW(equipment_ID)),ROW('2.2-Equipment input'!B1))))</f>
        <v>eq0001</v>
      </c>
      <c r="C59" s="70" t="str">
        <f>IF($B59="N/A","N/A",INDEX(Equipment_name[],MATCH(B59,equipment_ID,0)))</f>
        <v>Factory buidling</v>
      </c>
      <c r="D59" s="81">
        <f t="shared" ref="D59:D96" si="3">IF($B59="N/A","N/A",INDEX(Equipment_Depreciation,MATCH(B59,equipment_ID,0)))</f>
        <v>0</v>
      </c>
      <c r="E59" s="88">
        <f t="shared" ref="E59:E96" si="4">IF($B59="N/A","N/A",INDEX(Equipment_Quantity_New,MATCH(B59,equipment_ID,0)))</f>
        <v>51.006739209136754</v>
      </c>
      <c r="F59" s="125">
        <f t="shared" ref="F59:F96" si="5">IFERROR(INDEX(Equipment_Allocation_New,MATCH(B59,equipment_ID,0),MATCH($C$56,Unit_codes,0)),"")</f>
        <v>1</v>
      </c>
      <c r="G59" s="225">
        <f>IFERROR($D59*E59*F59,"")</f>
        <v>0</v>
      </c>
    </row>
    <row r="60" spans="2:16">
      <c r="B60" s="70" t="str">
        <f t="array" ref="B60">IF(COUNTIFS(INDEX(Equipment_Allocation_New,0,MATCH($C$56,Unit_codes,0)),"&gt;0")&lt;ROWS('2.2-Equipment input'!$X$8:$X9),"N/A",INDEX('2.2-Equipment input'!B:B,SMALL(IF(INDEX(Equipment_Allocation_New,0,MATCH($C$56,Unit_codes,0))&gt;0,ROW(equipment_ID)),ROW('2.2-Equipment input'!B2))))</f>
        <v>eq0002</v>
      </c>
      <c r="C60" s="70" t="str">
        <f>IF($B60="N/A","N/A",INDEX(Equipment_name[],MATCH(B60,equipment_ID,0)))</f>
        <v>Turcks for transport</v>
      </c>
      <c r="D60" s="81">
        <f t="shared" si="3"/>
        <v>502.04571235967148</v>
      </c>
      <c r="E60" s="88">
        <f>IF($B60="N/A","N/A",INDEX(Equipment_Quantity_New,MATCH(B60,equipment_ID,0)))</f>
        <v>0</v>
      </c>
      <c r="F60" s="125">
        <f t="shared" si="5"/>
        <v>1</v>
      </c>
      <c r="G60" s="225">
        <f>IFERROR($D60*E60*F60,"")</f>
        <v>0</v>
      </c>
    </row>
    <row r="61" spans="2:16">
      <c r="B61" s="70" t="str">
        <f t="array" ref="B61">IF(COUNTIFS(INDEX(Equipment_Allocation_New,0,MATCH($C$56,Unit_codes,0)),"&gt;0")&lt;ROWS('2.2-Equipment input'!$X$8:$X10),"N/A",INDEX('2.2-Equipment input'!B:B,SMALL(IF(INDEX(Equipment_Allocation_New,0,MATCH($C$56,Unit_codes,0))&gt;0,ROW(equipment_ID)),ROW('2.2-Equipment input'!B4))))</f>
        <v>N/A</v>
      </c>
      <c r="C61" s="70" t="str">
        <f>IF($B61="N/A","N/A",INDEX(Equipment_name[],MATCH(B61,equipment_ID,0)))</f>
        <v>N/A</v>
      </c>
      <c r="D61" s="81" t="str">
        <f t="shared" si="3"/>
        <v>N/A</v>
      </c>
      <c r="E61" s="88" t="str">
        <f t="shared" si="4"/>
        <v>N/A</v>
      </c>
      <c r="F61" s="125" t="str">
        <f t="shared" si="5"/>
        <v/>
      </c>
      <c r="G61" s="225" t="str">
        <f t="shared" ref="G61:G96" si="6">IFERROR($D61*E61*F61,"")</f>
        <v/>
      </c>
    </row>
    <row r="62" spans="2:16">
      <c r="B62" s="70" t="str">
        <f t="array" ref="B62">IF(COUNTIFS(INDEX(Equipment_Allocation_New,0,MATCH($C$56,Unit_codes,0)),"&gt;0")&lt;ROWS('2.2-Equipment input'!$X$8:$X11),"N/A",INDEX('2.2-Equipment input'!B:B,SMALL(IF(INDEX(Equipment_Allocation_New,0,MATCH($C$56,Unit_codes,0))&gt;0,ROW(equipment_ID)),ROW('2.2-Equipment input'!B5))))</f>
        <v>N/A</v>
      </c>
      <c r="C62" s="70" t="str">
        <f>IF($B62="N/A","N/A",INDEX(Equipment_name[],MATCH(B62,equipment_ID,0)))</f>
        <v>N/A</v>
      </c>
      <c r="D62" s="81" t="str">
        <f t="shared" si="3"/>
        <v>N/A</v>
      </c>
      <c r="E62" s="88" t="str">
        <f t="shared" si="4"/>
        <v>N/A</v>
      </c>
      <c r="F62" s="125" t="str">
        <f t="shared" si="5"/>
        <v/>
      </c>
      <c r="G62" s="225" t="str">
        <f t="shared" si="6"/>
        <v/>
      </c>
    </row>
    <row r="63" spans="2:16">
      <c r="B63" s="70" t="str">
        <f t="array" ref="B63">IF(COUNTIFS(INDEX(Equipment_Allocation_New,0,MATCH($C$56,Unit_codes,0)),"&gt;0")&lt;ROWS('2.2-Equipment input'!$X$8:$X12),"N/A",INDEX('2.2-Equipment input'!B:B,SMALL(IF(INDEX(Equipment_Allocation_New,0,MATCH($C$56,Unit_codes,0))&gt;0,ROW(equipment_ID)),ROW('2.2-Equipment input'!B6))))</f>
        <v>N/A</v>
      </c>
      <c r="C63" s="70" t="str">
        <f>IF($B63="N/A","N/A",INDEX(Equipment_name[],MATCH(B63,equipment_ID,0)))</f>
        <v>N/A</v>
      </c>
      <c r="D63" s="81" t="str">
        <f t="shared" si="3"/>
        <v>N/A</v>
      </c>
      <c r="E63" s="88" t="str">
        <f t="shared" si="4"/>
        <v>N/A</v>
      </c>
      <c r="F63" s="125" t="str">
        <f t="shared" si="5"/>
        <v/>
      </c>
      <c r="G63" s="225" t="str">
        <f t="shared" si="6"/>
        <v/>
      </c>
    </row>
    <row r="64" spans="2:16">
      <c r="B64" s="70" t="str">
        <f t="array" ref="B64">IF(COUNTIFS(INDEX(Equipment_Allocation_New,0,MATCH($C$56,Unit_codes,0)),"&gt;0")&lt;ROWS('2.2-Equipment input'!$X$8:$X13),"N/A",INDEX('2.2-Equipment input'!B:B,SMALL(IF(INDEX(Equipment_Allocation_New,0,MATCH($C$56,Unit_codes,0))&gt;0,ROW(equipment_ID)),ROW('2.2-Equipment input'!B7))))</f>
        <v>N/A</v>
      </c>
      <c r="C64" s="70" t="str">
        <f>IF($B64="N/A","N/A",INDEX(Equipment_name[],MATCH(B64,equipment_ID,0)))</f>
        <v>N/A</v>
      </c>
      <c r="D64" s="81" t="str">
        <f t="shared" si="3"/>
        <v>N/A</v>
      </c>
      <c r="E64" s="88" t="str">
        <f t="shared" si="4"/>
        <v>N/A</v>
      </c>
      <c r="F64" s="125" t="str">
        <f t="shared" si="5"/>
        <v/>
      </c>
      <c r="G64" s="225" t="str">
        <f t="shared" si="6"/>
        <v/>
      </c>
    </row>
    <row r="65" spans="2:7">
      <c r="B65" s="70" t="str">
        <f t="array" ref="B65">IF(COUNTIFS(INDEX(Equipment_Allocation_New,0,MATCH($C$56,Unit_codes,0)),"&gt;0")&lt;ROWS('2.2-Equipment input'!$X$8:$X14),"N/A",INDEX('2.2-Equipment input'!B:B,SMALL(IF(INDEX(Equipment_Allocation_New,0,MATCH($C$56,Unit_codes,0))&gt;0,ROW(equipment_ID)),ROW('2.2-Equipment input'!B8))))</f>
        <v>N/A</v>
      </c>
      <c r="C65" s="70" t="str">
        <f>IF($B65="N/A","N/A",INDEX(Equipment_name[],MATCH(B65,equipment_ID,0)))</f>
        <v>N/A</v>
      </c>
      <c r="D65" s="81" t="str">
        <f t="shared" si="3"/>
        <v>N/A</v>
      </c>
      <c r="E65" s="88" t="str">
        <f t="shared" si="4"/>
        <v>N/A</v>
      </c>
      <c r="F65" s="125" t="str">
        <f t="shared" si="5"/>
        <v/>
      </c>
      <c r="G65" s="225" t="str">
        <f t="shared" si="6"/>
        <v/>
      </c>
    </row>
    <row r="66" spans="2:7">
      <c r="B66" s="70" t="str">
        <f t="array" ref="B66">IF(COUNTIFS(INDEX(Equipment_Allocation_New,0,MATCH($C$56,Unit_codes,0)),"&gt;0")&lt;ROWS('2.2-Equipment input'!$X$8:$X15),"N/A",INDEX('2.2-Equipment input'!B:B,SMALL(IF(INDEX(Equipment_Allocation_New,0,MATCH($C$56,Unit_codes,0))&gt;0,ROW(equipment_ID)),ROW('2.2-Equipment input'!B9))))</f>
        <v>N/A</v>
      </c>
      <c r="C66" s="70" t="str">
        <f>IF($B66="N/A","N/A",INDEX(Equipment_name[],MATCH(B66,equipment_ID,0)))</f>
        <v>N/A</v>
      </c>
      <c r="D66" s="81" t="str">
        <f t="shared" si="3"/>
        <v>N/A</v>
      </c>
      <c r="E66" s="88" t="str">
        <f t="shared" si="4"/>
        <v>N/A</v>
      </c>
      <c r="F66" s="125" t="str">
        <f t="shared" si="5"/>
        <v/>
      </c>
      <c r="G66" s="225" t="str">
        <f t="shared" si="6"/>
        <v/>
      </c>
    </row>
    <row r="67" spans="2:7">
      <c r="B67" s="70" t="str">
        <f t="array" ref="B67">IF(COUNTIFS(INDEX(Equipment_Allocation_New,0,MATCH($C$56,Unit_codes,0)),"&gt;0")&lt;ROWS('2.2-Equipment input'!$X$8:$X16),"N/A",INDEX('2.2-Equipment input'!B:B,SMALL(IF(INDEX(Equipment_Allocation_New,0,MATCH($C$56,Unit_codes,0))&gt;0,ROW(equipment_ID)),ROW('2.2-Equipment input'!B10))))</f>
        <v>N/A</v>
      </c>
      <c r="C67" s="70" t="str">
        <f>IF($B67="N/A","N/A",INDEX(Equipment_name[],MATCH(B67,equipment_ID,0)))</f>
        <v>N/A</v>
      </c>
      <c r="D67" s="81" t="str">
        <f t="shared" si="3"/>
        <v>N/A</v>
      </c>
      <c r="E67" s="88" t="str">
        <f t="shared" si="4"/>
        <v>N/A</v>
      </c>
      <c r="F67" s="125" t="str">
        <f t="shared" si="5"/>
        <v/>
      </c>
      <c r="G67" s="225" t="str">
        <f t="shared" si="6"/>
        <v/>
      </c>
    </row>
    <row r="68" spans="2:7">
      <c r="B68" s="70" t="str">
        <f t="array" ref="B68">IF(COUNTIFS(INDEX(Equipment_Allocation_New,0,MATCH($C$56,Unit_codes,0)),"&gt;0")&lt;ROWS('2.2-Equipment input'!$X$8:$X17),"N/A",INDEX('2.2-Equipment input'!B:B,SMALL(IF(INDEX(Equipment_Allocation_New,0,MATCH($C$56,Unit_codes,0))&gt;0,ROW(equipment_ID)),ROW('2.2-Equipment input'!B11))))</f>
        <v>N/A</v>
      </c>
      <c r="C68" s="70" t="str">
        <f>IF($B68="N/A","N/A",INDEX(Equipment_name[],MATCH(B68,equipment_ID,0)))</f>
        <v>N/A</v>
      </c>
      <c r="D68" s="81" t="str">
        <f t="shared" si="3"/>
        <v>N/A</v>
      </c>
      <c r="E68" s="88" t="str">
        <f t="shared" si="4"/>
        <v>N/A</v>
      </c>
      <c r="F68" s="125" t="str">
        <f t="shared" si="5"/>
        <v/>
      </c>
      <c r="G68" s="225" t="str">
        <f t="shared" si="6"/>
        <v/>
      </c>
    </row>
    <row r="69" spans="2:7">
      <c r="B69" s="70" t="str">
        <f t="array" ref="B69">IF(COUNTIFS(INDEX(Equipment_Allocation_New,0,MATCH($C$56,Unit_codes,0)),"&gt;0")&lt;ROWS('2.2-Equipment input'!$X$8:$X18),"N/A",INDEX('2.2-Equipment input'!B:B,SMALL(IF(INDEX(Equipment_Allocation_New,0,MATCH($C$56,Unit_codes,0))&gt;0,ROW(equipment_ID)),ROW('2.2-Equipment input'!B12))))</f>
        <v>N/A</v>
      </c>
      <c r="C69" s="70" t="str">
        <f>IF($B69="N/A","N/A",INDEX(Equipment_name[],MATCH(B69,equipment_ID,0)))</f>
        <v>N/A</v>
      </c>
      <c r="D69" s="81" t="str">
        <f t="shared" si="3"/>
        <v>N/A</v>
      </c>
      <c r="E69" s="88" t="str">
        <f t="shared" si="4"/>
        <v>N/A</v>
      </c>
      <c r="F69" s="125" t="str">
        <f t="shared" si="5"/>
        <v/>
      </c>
      <c r="G69" s="225" t="str">
        <f t="shared" si="6"/>
        <v/>
      </c>
    </row>
    <row r="70" spans="2:7">
      <c r="B70" s="70" t="str">
        <f t="array" ref="B70">IF(COUNTIFS(INDEX(Equipment_Allocation_New,0,MATCH($C$56,Unit_codes,0)),"&gt;0")&lt;ROWS('2.2-Equipment input'!$X$8:$X19),"N/A",INDEX('2.2-Equipment input'!B:B,SMALL(IF(INDEX(Equipment_Allocation_New,0,MATCH($C$56,Unit_codes,0))&gt;0,ROW(equipment_ID)),ROW('2.2-Equipment input'!B13))))</f>
        <v>N/A</v>
      </c>
      <c r="C70" s="70" t="str">
        <f>IF($B70="N/A","N/A",INDEX(Equipment_name[],MATCH(B70,equipment_ID,0)))</f>
        <v>N/A</v>
      </c>
      <c r="D70" s="81" t="str">
        <f t="shared" si="3"/>
        <v>N/A</v>
      </c>
      <c r="E70" s="88" t="str">
        <f t="shared" si="4"/>
        <v>N/A</v>
      </c>
      <c r="F70" s="125" t="str">
        <f t="shared" si="5"/>
        <v/>
      </c>
      <c r="G70" s="225" t="str">
        <f t="shared" si="6"/>
        <v/>
      </c>
    </row>
    <row r="71" spans="2:7">
      <c r="B71" s="70" t="str">
        <f t="array" ref="B71">IF(COUNTIFS(INDEX(Equipment_Allocation_New,0,MATCH($C$56,Unit_codes,0)),"&gt;0")&lt;ROWS('2.2-Equipment input'!$X$8:$X20),"N/A",INDEX('2.2-Equipment input'!B:B,SMALL(IF(INDEX(Equipment_Allocation_New,0,MATCH($C$56,Unit_codes,0))&gt;0,ROW(equipment_ID)),ROW('2.2-Equipment input'!B14))))</f>
        <v>N/A</v>
      </c>
      <c r="C71" s="70" t="str">
        <f>IF($B71="N/A","N/A",INDEX(Equipment_name[],MATCH(B71,equipment_ID,0)))</f>
        <v>N/A</v>
      </c>
      <c r="D71" s="81" t="str">
        <f t="shared" si="3"/>
        <v>N/A</v>
      </c>
      <c r="E71" s="88" t="str">
        <f t="shared" si="4"/>
        <v>N/A</v>
      </c>
      <c r="F71" s="125" t="str">
        <f t="shared" si="5"/>
        <v/>
      </c>
      <c r="G71" s="225" t="str">
        <f t="shared" si="6"/>
        <v/>
      </c>
    </row>
    <row r="72" spans="2:7">
      <c r="B72" s="70" t="str">
        <f t="array" ref="B72">IF(COUNTIFS(INDEX(Equipment_Allocation_New,0,MATCH($C$56,Unit_codes,0)),"&gt;0")&lt;ROWS('2.2-Equipment input'!$X$8:$X21),"N/A",INDEX('2.2-Equipment input'!B:B,SMALL(IF(INDEX(Equipment_Allocation_New,0,MATCH($C$56,Unit_codes,0))&gt;0,ROW(equipment_ID)),ROW('2.2-Equipment input'!B15))))</f>
        <v>N/A</v>
      </c>
      <c r="C72" s="70" t="str">
        <f>IF($B72="N/A","N/A",INDEX(Equipment_name[],MATCH(B72,equipment_ID,0)))</f>
        <v>N/A</v>
      </c>
      <c r="D72" s="81" t="str">
        <f t="shared" si="3"/>
        <v>N/A</v>
      </c>
      <c r="E72" s="88" t="str">
        <f t="shared" si="4"/>
        <v>N/A</v>
      </c>
      <c r="F72" s="125" t="str">
        <f t="shared" si="5"/>
        <v/>
      </c>
      <c r="G72" s="225" t="str">
        <f t="shared" si="6"/>
        <v/>
      </c>
    </row>
    <row r="73" spans="2:7">
      <c r="B73" s="70" t="str">
        <f t="array" ref="B73">IF(COUNTIFS(INDEX(Equipment_Allocation_New,0,MATCH($C$56,Unit_codes,0)),"&gt;0")&lt;ROWS('2.2-Equipment input'!$X$8:$X22),"N/A",INDEX('2.2-Equipment input'!B:B,SMALL(IF(INDEX(Equipment_Allocation_New,0,MATCH($C$56,Unit_codes,0))&gt;0,ROW(equipment_ID)),ROW('2.2-Equipment input'!B16))))</f>
        <v>N/A</v>
      </c>
      <c r="C73" s="70" t="str">
        <f>IF($B73="N/A","N/A",INDEX(Equipment_name[],MATCH(B73,equipment_ID,0)))</f>
        <v>N/A</v>
      </c>
      <c r="D73" s="81" t="str">
        <f t="shared" si="3"/>
        <v>N/A</v>
      </c>
      <c r="E73" s="88" t="str">
        <f t="shared" si="4"/>
        <v>N/A</v>
      </c>
      <c r="F73" s="125" t="str">
        <f t="shared" si="5"/>
        <v/>
      </c>
      <c r="G73" s="225" t="str">
        <f t="shared" si="6"/>
        <v/>
      </c>
    </row>
    <row r="74" spans="2:7">
      <c r="B74" s="70" t="str">
        <f t="array" ref="B74">IF(COUNTIFS(INDEX(Equipment_Allocation_New,0,MATCH($C$56,Unit_codes,0)),"&gt;0")&lt;ROWS('2.2-Equipment input'!$X$8:$X23),"N/A",INDEX('2.2-Equipment input'!B:B,SMALL(IF(INDEX(Equipment_Allocation_New,0,MATCH($C$56,Unit_codes,0))&gt;0,ROW(equipment_ID)),ROW('2.2-Equipment input'!B17))))</f>
        <v>N/A</v>
      </c>
      <c r="C74" s="70" t="str">
        <f>IF($B74="N/A","N/A",INDEX(Equipment_name[],MATCH(B74,equipment_ID,0)))</f>
        <v>N/A</v>
      </c>
      <c r="D74" s="81" t="str">
        <f t="shared" si="3"/>
        <v>N/A</v>
      </c>
      <c r="E74" s="88" t="str">
        <f t="shared" si="4"/>
        <v>N/A</v>
      </c>
      <c r="F74" s="125" t="str">
        <f t="shared" si="5"/>
        <v/>
      </c>
      <c r="G74" s="225" t="str">
        <f t="shared" si="6"/>
        <v/>
      </c>
    </row>
    <row r="75" spans="2:7">
      <c r="B75" s="70" t="str">
        <f t="array" ref="B75">IF(COUNTIFS(INDEX(Equipment_Allocation_New,0,MATCH($C$56,Unit_codes,0)),"&gt;0")&lt;ROWS('2.2-Equipment input'!$X$8:$X24),"N/A",INDEX('2.2-Equipment input'!B:B,SMALL(IF(INDEX(Equipment_Allocation_New,0,MATCH($C$56,Unit_codes,0))&gt;0,ROW(equipment_ID)),ROW('2.2-Equipment input'!B18))))</f>
        <v>N/A</v>
      </c>
      <c r="C75" s="70" t="str">
        <f>IF($B75="N/A","N/A",INDEX(Equipment_name[],MATCH(B75,equipment_ID,0)))</f>
        <v>N/A</v>
      </c>
      <c r="D75" s="81" t="str">
        <f t="shared" si="3"/>
        <v>N/A</v>
      </c>
      <c r="E75" s="88" t="str">
        <f t="shared" si="4"/>
        <v>N/A</v>
      </c>
      <c r="F75" s="125" t="str">
        <f t="shared" si="5"/>
        <v/>
      </c>
      <c r="G75" s="225" t="str">
        <f t="shared" si="6"/>
        <v/>
      </c>
    </row>
    <row r="76" spans="2:7">
      <c r="B76" s="70" t="str">
        <f t="array" ref="B76">IF(COUNTIFS(INDEX(Equipment_Allocation_New,0,MATCH($C$56,Unit_codes,0)),"&gt;0")&lt;ROWS('2.2-Equipment input'!$X$8:$X25),"N/A",INDEX('2.2-Equipment input'!B:B,SMALL(IF(INDEX(Equipment_Allocation_New,0,MATCH($C$56,Unit_codes,0))&gt;0,ROW(equipment_ID)),ROW('2.2-Equipment input'!B19))))</f>
        <v>N/A</v>
      </c>
      <c r="C76" s="70" t="str">
        <f>IF($B76="N/A","N/A",INDEX(Equipment_name[],MATCH(B76,equipment_ID,0)))</f>
        <v>N/A</v>
      </c>
      <c r="D76" s="81" t="str">
        <f t="shared" si="3"/>
        <v>N/A</v>
      </c>
      <c r="E76" s="88" t="str">
        <f t="shared" si="4"/>
        <v>N/A</v>
      </c>
      <c r="F76" s="125" t="str">
        <f t="shared" si="5"/>
        <v/>
      </c>
      <c r="G76" s="225" t="str">
        <f t="shared" si="6"/>
        <v/>
      </c>
    </row>
    <row r="77" spans="2:7">
      <c r="B77" s="70" t="str">
        <f t="array" ref="B77">IF(COUNTIFS(INDEX(Equipment_Allocation_New,0,MATCH($C$56,Unit_codes,0)),"&gt;0")&lt;ROWS('2.2-Equipment input'!$X$8:$X26),"N/A",INDEX('2.2-Equipment input'!B:B,SMALL(IF(INDEX(Equipment_Allocation_New,0,MATCH($C$56,Unit_codes,0))&gt;0,ROW(equipment_ID)),ROW('2.2-Equipment input'!B20))))</f>
        <v>N/A</v>
      </c>
      <c r="C77" s="70" t="str">
        <f>IF($B77="N/A","N/A",INDEX(Equipment_name[],MATCH(B77,equipment_ID,0)))</f>
        <v>N/A</v>
      </c>
      <c r="D77" s="81" t="str">
        <f t="shared" si="3"/>
        <v>N/A</v>
      </c>
      <c r="E77" s="88" t="str">
        <f t="shared" si="4"/>
        <v>N/A</v>
      </c>
      <c r="F77" s="125" t="str">
        <f t="shared" si="5"/>
        <v/>
      </c>
      <c r="G77" s="225" t="str">
        <f t="shared" si="6"/>
        <v/>
      </c>
    </row>
    <row r="78" spans="2:7">
      <c r="B78" s="70" t="str">
        <f t="array" ref="B78">IF(COUNTIFS(INDEX(Equipment_Allocation_New,0,MATCH($C$56,Unit_codes,0)),"&gt;0")&lt;ROWS('2.2-Equipment input'!$X$8:$X27),"N/A",INDEX('2.2-Equipment input'!B:B,SMALL(IF(INDEX(Equipment_Allocation_New,0,MATCH($C$56,Unit_codes,0))&gt;0,ROW(equipment_ID)),ROW('2.2-Equipment input'!B21))))</f>
        <v>N/A</v>
      </c>
      <c r="C78" s="70" t="str">
        <f>IF($B78="N/A","N/A",INDEX(Equipment_name[],MATCH(B78,equipment_ID,0)))</f>
        <v>N/A</v>
      </c>
      <c r="D78" s="81" t="str">
        <f t="shared" si="3"/>
        <v>N/A</v>
      </c>
      <c r="E78" s="88" t="str">
        <f t="shared" si="4"/>
        <v>N/A</v>
      </c>
      <c r="F78" s="125" t="str">
        <f t="shared" si="5"/>
        <v/>
      </c>
      <c r="G78" s="225" t="str">
        <f t="shared" si="6"/>
        <v/>
      </c>
    </row>
    <row r="79" spans="2:7">
      <c r="B79" s="70" t="str">
        <f t="array" ref="B79">IF(COUNTIFS(INDEX(Equipment_Allocation_New,0,MATCH($C$56,Unit_codes,0)),"&gt;0")&lt;ROWS('2.2-Equipment input'!$X$8:$X28),"N/A",INDEX('2.2-Equipment input'!B:B,SMALL(IF(INDEX(Equipment_Allocation_New,0,MATCH($C$56,Unit_codes,0))&gt;0,ROW(equipment_ID)),ROW('2.2-Equipment input'!B22))))</f>
        <v>N/A</v>
      </c>
      <c r="C79" s="70" t="str">
        <f>IF($B79="N/A","N/A",INDEX(Equipment_name[],MATCH(B79,equipment_ID,0)))</f>
        <v>N/A</v>
      </c>
      <c r="D79" s="81" t="str">
        <f t="shared" si="3"/>
        <v>N/A</v>
      </c>
      <c r="E79" s="88" t="str">
        <f t="shared" si="4"/>
        <v>N/A</v>
      </c>
      <c r="F79" s="125" t="str">
        <f t="shared" si="5"/>
        <v/>
      </c>
      <c r="G79" s="225" t="str">
        <f t="shared" si="6"/>
        <v/>
      </c>
    </row>
    <row r="80" spans="2:7">
      <c r="B80" s="70" t="str">
        <f t="array" ref="B80">IF(COUNTIFS(INDEX(Equipment_Allocation_New,0,MATCH($C$56,Unit_codes,0)),"&gt;0")&lt;ROWS('2.2-Equipment input'!$X$8:$X29),"N/A",INDEX('2.2-Equipment input'!B:B,SMALL(IF(INDEX(Equipment_Allocation_New,0,MATCH($C$56,Unit_codes,0))&gt;0,ROW(equipment_ID)),ROW('2.2-Equipment input'!B23))))</f>
        <v>N/A</v>
      </c>
      <c r="C80" s="70" t="str">
        <f>IF($B80="N/A","N/A",INDEX(Equipment_name[],MATCH(B80,equipment_ID,0)))</f>
        <v>N/A</v>
      </c>
      <c r="D80" s="81" t="str">
        <f t="shared" si="3"/>
        <v>N/A</v>
      </c>
      <c r="E80" s="88" t="str">
        <f t="shared" si="4"/>
        <v>N/A</v>
      </c>
      <c r="F80" s="125" t="str">
        <f t="shared" si="5"/>
        <v/>
      </c>
      <c r="G80" s="225" t="str">
        <f t="shared" si="6"/>
        <v/>
      </c>
    </row>
    <row r="81" spans="2:7">
      <c r="B81" s="70" t="str">
        <f t="array" ref="B81">IF(COUNTIFS(INDEX(Equipment_Allocation_New,0,MATCH($C$56,Unit_codes,0)),"&gt;0")&lt;ROWS('2.2-Equipment input'!$X$8:$X30),"N/A",INDEX('2.2-Equipment input'!B:B,SMALL(IF(INDEX(Equipment_Allocation_New,0,MATCH($C$56,Unit_codes,0))&gt;0,ROW(equipment_ID)),ROW('2.2-Equipment input'!B24))))</f>
        <v>N/A</v>
      </c>
      <c r="C81" s="70" t="str">
        <f>IF($B81="N/A","N/A",INDEX(Equipment_name[],MATCH(B81,equipment_ID,0)))</f>
        <v>N/A</v>
      </c>
      <c r="D81" s="81" t="str">
        <f t="shared" si="3"/>
        <v>N/A</v>
      </c>
      <c r="E81" s="88" t="str">
        <f t="shared" si="4"/>
        <v>N/A</v>
      </c>
      <c r="F81" s="125" t="str">
        <f t="shared" si="5"/>
        <v/>
      </c>
      <c r="G81" s="225" t="str">
        <f t="shared" si="6"/>
        <v/>
      </c>
    </row>
    <row r="82" spans="2:7">
      <c r="B82" s="70" t="str">
        <f t="array" ref="B82">IF(COUNTIFS(INDEX(Equipment_Allocation_New,0,MATCH($C$56,Unit_codes,0)),"&gt;0")&lt;ROWS('2.2-Equipment input'!$X$8:$X31),"N/A",INDEX('2.2-Equipment input'!B:B,SMALL(IF(INDEX(Equipment_Allocation_New,0,MATCH($C$56,Unit_codes,0))&gt;0,ROW(equipment_ID)),ROW('2.2-Equipment input'!B25))))</f>
        <v>N/A</v>
      </c>
      <c r="C82" s="70" t="str">
        <f>IF($B82="N/A","N/A",INDEX(Equipment_name[],MATCH(B82,equipment_ID,0)))</f>
        <v>N/A</v>
      </c>
      <c r="D82" s="81" t="str">
        <f t="shared" si="3"/>
        <v>N/A</v>
      </c>
      <c r="E82" s="88" t="str">
        <f t="shared" si="4"/>
        <v>N/A</v>
      </c>
      <c r="F82" s="125" t="str">
        <f t="shared" si="5"/>
        <v/>
      </c>
      <c r="G82" s="225" t="str">
        <f t="shared" si="6"/>
        <v/>
      </c>
    </row>
    <row r="83" spans="2:7">
      <c r="B83" s="70" t="str">
        <f t="array" ref="B83">IF(COUNTIFS(INDEX(Equipment_Allocation_New,0,MATCH($C$56,Unit_codes,0)),"&gt;0")&lt;ROWS('2.2-Equipment input'!$X$8:$X32),"N/A",INDEX('2.2-Equipment input'!B:B,SMALL(IF(INDEX(Equipment_Allocation_New,0,MATCH($C$56,Unit_codes,0))&gt;0,ROW(equipment_ID)),ROW('2.2-Equipment input'!B26))))</f>
        <v>N/A</v>
      </c>
      <c r="C83" s="70" t="str">
        <f>IF($B83="N/A","N/A",INDEX(Equipment_name[],MATCH(B83,equipment_ID,0)))</f>
        <v>N/A</v>
      </c>
      <c r="D83" s="81" t="str">
        <f t="shared" si="3"/>
        <v>N/A</v>
      </c>
      <c r="E83" s="88" t="str">
        <f t="shared" si="4"/>
        <v>N/A</v>
      </c>
      <c r="F83" s="125" t="str">
        <f t="shared" si="5"/>
        <v/>
      </c>
      <c r="G83" s="225" t="str">
        <f t="shared" si="6"/>
        <v/>
      </c>
    </row>
    <row r="84" spans="2:7">
      <c r="B84" s="70" t="str">
        <f t="array" ref="B84">IF(COUNTIFS(INDEX(Equipment_Allocation_New,0,MATCH($C$56,Unit_codes,0)),"&gt;0")&lt;ROWS('2.2-Equipment input'!$X$8:$X33),"N/A",INDEX('2.2-Equipment input'!B:B,SMALL(IF(INDEX(Equipment_Allocation_New,0,MATCH($C$56,Unit_codes,0))&gt;0,ROW(equipment_ID)),ROW('2.2-Equipment input'!B27))))</f>
        <v>N/A</v>
      </c>
      <c r="C84" s="70" t="str">
        <f>IF($B84="N/A","N/A",INDEX(Equipment_name[],MATCH(B84,equipment_ID,0)))</f>
        <v>N/A</v>
      </c>
      <c r="D84" s="81" t="str">
        <f t="shared" si="3"/>
        <v>N/A</v>
      </c>
      <c r="E84" s="88" t="str">
        <f t="shared" si="4"/>
        <v>N/A</v>
      </c>
      <c r="F84" s="125" t="str">
        <f t="shared" si="5"/>
        <v/>
      </c>
      <c r="G84" s="225" t="str">
        <f t="shared" si="6"/>
        <v/>
      </c>
    </row>
    <row r="85" spans="2:7">
      <c r="B85" s="70" t="str">
        <f t="array" ref="B85">IF(COUNTIFS(INDEX(Equipment_Allocation_New,0,MATCH($C$56,Unit_codes,0)),"&gt;0")&lt;ROWS('2.2-Equipment input'!$X$8:$X34),"N/A",INDEX('2.2-Equipment input'!B:B,SMALL(IF(INDEX(Equipment_Allocation_New,0,MATCH($C$56,Unit_codes,0))&gt;0,ROW(equipment_ID)),ROW('2.2-Equipment input'!B28))))</f>
        <v>N/A</v>
      </c>
      <c r="C85" s="70" t="str">
        <f>IF($B85="N/A","N/A",INDEX(Equipment_name[],MATCH(B85,equipment_ID,0)))</f>
        <v>N/A</v>
      </c>
      <c r="D85" s="81" t="str">
        <f t="shared" si="3"/>
        <v>N/A</v>
      </c>
      <c r="E85" s="88" t="str">
        <f t="shared" si="4"/>
        <v>N/A</v>
      </c>
      <c r="F85" s="125" t="str">
        <f t="shared" si="5"/>
        <v/>
      </c>
      <c r="G85" s="225" t="str">
        <f t="shared" si="6"/>
        <v/>
      </c>
    </row>
    <row r="86" spans="2:7">
      <c r="B86" s="70" t="str">
        <f t="array" ref="B86">IF(COUNTIFS(INDEX(Equipment_Allocation_New,0,MATCH($C$56,Unit_codes,0)),"&gt;0")&lt;ROWS('2.2-Equipment input'!$X$8:$X35),"N/A",INDEX('2.2-Equipment input'!B:B,SMALL(IF(INDEX(Equipment_Allocation_New,0,MATCH($C$56,Unit_codes,0))&gt;0,ROW(equipment_ID)),ROW('2.2-Equipment input'!B29))))</f>
        <v>N/A</v>
      </c>
      <c r="C86" s="70" t="str">
        <f>IF($B86="N/A","N/A",INDEX(Equipment_name[],MATCH(B86,equipment_ID,0)))</f>
        <v>N/A</v>
      </c>
      <c r="D86" s="81" t="str">
        <f t="shared" si="3"/>
        <v>N/A</v>
      </c>
      <c r="E86" s="88" t="str">
        <f t="shared" si="4"/>
        <v>N/A</v>
      </c>
      <c r="F86" s="125" t="str">
        <f t="shared" si="5"/>
        <v/>
      </c>
      <c r="G86" s="225" t="str">
        <f t="shared" si="6"/>
        <v/>
      </c>
    </row>
    <row r="87" spans="2:7">
      <c r="B87" s="70" t="str">
        <f t="array" ref="B87">IF(COUNTIFS(INDEX(Equipment_Allocation_New,0,MATCH($C$56,Unit_codes,0)),"&gt;0")&lt;ROWS('2.2-Equipment input'!$X$8:$X36),"N/A",INDEX('2.2-Equipment input'!B:B,SMALL(IF(INDEX(Equipment_Allocation_New,0,MATCH($C$56,Unit_codes,0))&gt;0,ROW(equipment_ID)),ROW('2.2-Equipment input'!B30))))</f>
        <v>N/A</v>
      </c>
      <c r="C87" s="70" t="str">
        <f>IF($B87="N/A","N/A",INDEX(Equipment_name[],MATCH(B87,equipment_ID,0)))</f>
        <v>N/A</v>
      </c>
      <c r="D87" s="81" t="str">
        <f t="shared" si="3"/>
        <v>N/A</v>
      </c>
      <c r="E87" s="88" t="str">
        <f t="shared" si="4"/>
        <v>N/A</v>
      </c>
      <c r="F87" s="125" t="str">
        <f t="shared" si="5"/>
        <v/>
      </c>
      <c r="G87" s="225" t="str">
        <f t="shared" si="6"/>
        <v/>
      </c>
    </row>
    <row r="88" spans="2:7">
      <c r="B88" s="70" t="str">
        <f t="array" ref="B88">IF(COUNTIFS(INDEX(Equipment_Allocation_New,0,MATCH($C$56,Unit_codes,0)),"&gt;0")&lt;ROWS('2.2-Equipment input'!$X$8:$X37),"N/A",INDEX('2.2-Equipment input'!B:B,SMALL(IF(INDEX(Equipment_Allocation_New,0,MATCH($C$56,Unit_codes,0))&gt;0,ROW(equipment_ID)),ROW('2.2-Equipment input'!B31))))</f>
        <v>N/A</v>
      </c>
      <c r="C88" s="70" t="str">
        <f>IF($B88="N/A","N/A",INDEX(Equipment_name[],MATCH(B88,equipment_ID,0)))</f>
        <v>N/A</v>
      </c>
      <c r="D88" s="81" t="str">
        <f t="shared" si="3"/>
        <v>N/A</v>
      </c>
      <c r="E88" s="88" t="str">
        <f t="shared" si="4"/>
        <v>N/A</v>
      </c>
      <c r="F88" s="125" t="str">
        <f t="shared" si="5"/>
        <v/>
      </c>
      <c r="G88" s="225" t="str">
        <f t="shared" si="6"/>
        <v/>
      </c>
    </row>
    <row r="89" spans="2:7">
      <c r="B89" s="70" t="str">
        <f t="array" ref="B89">IF(COUNTIFS(INDEX(Equipment_Allocation_New,0,MATCH($C$56,Unit_codes,0)),"&gt;0")&lt;ROWS('2.2-Equipment input'!$X$8:$X38),"N/A",INDEX('2.2-Equipment input'!B:B,SMALL(IF(INDEX(Equipment_Allocation_New,0,MATCH($C$56,Unit_codes,0))&gt;0,ROW(equipment_ID)),ROW('2.2-Equipment input'!B32))))</f>
        <v>N/A</v>
      </c>
      <c r="C89" s="70" t="str">
        <f>IF($B89="N/A","N/A",INDEX(Equipment_name[],MATCH(B89,equipment_ID,0)))</f>
        <v>N/A</v>
      </c>
      <c r="D89" s="81" t="str">
        <f t="shared" si="3"/>
        <v>N/A</v>
      </c>
      <c r="E89" s="88" t="str">
        <f t="shared" si="4"/>
        <v>N/A</v>
      </c>
      <c r="F89" s="125" t="str">
        <f t="shared" si="5"/>
        <v/>
      </c>
      <c r="G89" s="225" t="str">
        <f t="shared" si="6"/>
        <v/>
      </c>
    </row>
    <row r="90" spans="2:7">
      <c r="B90" s="70" t="str">
        <f t="array" ref="B90">IF(COUNTIFS(INDEX(Equipment_Allocation_New,0,MATCH($C$56,Unit_codes,0)),"&gt;0")&lt;ROWS('2.2-Equipment input'!$X$8:$X39),"N/A",INDEX('2.2-Equipment input'!B:B,SMALL(IF(INDEX(Equipment_Allocation_New,0,MATCH($C$56,Unit_codes,0))&gt;0,ROW(equipment_ID)),ROW('2.2-Equipment input'!B33))))</f>
        <v>N/A</v>
      </c>
      <c r="C90" s="70" t="str">
        <f>IF($B90="N/A","N/A",INDEX(Equipment_name[],MATCH(B90,equipment_ID,0)))</f>
        <v>N/A</v>
      </c>
      <c r="D90" s="81" t="str">
        <f t="shared" si="3"/>
        <v>N/A</v>
      </c>
      <c r="E90" s="88" t="str">
        <f t="shared" si="4"/>
        <v>N/A</v>
      </c>
      <c r="F90" s="125" t="str">
        <f t="shared" si="5"/>
        <v/>
      </c>
      <c r="G90" s="225" t="str">
        <f t="shared" si="6"/>
        <v/>
      </c>
    </row>
    <row r="91" spans="2:7">
      <c r="B91" s="70" t="str">
        <f t="array" ref="B91">IF(COUNTIFS(INDEX(Equipment_Allocation_New,0,MATCH($C$56,Unit_codes,0)),"&gt;0")&lt;ROWS('2.2-Equipment input'!$X$8:$X40),"N/A",INDEX('2.2-Equipment input'!B:B,SMALL(IF(INDEX(Equipment_Allocation_New,0,MATCH($C$56,Unit_codes,0))&gt;0,ROW(equipment_ID)),ROW('2.2-Equipment input'!B34))))</f>
        <v>N/A</v>
      </c>
      <c r="C91" s="70" t="str">
        <f>IF($B91="N/A","N/A",INDEX(Equipment_name[],MATCH(B91,equipment_ID,0)))</f>
        <v>N/A</v>
      </c>
      <c r="D91" s="81" t="str">
        <f t="shared" si="3"/>
        <v>N/A</v>
      </c>
      <c r="E91" s="88" t="str">
        <f t="shared" si="4"/>
        <v>N/A</v>
      </c>
      <c r="F91" s="125" t="str">
        <f t="shared" si="5"/>
        <v/>
      </c>
      <c r="G91" s="225" t="str">
        <f t="shared" si="6"/>
        <v/>
      </c>
    </row>
    <row r="92" spans="2:7">
      <c r="B92" s="70" t="str">
        <f t="array" ref="B92">IF(COUNTIFS(INDEX(Equipment_Allocation_New,0,MATCH($C$56,Unit_codes,0)),"&gt;0")&lt;ROWS('2.2-Equipment input'!$X$8:$X41),"N/A",INDEX('2.2-Equipment input'!B:B,SMALL(IF(INDEX(Equipment_Allocation_New,0,MATCH($C$56,Unit_codes,0))&gt;0,ROW(equipment_ID)),ROW('2.2-Equipment input'!B35))))</f>
        <v>N/A</v>
      </c>
      <c r="C92" s="70" t="str">
        <f>IF($B92="N/A","N/A",INDEX(Equipment_name[],MATCH(B92,equipment_ID,0)))</f>
        <v>N/A</v>
      </c>
      <c r="D92" s="81" t="str">
        <f t="shared" si="3"/>
        <v>N/A</v>
      </c>
      <c r="E92" s="88" t="str">
        <f t="shared" si="4"/>
        <v>N/A</v>
      </c>
      <c r="F92" s="125" t="str">
        <f t="shared" si="5"/>
        <v/>
      </c>
      <c r="G92" s="225" t="str">
        <f t="shared" si="6"/>
        <v/>
      </c>
    </row>
    <row r="93" spans="2:7">
      <c r="B93" s="70" t="str">
        <f t="array" ref="B93">IF(COUNTIFS(INDEX(Equipment_Allocation_New,0,MATCH($C$56,Unit_codes,0)),"&gt;0")&lt;ROWS('2.2-Equipment input'!$X$8:$X42),"N/A",INDEX('2.2-Equipment input'!B:B,SMALL(IF(INDEX(Equipment_Allocation_New,0,MATCH($C$56,Unit_codes,0))&gt;0,ROW(equipment_ID)),ROW('2.2-Equipment input'!B36))))</f>
        <v>N/A</v>
      </c>
      <c r="C93" s="70" t="str">
        <f>IF($B93="N/A","N/A",INDEX(Equipment_name[],MATCH(B93,equipment_ID,0)))</f>
        <v>N/A</v>
      </c>
      <c r="D93" s="81" t="str">
        <f t="shared" si="3"/>
        <v>N/A</v>
      </c>
      <c r="E93" s="88" t="str">
        <f t="shared" si="4"/>
        <v>N/A</v>
      </c>
      <c r="F93" s="125" t="str">
        <f t="shared" si="5"/>
        <v/>
      </c>
      <c r="G93" s="225" t="str">
        <f t="shared" si="6"/>
        <v/>
      </c>
    </row>
    <row r="94" spans="2:7">
      <c r="B94" s="70" t="str">
        <f t="array" ref="B94">IF(COUNTIFS(INDEX(Equipment_Allocation_New,0,MATCH($C$56,Unit_codes,0)),"&gt;0")&lt;ROWS('2.2-Equipment input'!$X$8:$X43),"N/A",INDEX('2.2-Equipment input'!B:B,SMALL(IF(INDEX(Equipment_Allocation_New,0,MATCH($C$56,Unit_codes,0))&gt;0,ROW(equipment_ID)),ROW('2.2-Equipment input'!B37))))</f>
        <v>N/A</v>
      </c>
      <c r="C94" s="70" t="str">
        <f>IF($B94="N/A","N/A",INDEX(Equipment_name[],MATCH(B94,equipment_ID,0)))</f>
        <v>N/A</v>
      </c>
      <c r="D94" s="81" t="str">
        <f t="shared" si="3"/>
        <v>N/A</v>
      </c>
      <c r="E94" s="88" t="str">
        <f t="shared" si="4"/>
        <v>N/A</v>
      </c>
      <c r="F94" s="125" t="str">
        <f t="shared" si="5"/>
        <v/>
      </c>
      <c r="G94" s="225" t="str">
        <f t="shared" si="6"/>
        <v/>
      </c>
    </row>
    <row r="95" spans="2:7">
      <c r="B95" s="70" t="str">
        <f t="array" ref="B95">IF(COUNTIFS(INDEX(Equipment_Allocation_New,0,MATCH($C$56,Unit_codes,0)),"&gt;0")&lt;ROWS('2.2-Equipment input'!$X$8:$X44),"N/A",INDEX('2.2-Equipment input'!B:B,SMALL(IF(INDEX(Equipment_Allocation_New,0,MATCH($C$56,Unit_codes,0))&gt;0,ROW(equipment_ID)),ROW('2.2-Equipment input'!B38))))</f>
        <v>N/A</v>
      </c>
      <c r="C95" s="70" t="str">
        <f>IF($B95="N/A","N/A",INDEX(Equipment_name[],MATCH(B95,equipment_ID,0)))</f>
        <v>N/A</v>
      </c>
      <c r="D95" s="81" t="str">
        <f t="shared" si="3"/>
        <v>N/A</v>
      </c>
      <c r="E95" s="88" t="str">
        <f t="shared" si="4"/>
        <v>N/A</v>
      </c>
      <c r="F95" s="125" t="str">
        <f t="shared" si="5"/>
        <v/>
      </c>
      <c r="G95" s="225" t="str">
        <f t="shared" si="6"/>
        <v/>
      </c>
    </row>
    <row r="96" spans="2:7">
      <c r="B96" s="70" t="str">
        <f t="array" ref="B96">IF(COUNTIFS(INDEX(Equipment_Allocation_New,0,MATCH($C$56,Unit_codes,0)),"&gt;0")&lt;ROWS('2.2-Equipment input'!$X$8:$X45),"N/A",INDEX('2.2-Equipment input'!B:B,SMALL(IF(INDEX(Equipment_Allocation_New,0,MATCH($C$56,Unit_codes,0))&gt;0,ROW(equipment_ID)),ROW('2.2-Equipment input'!B39))))</f>
        <v>N/A</v>
      </c>
      <c r="C96" s="70" t="str">
        <f>IF($B96="N/A","N/A",INDEX(Equipment_name[],MATCH(B96,equipment_ID,0)))</f>
        <v>N/A</v>
      </c>
      <c r="D96" s="81" t="str">
        <f t="shared" si="3"/>
        <v>N/A</v>
      </c>
      <c r="E96" s="88" t="str">
        <f t="shared" si="4"/>
        <v>N/A</v>
      </c>
      <c r="F96" s="125" t="str">
        <f t="shared" si="5"/>
        <v/>
      </c>
      <c r="G96" s="225" t="str">
        <f t="shared" si="6"/>
        <v/>
      </c>
    </row>
    <row r="97" ht="33" customHeight="1"/>
  </sheetData>
  <sheetProtection algorithmName="SHA-512" hashValue="+OkRystl4Uxwcs5zkz+PEz5MYYLMOdYChZYPif3oT9eLfUSqKDWuTWSHGSE1CVPG87HAgMTDd5tubazMhEVqTg==" saltValue="3m1SXvo2TiNR0KvvQdxKSQ==" spinCount="100000" sheet="1" objects="1" scenarios="1" selectLockedCells="1" selectUnlockedCells="1"/>
  <mergeCells count="1">
    <mergeCell ref="C5:D5"/>
  </mergeCells>
  <conditionalFormatting sqref="B59:D96">
    <cfRule type="containsText" dxfId="28" priority="29" operator="containsText" text="N/A">
      <formula>NOT(ISERROR(SEARCH("N/A",B59)))</formula>
    </cfRule>
  </conditionalFormatting>
  <conditionalFormatting sqref="E59:E96">
    <cfRule type="containsText" dxfId="27" priority="28" operator="containsText" text="N/A">
      <formula>NOT(ISERROR(SEARCH("N/A",E59)))</formula>
    </cfRule>
  </conditionalFormatting>
  <conditionalFormatting sqref="E8:E30 B8:B30">
    <cfRule type="containsText" dxfId="26" priority="27" operator="containsText" text="N/A">
      <formula>NOT(ISERROR(SEARCH("N/A",B8)))</formula>
    </cfRule>
  </conditionalFormatting>
  <conditionalFormatting sqref="C8:C30">
    <cfRule type="containsText" dxfId="25" priority="26" operator="containsText" text="N/A">
      <formula>NOT(ISERROR(SEARCH("N/A",C8)))</formula>
    </cfRule>
  </conditionalFormatting>
  <conditionalFormatting sqref="D8:D30">
    <cfRule type="containsText" dxfId="24" priority="25" operator="containsText" text="N/A">
      <formula>NOT(ISERROR(SEARCH("N/A",D8)))</formula>
    </cfRule>
  </conditionalFormatting>
  <conditionalFormatting sqref="F8:F30">
    <cfRule type="containsText" dxfId="23" priority="24" operator="containsText" text="N/A">
      <formula>NOT(ISERROR(SEARCH("N/A",F8)))</formula>
    </cfRule>
  </conditionalFormatting>
  <conditionalFormatting sqref="B35:C42">
    <cfRule type="containsText" dxfId="22" priority="23" operator="containsText" text="N/A">
      <formula>NOT(ISERROR(SEARCH("N/A",B35)))</formula>
    </cfRule>
  </conditionalFormatting>
  <conditionalFormatting sqref="D35:D42">
    <cfRule type="containsText" dxfId="21" priority="22" operator="containsText" text="N/A">
      <formula>NOT(ISERROR(SEARCH("N/A",D35)))</formula>
    </cfRule>
  </conditionalFormatting>
  <conditionalFormatting sqref="C45:C48">
    <cfRule type="expression" dxfId="20" priority="19">
      <formula>IF(INDIRECT("General_Currency_Selection")="CHF",TRUE)</formula>
    </cfRule>
    <cfRule type="expression" dxfId="19" priority="20">
      <formula>IF(INDIRECT("General_Currency_Selection")="EUR",TRUE)</formula>
    </cfRule>
    <cfRule type="expression" dxfId="18" priority="21">
      <formula>IF(INDIRECT("General_Currency_Selection")="USD",TRUE)</formula>
    </cfRule>
  </conditionalFormatting>
  <conditionalFormatting sqref="C51:C52">
    <cfRule type="expression" dxfId="17" priority="16">
      <formula>IF(INDIRECT("General_Currency_Selection")="CHF",TRUE)</formula>
    </cfRule>
    <cfRule type="expression" dxfId="16" priority="17">
      <formula>IF(INDIRECT("General_Currency_Selection")="EUR",TRUE)</formula>
    </cfRule>
    <cfRule type="expression" dxfId="15" priority="18">
      <formula>IF(INDIRECT("General_Currency_Selection")="USD",TRUE)</formula>
    </cfRule>
  </conditionalFormatting>
  <conditionalFormatting sqref="G32">
    <cfRule type="expression" dxfId="14" priority="13">
      <formula>IF(INDIRECT("General_Currency_Selection")="CHF",TRUE)</formula>
    </cfRule>
    <cfRule type="expression" dxfId="13" priority="14">
      <formula>IF(INDIRECT("General_Currency_Selection")="EUR",TRUE)</formula>
    </cfRule>
    <cfRule type="expression" dxfId="12" priority="15">
      <formula>IF(INDIRECT("General_Currency_Selection")="USD",TRUE)</formula>
    </cfRule>
  </conditionalFormatting>
  <conditionalFormatting sqref="G3">
    <cfRule type="expression" dxfId="11" priority="10">
      <formula>IF(INDIRECT("General_Currency_Selection")="CHF",TRUE)</formula>
    </cfRule>
    <cfRule type="expression" dxfId="10" priority="11">
      <formula>IF(INDIRECT("General_Currency_Selection")="EUR",TRUE)</formula>
    </cfRule>
    <cfRule type="expression" dxfId="9" priority="12">
      <formula>IF(INDIRECT("General_Currency_Selection")="USD",TRUE)</formula>
    </cfRule>
  </conditionalFormatting>
  <conditionalFormatting sqref="G8:G30">
    <cfRule type="expression" dxfId="8" priority="7">
      <formula>IF(INDIRECT("General_Currency_Selection")="CHF",TRUE)</formula>
    </cfRule>
    <cfRule type="expression" dxfId="7" priority="8">
      <formula>IF(INDIRECT("General_Currency_Selection")="EUR",TRUE)</formula>
    </cfRule>
    <cfRule type="expression" dxfId="6" priority="9">
      <formula>IF(INDIRECT("General_Currency_Selection")="USD",TRUE)</formula>
    </cfRule>
  </conditionalFormatting>
  <conditionalFormatting sqref="G54">
    <cfRule type="expression" dxfId="5" priority="4">
      <formula>IF(INDIRECT("General_Currency_Selection")="CHF",TRUE)</formula>
    </cfRule>
    <cfRule type="expression" dxfId="4" priority="5">
      <formula>IF(INDIRECT("General_Currency_Selection")="EUR",TRUE)</formula>
    </cfRule>
    <cfRule type="expression" dxfId="3" priority="6">
      <formula>IF(INDIRECT("General_Currency_Selection")="USD",TRUE)</formula>
    </cfRule>
  </conditionalFormatting>
  <conditionalFormatting sqref="G59:G96">
    <cfRule type="expression" dxfId="2" priority="1">
      <formula>IF(INDIRECT("General_Currency_Selection")="CHF",TRUE)</formula>
    </cfRule>
    <cfRule type="expression" dxfId="1" priority="2">
      <formula>IF(INDIRECT("General_Currency_Selection")="EUR",TRUE)</formula>
    </cfRule>
    <cfRule type="expression" dxfId="0" priority="3">
      <formula>IF(INDIRECT("General_Currency_Selection")="USD",TRUE)</formula>
    </cfRule>
  </conditionalFormatting>
  <dataValidations count="1">
    <dataValidation type="list" allowBlank="1" showInputMessage="1" showErrorMessage="1" sqref="C5 C56">
      <formula1>Unit_codes</formula1>
    </dataValidation>
  </dataValidation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sheetPr>
  <dimension ref="B1:W124"/>
  <sheetViews>
    <sheetView showGridLines="0" showRowColHeaders="0" zoomScale="70" zoomScaleNormal="70" workbookViewId="0">
      <pane xSplit="3" ySplit="3" topLeftCell="D52" activePane="bottomRight" state="frozen"/>
      <selection pane="topRight" activeCell="D1" sqref="D1"/>
      <selection pane="bottomLeft" activeCell="A5" sqref="A5"/>
      <selection pane="bottomRight" activeCell="F12" sqref="F12"/>
    </sheetView>
  </sheetViews>
  <sheetFormatPr defaultColWidth="11.1796875" defaultRowHeight="14.5"/>
  <cols>
    <col min="1" max="1" width="0.81640625" style="238" customWidth="1"/>
    <col min="2" max="2" width="11.81640625" style="238" customWidth="1"/>
    <col min="3" max="3" width="24.54296875" style="238" customWidth="1"/>
    <col min="4" max="4" width="20.453125" style="238" customWidth="1"/>
    <col min="5" max="5" width="19.7265625" style="238" customWidth="1"/>
    <col min="6" max="6" width="16.26953125" style="238" bestFit="1" customWidth="1"/>
    <col min="7" max="7" width="16.26953125" style="238" customWidth="1"/>
    <col min="8" max="8" width="15" style="238" customWidth="1"/>
    <col min="9" max="9" width="18.54296875" style="238" customWidth="1"/>
    <col min="10" max="14" width="11.1796875" style="238"/>
    <col min="15" max="15" width="15.453125" style="238" customWidth="1"/>
    <col min="16" max="16384" width="11.1796875" style="238"/>
  </cols>
  <sheetData>
    <row r="1" spans="2:23" ht="18.5">
      <c r="B1" s="497" t="s">
        <v>839</v>
      </c>
      <c r="C1" s="498"/>
      <c r="D1" s="498"/>
      <c r="E1" s="498"/>
      <c r="F1" s="498"/>
      <c r="G1" s="498"/>
      <c r="H1" s="498"/>
      <c r="I1" s="499"/>
      <c r="J1" s="255" t="s">
        <v>403</v>
      </c>
      <c r="K1" s="256"/>
      <c r="L1" s="256"/>
      <c r="M1" s="256"/>
      <c r="N1" s="256"/>
      <c r="O1" s="256"/>
      <c r="P1" s="256"/>
      <c r="Q1" s="256"/>
      <c r="R1" s="256"/>
      <c r="S1" s="257"/>
    </row>
    <row r="2" spans="2:23" ht="33" customHeight="1" thickBot="1">
      <c r="B2" s="240"/>
      <c r="C2" s="241"/>
      <c r="D2" s="241"/>
      <c r="E2" s="241"/>
      <c r="F2" s="241"/>
      <c r="G2" s="241"/>
      <c r="H2" s="241"/>
      <c r="I2" s="242"/>
      <c r="J2" s="243" t="str">
        <f>INDEX(Unit_codes,COLUMNS($J2:J2))</f>
        <v>U-W</v>
      </c>
      <c r="K2" s="244" t="str">
        <f>INDEX(Unit_codes,COLUMNS($J2:K2))</f>
        <v>U-T</v>
      </c>
      <c r="L2" s="244" t="str">
        <f>INDEX(Unit_codes,COLUMNS($J2:L2))</f>
        <v>U-H</v>
      </c>
      <c r="M2" s="244" t="str">
        <f>INDEX(Unit_codes,COLUMNS($J2:M2))</f>
        <v>U-N-Egg</v>
      </c>
      <c r="N2" s="244" t="str">
        <f>INDEX(Unit_codes,COLUMNS($J2:N2))</f>
        <v>U-N-5DOL</v>
      </c>
      <c r="O2" s="244" t="str">
        <f>INDEX(Unit_codes,COLUMNS($J2:O2))</f>
        <v>U-N-17DOL</v>
      </c>
      <c r="P2" s="244" t="str">
        <f>INDEX(Unit_codes,COLUMNS($J2:P2))</f>
        <v>U-P</v>
      </c>
      <c r="Q2" s="244" t="str">
        <f>INDEX(Unit_codes,COLUMNS($J2:Q2))</f>
        <v>U-R</v>
      </c>
      <c r="R2" s="244" t="str">
        <f>INDEX(Unit_codes,COLUMNS($J2:R2))</f>
        <v>SG&amp;A</v>
      </c>
      <c r="S2" s="245"/>
    </row>
    <row r="3" spans="2:23" ht="58">
      <c r="B3" s="67" t="s">
        <v>404</v>
      </c>
      <c r="C3" s="63" t="s">
        <v>405</v>
      </c>
      <c r="D3" s="64" t="s">
        <v>627</v>
      </c>
      <c r="E3" s="65" t="s">
        <v>632</v>
      </c>
      <c r="F3" s="65" t="s">
        <v>401</v>
      </c>
      <c r="G3" s="65" t="s">
        <v>700</v>
      </c>
      <c r="H3" s="65" t="s">
        <v>76</v>
      </c>
      <c r="I3" s="66" t="s">
        <v>402</v>
      </c>
      <c r="J3" s="246" t="s">
        <v>603</v>
      </c>
      <c r="K3" s="247" t="s">
        <v>604</v>
      </c>
      <c r="L3" s="247" t="s">
        <v>602</v>
      </c>
      <c r="M3" s="247" t="s">
        <v>600</v>
      </c>
      <c r="N3" s="247" t="s">
        <v>601</v>
      </c>
      <c r="O3" s="247" t="s">
        <v>602</v>
      </c>
      <c r="P3" s="247" t="s">
        <v>605</v>
      </c>
      <c r="Q3" s="247" t="s">
        <v>606</v>
      </c>
      <c r="R3" s="247"/>
      <c r="S3" s="68" t="s">
        <v>193</v>
      </c>
    </row>
    <row r="4" spans="2:23">
      <c r="B4" s="248" t="s">
        <v>301</v>
      </c>
      <c r="C4" s="684" t="s">
        <v>299</v>
      </c>
      <c r="D4" s="591"/>
      <c r="E4" s="591" t="s">
        <v>299</v>
      </c>
      <c r="F4" s="685">
        <f>'1.0-General input'!E62</f>
        <v>28244.439999999995</v>
      </c>
      <c r="G4" s="289">
        <f>IFERROR(F4/(INDEX(Settings_Currency_Table[],MATCH(General_Currency_Selection,Settings_Currency,0),2)),0)</f>
        <v>1.9999999999999998</v>
      </c>
      <c r="H4" s="591"/>
      <c r="I4" s="686"/>
      <c r="J4" s="687">
        <v>0</v>
      </c>
      <c r="K4" s="688">
        <v>0</v>
      </c>
      <c r="L4" s="688">
        <v>0</v>
      </c>
      <c r="M4" s="688">
        <v>0</v>
      </c>
      <c r="N4" s="688">
        <v>0</v>
      </c>
      <c r="O4" s="688">
        <v>0</v>
      </c>
      <c r="P4" s="688">
        <v>0</v>
      </c>
      <c r="Q4" s="688">
        <v>0</v>
      </c>
      <c r="R4" s="688">
        <v>0</v>
      </c>
      <c r="S4" s="249">
        <f t="shared" ref="S4:S35" si="0">SUM(J4:R4)</f>
        <v>0</v>
      </c>
    </row>
    <row r="5" spans="2:23">
      <c r="B5" s="250" t="s">
        <v>302</v>
      </c>
      <c r="C5" s="733" t="s">
        <v>103</v>
      </c>
      <c r="D5" s="734"/>
      <c r="E5" s="735"/>
      <c r="F5" s="736">
        <v>5000</v>
      </c>
      <c r="G5" s="289">
        <f>IFERROR(F5/(INDEX(Settings_Currency_Table[],MATCH(General_Currency_Selection,Settings_Currency,0),2)),0)</f>
        <v>0.35405198332840021</v>
      </c>
      <c r="H5" s="734" t="s">
        <v>911</v>
      </c>
      <c r="I5" s="741" t="s">
        <v>595</v>
      </c>
      <c r="J5" s="742">
        <v>0</v>
      </c>
      <c r="K5" s="743">
        <v>0</v>
      </c>
      <c r="L5" s="743">
        <v>0</v>
      </c>
      <c r="M5" s="743">
        <v>3.15</v>
      </c>
      <c r="N5" s="743">
        <v>4.4279999999999996E-3</v>
      </c>
      <c r="O5" s="743">
        <v>0</v>
      </c>
      <c r="P5" s="743">
        <v>0</v>
      </c>
      <c r="Q5" s="743">
        <v>0</v>
      </c>
      <c r="R5" s="743">
        <v>0</v>
      </c>
      <c r="S5" s="251">
        <f t="shared" si="0"/>
        <v>3.1544279999999998</v>
      </c>
    </row>
    <row r="6" spans="2:23" ht="15" customHeight="1">
      <c r="B6" s="248" t="s">
        <v>303</v>
      </c>
      <c r="C6" s="733" t="s">
        <v>104</v>
      </c>
      <c r="D6" s="734"/>
      <c r="E6" s="735"/>
      <c r="F6" s="736">
        <v>6900</v>
      </c>
      <c r="G6" s="289">
        <f>IFERROR(F6/(INDEX(Settings_Currency_Table[],MATCH(General_Currency_Selection,Settings_Currency,0),2)),0)</f>
        <v>0.4885917369931923</v>
      </c>
      <c r="H6" s="734" t="s">
        <v>912</v>
      </c>
      <c r="I6" s="741"/>
      <c r="J6" s="742">
        <v>0</v>
      </c>
      <c r="K6" s="743">
        <v>0</v>
      </c>
      <c r="L6" s="743">
        <v>0</v>
      </c>
      <c r="M6" s="743">
        <v>10.6</v>
      </c>
      <c r="N6" s="743">
        <v>1.897</v>
      </c>
      <c r="O6" s="743">
        <v>0</v>
      </c>
      <c r="P6" s="743">
        <v>0</v>
      </c>
      <c r="Q6" s="743">
        <v>0</v>
      </c>
      <c r="R6" s="743">
        <v>0</v>
      </c>
      <c r="S6" s="251">
        <f t="shared" si="0"/>
        <v>12.497</v>
      </c>
    </row>
    <row r="7" spans="2:23" ht="15" customHeight="1">
      <c r="B7" s="250" t="s">
        <v>304</v>
      </c>
      <c r="C7" s="733" t="s">
        <v>114</v>
      </c>
      <c r="D7" s="734"/>
      <c r="E7" s="735"/>
      <c r="F7" s="736">
        <v>0</v>
      </c>
      <c r="G7" s="289">
        <f>IFERROR(F7/(INDEX(Settings_Currency_Table[],MATCH(General_Currency_Selection,Settings_Currency,0),2)),0)</f>
        <v>0</v>
      </c>
      <c r="H7" s="734"/>
      <c r="I7" s="741" t="s">
        <v>597</v>
      </c>
      <c r="J7" s="742">
        <v>0</v>
      </c>
      <c r="K7" s="743">
        <v>0</v>
      </c>
      <c r="L7" s="743">
        <v>0</v>
      </c>
      <c r="M7" s="743">
        <v>58.58</v>
      </c>
      <c r="N7" s="743">
        <v>175.536</v>
      </c>
      <c r="O7" s="743">
        <v>0</v>
      </c>
      <c r="P7" s="743">
        <v>0</v>
      </c>
      <c r="Q7" s="743">
        <v>0</v>
      </c>
      <c r="R7" s="743">
        <v>0</v>
      </c>
      <c r="S7" s="251">
        <f t="shared" si="0"/>
        <v>234.11599999999999</v>
      </c>
      <c r="U7" s="252"/>
      <c r="V7" s="252"/>
      <c r="W7" s="252"/>
    </row>
    <row r="8" spans="2:23" ht="15" customHeight="1">
      <c r="B8" s="248" t="s">
        <v>305</v>
      </c>
      <c r="C8" s="733" t="s">
        <v>758</v>
      </c>
      <c r="D8" s="734"/>
      <c r="E8" s="735"/>
      <c r="F8" s="736">
        <v>0</v>
      </c>
      <c r="G8" s="289">
        <f>IFERROR(F8/(INDEX(Settings_Currency_Table[],MATCH(General_Currency_Selection,Settings_Currency,0),2)),0)</f>
        <v>0</v>
      </c>
      <c r="H8" s="734" t="s">
        <v>913</v>
      </c>
      <c r="I8" s="741" t="s">
        <v>596</v>
      </c>
      <c r="J8" s="742">
        <v>0</v>
      </c>
      <c r="K8" s="743">
        <v>0</v>
      </c>
      <c r="L8" s="743">
        <v>0</v>
      </c>
      <c r="M8" s="743">
        <v>0</v>
      </c>
      <c r="N8" s="743">
        <v>0</v>
      </c>
      <c r="O8" s="743">
        <v>0</v>
      </c>
      <c r="P8" s="743">
        <v>0</v>
      </c>
      <c r="Q8" s="743">
        <v>0</v>
      </c>
      <c r="R8" s="743">
        <v>0</v>
      </c>
      <c r="S8" s="251">
        <f t="shared" si="0"/>
        <v>0</v>
      </c>
    </row>
    <row r="9" spans="2:23" ht="15" customHeight="1">
      <c r="B9" s="250" t="s">
        <v>306</v>
      </c>
      <c r="C9" s="733" t="s">
        <v>115</v>
      </c>
      <c r="D9" s="734"/>
      <c r="E9" s="735"/>
      <c r="F9" s="736">
        <v>0</v>
      </c>
      <c r="G9" s="289">
        <f>IFERROR(F9/(INDEX(Settings_Currency_Table[],MATCH(General_Currency_Selection,Settings_Currency,0),2)),0)</f>
        <v>0</v>
      </c>
      <c r="H9" s="734"/>
      <c r="I9" s="741" t="s">
        <v>598</v>
      </c>
      <c r="J9" s="742">
        <v>0</v>
      </c>
      <c r="K9" s="743">
        <v>0</v>
      </c>
      <c r="L9" s="743">
        <v>0</v>
      </c>
      <c r="M9" s="743">
        <v>670.11898258121096</v>
      </c>
      <c r="N9" s="743">
        <v>0</v>
      </c>
      <c r="O9" s="743">
        <v>0</v>
      </c>
      <c r="P9" s="743">
        <v>0</v>
      </c>
      <c r="Q9" s="743">
        <v>0</v>
      </c>
      <c r="R9" s="743">
        <v>0</v>
      </c>
      <c r="S9" s="251">
        <f t="shared" si="0"/>
        <v>670.11898258121096</v>
      </c>
    </row>
    <row r="10" spans="2:23">
      <c r="B10" s="248" t="s">
        <v>307</v>
      </c>
      <c r="C10" s="733" t="s">
        <v>607</v>
      </c>
      <c r="D10" s="734" t="s">
        <v>874</v>
      </c>
      <c r="E10" s="735" t="s">
        <v>554</v>
      </c>
      <c r="F10" s="737">
        <v>2500</v>
      </c>
      <c r="G10" s="396">
        <f>IFERROR(F10/(INDEX(Settings_Currency_Table[],MATCH(General_Currency_Selection,Settings_Currency,0),2)),0)</f>
        <v>0.17702599166420011</v>
      </c>
      <c r="H10" s="744" t="s">
        <v>699</v>
      </c>
      <c r="I10" s="741" t="s">
        <v>895</v>
      </c>
      <c r="J10" s="742">
        <v>0</v>
      </c>
      <c r="K10" s="743">
        <v>0</v>
      </c>
      <c r="L10" s="743">
        <v>0</v>
      </c>
      <c r="M10" s="743">
        <v>0</v>
      </c>
      <c r="N10" s="743">
        <v>0</v>
      </c>
      <c r="O10" s="743">
        <v>0</v>
      </c>
      <c r="P10" s="743">
        <v>0</v>
      </c>
      <c r="Q10" s="743">
        <v>0</v>
      </c>
      <c r="R10" s="743">
        <v>0</v>
      </c>
      <c r="S10" s="251">
        <f t="shared" si="0"/>
        <v>0</v>
      </c>
    </row>
    <row r="11" spans="2:23">
      <c r="B11" s="250" t="s">
        <v>308</v>
      </c>
      <c r="C11" s="733" t="s">
        <v>607</v>
      </c>
      <c r="D11" s="734" t="s">
        <v>874</v>
      </c>
      <c r="E11" s="735" t="s">
        <v>613</v>
      </c>
      <c r="F11" s="737">
        <v>2500</v>
      </c>
      <c r="G11" s="289">
        <f>IFERROR(F11/(INDEX(Settings_Currency_Table[],MATCH(General_Currency_Selection,Settings_Currency,0),2)),0)</f>
        <v>0.17702599166420011</v>
      </c>
      <c r="H11" s="744" t="s">
        <v>699</v>
      </c>
      <c r="I11" s="741" t="s">
        <v>894</v>
      </c>
      <c r="J11" s="742">
        <v>0</v>
      </c>
      <c r="K11" s="743">
        <v>0</v>
      </c>
      <c r="L11" s="743">
        <v>0</v>
      </c>
      <c r="M11" s="743">
        <v>0</v>
      </c>
      <c r="N11" s="743">
        <v>0</v>
      </c>
      <c r="O11" s="743">
        <v>0</v>
      </c>
      <c r="P11" s="743">
        <v>0</v>
      </c>
      <c r="Q11" s="743">
        <v>0</v>
      </c>
      <c r="R11" s="743">
        <v>0</v>
      </c>
      <c r="S11" s="251">
        <f t="shared" si="0"/>
        <v>0</v>
      </c>
    </row>
    <row r="12" spans="2:23">
      <c r="B12" s="248" t="s">
        <v>309</v>
      </c>
      <c r="C12" s="733"/>
      <c r="D12" s="734"/>
      <c r="E12" s="735"/>
      <c r="F12" s="737"/>
      <c r="G12" s="289">
        <f>IFERROR(F12/(INDEX(Settings_Currency_Table[],MATCH(General_Currency_Selection,Settings_Currency,0),2)),0)</f>
        <v>0</v>
      </c>
      <c r="H12" s="744"/>
      <c r="I12" s="741"/>
      <c r="J12" s="742">
        <v>0</v>
      </c>
      <c r="K12" s="743">
        <v>0</v>
      </c>
      <c r="L12" s="743">
        <v>0</v>
      </c>
      <c r="M12" s="743">
        <v>0</v>
      </c>
      <c r="N12" s="743">
        <v>0</v>
      </c>
      <c r="O12" s="743">
        <v>0</v>
      </c>
      <c r="P12" s="743">
        <v>0</v>
      </c>
      <c r="Q12" s="743">
        <v>0</v>
      </c>
      <c r="R12" s="743">
        <v>0</v>
      </c>
      <c r="S12" s="251">
        <f t="shared" si="0"/>
        <v>0</v>
      </c>
    </row>
    <row r="13" spans="2:23">
      <c r="B13" s="250" t="s">
        <v>310</v>
      </c>
      <c r="C13" s="734"/>
      <c r="D13" s="734"/>
      <c r="E13" s="735"/>
      <c r="F13" s="737"/>
      <c r="G13" s="289">
        <f>IFERROR(F13/(INDEX(Settings_Currency_Table[],MATCH(General_Currency_Selection,Settings_Currency,0),2)),0)</f>
        <v>0</v>
      </c>
      <c r="H13" s="734"/>
      <c r="I13" s="741"/>
      <c r="J13" s="742">
        <v>0</v>
      </c>
      <c r="K13" s="743">
        <v>0</v>
      </c>
      <c r="L13" s="743">
        <v>0</v>
      </c>
      <c r="M13" s="743">
        <v>0</v>
      </c>
      <c r="N13" s="743">
        <v>0</v>
      </c>
      <c r="O13" s="743">
        <v>0</v>
      </c>
      <c r="P13" s="743">
        <v>0</v>
      </c>
      <c r="Q13" s="743">
        <v>0</v>
      </c>
      <c r="R13" s="743">
        <v>0</v>
      </c>
      <c r="S13" s="251">
        <f t="shared" si="0"/>
        <v>0</v>
      </c>
    </row>
    <row r="14" spans="2:23">
      <c r="B14" s="248" t="s">
        <v>311</v>
      </c>
      <c r="C14" s="733"/>
      <c r="D14" s="734"/>
      <c r="E14" s="735"/>
      <c r="F14" s="736"/>
      <c r="G14" s="289">
        <f>IFERROR(F14/(INDEX(Settings_Currency_Table[],MATCH(General_Currency_Selection,Settings_Currency,0),2)),0)</f>
        <v>0</v>
      </c>
      <c r="H14" s="734"/>
      <c r="I14" s="741"/>
      <c r="J14" s="742">
        <v>0</v>
      </c>
      <c r="K14" s="743">
        <v>0</v>
      </c>
      <c r="L14" s="743">
        <v>0</v>
      </c>
      <c r="M14" s="743">
        <v>0</v>
      </c>
      <c r="N14" s="743">
        <v>0</v>
      </c>
      <c r="O14" s="743">
        <v>0</v>
      </c>
      <c r="P14" s="743">
        <v>0</v>
      </c>
      <c r="Q14" s="743">
        <v>0</v>
      </c>
      <c r="R14" s="743">
        <v>0</v>
      </c>
      <c r="S14" s="251">
        <f t="shared" si="0"/>
        <v>0</v>
      </c>
    </row>
    <row r="15" spans="2:23">
      <c r="B15" s="250" t="s">
        <v>312</v>
      </c>
      <c r="C15" s="733"/>
      <c r="D15" s="734"/>
      <c r="E15" s="735"/>
      <c r="F15" s="736"/>
      <c r="G15" s="289">
        <f>IFERROR(F15/(INDEX(Settings_Currency_Table[],MATCH(General_Currency_Selection,Settings_Currency,0),2)),0)</f>
        <v>0</v>
      </c>
      <c r="H15" s="734"/>
      <c r="I15" s="741"/>
      <c r="J15" s="742">
        <v>0</v>
      </c>
      <c r="K15" s="743">
        <v>0</v>
      </c>
      <c r="L15" s="743">
        <v>0</v>
      </c>
      <c r="M15" s="743">
        <v>0</v>
      </c>
      <c r="N15" s="743">
        <v>0</v>
      </c>
      <c r="O15" s="743">
        <v>0</v>
      </c>
      <c r="P15" s="743">
        <v>0</v>
      </c>
      <c r="Q15" s="743">
        <v>0</v>
      </c>
      <c r="R15" s="743">
        <v>0</v>
      </c>
      <c r="S15" s="251">
        <f t="shared" si="0"/>
        <v>0</v>
      </c>
    </row>
    <row r="16" spans="2:23">
      <c r="B16" s="248" t="s">
        <v>313</v>
      </c>
      <c r="C16" s="733"/>
      <c r="D16" s="734"/>
      <c r="E16" s="735"/>
      <c r="F16" s="736"/>
      <c r="G16" s="289">
        <f>IFERROR(F16/(INDEX(Settings_Currency_Table[],MATCH(General_Currency_Selection,Settings_Currency,0),2)),0)</f>
        <v>0</v>
      </c>
      <c r="H16" s="734"/>
      <c r="I16" s="741"/>
      <c r="J16" s="742">
        <v>0</v>
      </c>
      <c r="K16" s="743">
        <v>0</v>
      </c>
      <c r="L16" s="743">
        <v>0</v>
      </c>
      <c r="M16" s="743">
        <v>0</v>
      </c>
      <c r="N16" s="743">
        <v>0</v>
      </c>
      <c r="O16" s="743">
        <v>0</v>
      </c>
      <c r="P16" s="743">
        <v>0</v>
      </c>
      <c r="Q16" s="743">
        <v>0</v>
      </c>
      <c r="R16" s="743">
        <v>0</v>
      </c>
      <c r="S16" s="251">
        <f t="shared" si="0"/>
        <v>0</v>
      </c>
    </row>
    <row r="17" spans="2:19">
      <c r="B17" s="250" t="s">
        <v>314</v>
      </c>
      <c r="C17" s="733"/>
      <c r="D17" s="734"/>
      <c r="E17" s="735"/>
      <c r="F17" s="736"/>
      <c r="G17" s="289">
        <f>IFERROR(F17/(INDEX(Settings_Currency_Table[],MATCH(General_Currency_Selection,Settings_Currency,0),2)),0)</f>
        <v>0</v>
      </c>
      <c r="H17" s="734"/>
      <c r="I17" s="741"/>
      <c r="J17" s="742">
        <v>0</v>
      </c>
      <c r="K17" s="743">
        <v>0</v>
      </c>
      <c r="L17" s="743">
        <v>0</v>
      </c>
      <c r="M17" s="743">
        <v>0</v>
      </c>
      <c r="N17" s="743">
        <v>0</v>
      </c>
      <c r="O17" s="743">
        <v>0</v>
      </c>
      <c r="P17" s="743">
        <v>0</v>
      </c>
      <c r="Q17" s="743">
        <v>0</v>
      </c>
      <c r="R17" s="743">
        <v>0</v>
      </c>
      <c r="S17" s="251">
        <f t="shared" si="0"/>
        <v>0</v>
      </c>
    </row>
    <row r="18" spans="2:19">
      <c r="B18" s="248" t="s">
        <v>315</v>
      </c>
      <c r="C18" s="733"/>
      <c r="D18" s="734"/>
      <c r="E18" s="735"/>
      <c r="F18" s="736"/>
      <c r="G18" s="289">
        <f>IFERROR(F18/(INDEX(Settings_Currency_Table[],MATCH(General_Currency_Selection,Settings_Currency,0),2)),0)</f>
        <v>0</v>
      </c>
      <c r="H18" s="734"/>
      <c r="I18" s="741"/>
      <c r="J18" s="742">
        <v>0</v>
      </c>
      <c r="K18" s="743">
        <v>0</v>
      </c>
      <c r="L18" s="743">
        <v>0</v>
      </c>
      <c r="M18" s="743">
        <v>0</v>
      </c>
      <c r="N18" s="743">
        <v>0</v>
      </c>
      <c r="O18" s="743">
        <v>0</v>
      </c>
      <c r="P18" s="743">
        <v>0</v>
      </c>
      <c r="Q18" s="743">
        <v>0</v>
      </c>
      <c r="R18" s="743">
        <v>0</v>
      </c>
      <c r="S18" s="251">
        <f t="shared" si="0"/>
        <v>0</v>
      </c>
    </row>
    <row r="19" spans="2:19" ht="15" customHeight="1">
      <c r="B19" s="250" t="s">
        <v>316</v>
      </c>
      <c r="C19" s="733"/>
      <c r="D19" s="734"/>
      <c r="E19" s="735"/>
      <c r="F19" s="736"/>
      <c r="G19" s="289">
        <f>IFERROR(F19/(INDEX(Settings_Currency_Table[],MATCH(General_Currency_Selection,Settings_Currency,0),2)),0)</f>
        <v>0</v>
      </c>
      <c r="H19" s="734"/>
      <c r="I19" s="741"/>
      <c r="J19" s="742">
        <v>0</v>
      </c>
      <c r="K19" s="743">
        <v>0</v>
      </c>
      <c r="L19" s="743">
        <v>0</v>
      </c>
      <c r="M19" s="743">
        <v>0</v>
      </c>
      <c r="N19" s="743">
        <v>0</v>
      </c>
      <c r="O19" s="743">
        <v>0</v>
      </c>
      <c r="P19" s="743">
        <v>0</v>
      </c>
      <c r="Q19" s="743">
        <v>0</v>
      </c>
      <c r="R19" s="743">
        <v>0</v>
      </c>
      <c r="S19" s="251">
        <f t="shared" si="0"/>
        <v>0</v>
      </c>
    </row>
    <row r="20" spans="2:19">
      <c r="B20" s="248" t="s">
        <v>317</v>
      </c>
      <c r="C20" s="733"/>
      <c r="D20" s="734"/>
      <c r="E20" s="735"/>
      <c r="F20" s="736"/>
      <c r="G20" s="289">
        <f>IFERROR(F20/(INDEX(Settings_Currency_Table[],MATCH(General_Currency_Selection,Settings_Currency,0),2)),0)</f>
        <v>0</v>
      </c>
      <c r="H20" s="734"/>
      <c r="I20" s="741"/>
      <c r="J20" s="742">
        <v>0</v>
      </c>
      <c r="K20" s="743">
        <v>0</v>
      </c>
      <c r="L20" s="743">
        <v>0</v>
      </c>
      <c r="M20" s="743">
        <v>0</v>
      </c>
      <c r="N20" s="743">
        <v>0</v>
      </c>
      <c r="O20" s="743">
        <v>0</v>
      </c>
      <c r="P20" s="743">
        <v>0</v>
      </c>
      <c r="Q20" s="743">
        <v>0</v>
      </c>
      <c r="R20" s="743">
        <v>0</v>
      </c>
      <c r="S20" s="251">
        <f t="shared" si="0"/>
        <v>0</v>
      </c>
    </row>
    <row r="21" spans="2:19" ht="15" customHeight="1">
      <c r="B21" s="250" t="s">
        <v>318</v>
      </c>
      <c r="C21" s="733"/>
      <c r="D21" s="734"/>
      <c r="E21" s="735"/>
      <c r="F21" s="736"/>
      <c r="G21" s="289">
        <f>IFERROR(F21/(INDEX(Settings_Currency_Table[],MATCH(General_Currency_Selection,Settings_Currency,0),2)),0)</f>
        <v>0</v>
      </c>
      <c r="H21" s="734"/>
      <c r="I21" s="741"/>
      <c r="J21" s="742">
        <v>0</v>
      </c>
      <c r="K21" s="743">
        <v>0</v>
      </c>
      <c r="L21" s="743">
        <v>0</v>
      </c>
      <c r="M21" s="743">
        <v>0</v>
      </c>
      <c r="N21" s="743">
        <v>0</v>
      </c>
      <c r="O21" s="743">
        <v>0</v>
      </c>
      <c r="P21" s="743">
        <v>0</v>
      </c>
      <c r="Q21" s="743">
        <v>0</v>
      </c>
      <c r="R21" s="743">
        <v>0</v>
      </c>
      <c r="S21" s="251">
        <f t="shared" si="0"/>
        <v>0</v>
      </c>
    </row>
    <row r="22" spans="2:19">
      <c r="B22" s="248" t="s">
        <v>319</v>
      </c>
      <c r="C22" s="733"/>
      <c r="D22" s="734"/>
      <c r="E22" s="735"/>
      <c r="F22" s="736"/>
      <c r="G22" s="289">
        <f>IFERROR(F22/(INDEX(Settings_Currency_Table[],MATCH(General_Currency_Selection,Settings_Currency,0),2)),0)</f>
        <v>0</v>
      </c>
      <c r="H22" s="734"/>
      <c r="I22" s="741"/>
      <c r="J22" s="742">
        <v>0</v>
      </c>
      <c r="K22" s="743">
        <v>0</v>
      </c>
      <c r="L22" s="743">
        <v>0</v>
      </c>
      <c r="M22" s="743">
        <v>0</v>
      </c>
      <c r="N22" s="743">
        <v>0</v>
      </c>
      <c r="O22" s="743">
        <v>0</v>
      </c>
      <c r="P22" s="743">
        <v>0</v>
      </c>
      <c r="Q22" s="743">
        <v>0</v>
      </c>
      <c r="R22" s="743">
        <v>0</v>
      </c>
      <c r="S22" s="251">
        <f t="shared" si="0"/>
        <v>0</v>
      </c>
    </row>
    <row r="23" spans="2:19">
      <c r="B23" s="250" t="s">
        <v>320</v>
      </c>
      <c r="C23" s="733"/>
      <c r="D23" s="734"/>
      <c r="E23" s="735"/>
      <c r="F23" s="736"/>
      <c r="G23" s="289">
        <f>IFERROR(F23/(INDEX(Settings_Currency_Table[],MATCH(General_Currency_Selection,Settings_Currency,0),2)),0)</f>
        <v>0</v>
      </c>
      <c r="H23" s="734"/>
      <c r="I23" s="741"/>
      <c r="J23" s="742">
        <v>0</v>
      </c>
      <c r="K23" s="743">
        <v>0</v>
      </c>
      <c r="L23" s="743">
        <v>0</v>
      </c>
      <c r="M23" s="743">
        <v>0</v>
      </c>
      <c r="N23" s="743">
        <v>0</v>
      </c>
      <c r="O23" s="743">
        <v>0</v>
      </c>
      <c r="P23" s="743">
        <v>0</v>
      </c>
      <c r="Q23" s="743">
        <v>0</v>
      </c>
      <c r="R23" s="743">
        <v>0</v>
      </c>
      <c r="S23" s="251">
        <f t="shared" si="0"/>
        <v>0</v>
      </c>
    </row>
    <row r="24" spans="2:19">
      <c r="B24" s="248" t="s">
        <v>321</v>
      </c>
      <c r="C24" s="733"/>
      <c r="D24" s="734"/>
      <c r="E24" s="735"/>
      <c r="F24" s="736"/>
      <c r="G24" s="289">
        <f>IFERROR(F24/(INDEX(Settings_Currency_Table[],MATCH(General_Currency_Selection,Settings_Currency,0),2)),0)</f>
        <v>0</v>
      </c>
      <c r="H24" s="734"/>
      <c r="I24" s="741"/>
      <c r="J24" s="742">
        <v>0</v>
      </c>
      <c r="K24" s="743">
        <v>0</v>
      </c>
      <c r="L24" s="743">
        <v>0</v>
      </c>
      <c r="M24" s="743">
        <v>0</v>
      </c>
      <c r="N24" s="743">
        <v>0</v>
      </c>
      <c r="O24" s="743">
        <v>0</v>
      </c>
      <c r="P24" s="743">
        <v>0</v>
      </c>
      <c r="Q24" s="743">
        <v>0</v>
      </c>
      <c r="R24" s="743">
        <v>0</v>
      </c>
      <c r="S24" s="251">
        <f t="shared" si="0"/>
        <v>0</v>
      </c>
    </row>
    <row r="25" spans="2:19">
      <c r="B25" s="250" t="s">
        <v>322</v>
      </c>
      <c r="C25" s="733"/>
      <c r="D25" s="734"/>
      <c r="E25" s="735"/>
      <c r="F25" s="736"/>
      <c r="G25" s="289">
        <f>IFERROR(F25/(INDEX(Settings_Currency_Table[],MATCH(General_Currency_Selection,Settings_Currency,0),2)),0)</f>
        <v>0</v>
      </c>
      <c r="H25" s="734"/>
      <c r="I25" s="741"/>
      <c r="J25" s="742">
        <v>0</v>
      </c>
      <c r="K25" s="743">
        <v>0</v>
      </c>
      <c r="L25" s="743">
        <v>0</v>
      </c>
      <c r="M25" s="743">
        <v>0</v>
      </c>
      <c r="N25" s="743">
        <v>0</v>
      </c>
      <c r="O25" s="743">
        <v>0</v>
      </c>
      <c r="P25" s="743">
        <v>0</v>
      </c>
      <c r="Q25" s="743">
        <v>0</v>
      </c>
      <c r="R25" s="743">
        <v>0</v>
      </c>
      <c r="S25" s="251">
        <f t="shared" si="0"/>
        <v>0</v>
      </c>
    </row>
    <row r="26" spans="2:19">
      <c r="B26" s="248" t="s">
        <v>323</v>
      </c>
      <c r="C26" s="733"/>
      <c r="D26" s="734"/>
      <c r="E26" s="735"/>
      <c r="F26" s="736"/>
      <c r="G26" s="289">
        <f>IFERROR(F26/(INDEX(Settings_Currency_Table[],MATCH(General_Currency_Selection,Settings_Currency,0),2)),0)</f>
        <v>0</v>
      </c>
      <c r="H26" s="734"/>
      <c r="I26" s="741"/>
      <c r="J26" s="742">
        <v>0</v>
      </c>
      <c r="K26" s="743">
        <v>0</v>
      </c>
      <c r="L26" s="743">
        <v>0</v>
      </c>
      <c r="M26" s="743">
        <v>0</v>
      </c>
      <c r="N26" s="743">
        <v>0</v>
      </c>
      <c r="O26" s="743">
        <v>0</v>
      </c>
      <c r="P26" s="743">
        <v>0</v>
      </c>
      <c r="Q26" s="743">
        <v>0</v>
      </c>
      <c r="R26" s="743">
        <v>0</v>
      </c>
      <c r="S26" s="251">
        <f t="shared" si="0"/>
        <v>0</v>
      </c>
    </row>
    <row r="27" spans="2:19" ht="15" customHeight="1">
      <c r="B27" s="250" t="s">
        <v>324</v>
      </c>
      <c r="C27" s="733"/>
      <c r="D27" s="734"/>
      <c r="E27" s="735"/>
      <c r="F27" s="736"/>
      <c r="G27" s="289">
        <f>IFERROR(F27/(INDEX(Settings_Currency_Table[],MATCH(General_Currency_Selection,Settings_Currency,0),2)),0)</f>
        <v>0</v>
      </c>
      <c r="H27" s="734"/>
      <c r="I27" s="741"/>
      <c r="J27" s="742">
        <v>0</v>
      </c>
      <c r="K27" s="743">
        <v>0</v>
      </c>
      <c r="L27" s="743">
        <v>0</v>
      </c>
      <c r="M27" s="743">
        <v>0</v>
      </c>
      <c r="N27" s="743">
        <v>0</v>
      </c>
      <c r="O27" s="743">
        <v>0</v>
      </c>
      <c r="P27" s="743">
        <v>0</v>
      </c>
      <c r="Q27" s="743">
        <v>0</v>
      </c>
      <c r="R27" s="743">
        <v>0</v>
      </c>
      <c r="S27" s="251">
        <f t="shared" si="0"/>
        <v>0</v>
      </c>
    </row>
    <row r="28" spans="2:19" ht="15" customHeight="1">
      <c r="B28" s="248" t="s">
        <v>325</v>
      </c>
      <c r="C28" s="733"/>
      <c r="D28" s="734"/>
      <c r="E28" s="735"/>
      <c r="F28" s="736"/>
      <c r="G28" s="289">
        <f>IFERROR(F28/(INDEX(Settings_Currency_Table[],MATCH(General_Currency_Selection,Settings_Currency,0),2)),0)</f>
        <v>0</v>
      </c>
      <c r="H28" s="734"/>
      <c r="I28" s="741"/>
      <c r="J28" s="742">
        <v>0</v>
      </c>
      <c r="K28" s="743">
        <v>0</v>
      </c>
      <c r="L28" s="743">
        <v>0</v>
      </c>
      <c r="M28" s="743">
        <v>0</v>
      </c>
      <c r="N28" s="743">
        <v>0</v>
      </c>
      <c r="O28" s="743">
        <v>0</v>
      </c>
      <c r="P28" s="743">
        <v>0</v>
      </c>
      <c r="Q28" s="743">
        <v>0</v>
      </c>
      <c r="R28" s="743">
        <v>0</v>
      </c>
      <c r="S28" s="251">
        <f t="shared" si="0"/>
        <v>0</v>
      </c>
    </row>
    <row r="29" spans="2:19">
      <c r="B29" s="250" t="s">
        <v>326</v>
      </c>
      <c r="C29" s="733"/>
      <c r="D29" s="734"/>
      <c r="E29" s="735"/>
      <c r="F29" s="736"/>
      <c r="G29" s="289">
        <f>IFERROR(F29/(INDEX(Settings_Currency_Table[],MATCH(General_Currency_Selection,Settings_Currency,0),2)),0)</f>
        <v>0</v>
      </c>
      <c r="H29" s="734"/>
      <c r="I29" s="741"/>
      <c r="J29" s="742">
        <v>0</v>
      </c>
      <c r="K29" s="743">
        <v>0</v>
      </c>
      <c r="L29" s="743">
        <v>0</v>
      </c>
      <c r="M29" s="743">
        <v>0</v>
      </c>
      <c r="N29" s="743">
        <v>0</v>
      </c>
      <c r="O29" s="743">
        <v>0</v>
      </c>
      <c r="P29" s="743">
        <v>0</v>
      </c>
      <c r="Q29" s="743">
        <v>0</v>
      </c>
      <c r="R29" s="743">
        <v>0</v>
      </c>
      <c r="S29" s="251">
        <f t="shared" si="0"/>
        <v>0</v>
      </c>
    </row>
    <row r="30" spans="2:19">
      <c r="B30" s="248" t="s">
        <v>327</v>
      </c>
      <c r="C30" s="733"/>
      <c r="D30" s="734"/>
      <c r="E30" s="735"/>
      <c r="F30" s="736"/>
      <c r="G30" s="289">
        <f>IFERROR(F30/(INDEX(Settings_Currency_Table[],MATCH(General_Currency_Selection,Settings_Currency,0),2)),0)</f>
        <v>0</v>
      </c>
      <c r="H30" s="734"/>
      <c r="I30" s="741"/>
      <c r="J30" s="742">
        <v>0</v>
      </c>
      <c r="K30" s="743">
        <v>0</v>
      </c>
      <c r="L30" s="743">
        <v>0</v>
      </c>
      <c r="M30" s="743">
        <v>0</v>
      </c>
      <c r="N30" s="743">
        <v>0</v>
      </c>
      <c r="O30" s="743">
        <v>0</v>
      </c>
      <c r="P30" s="743">
        <v>0</v>
      </c>
      <c r="Q30" s="743">
        <v>0</v>
      </c>
      <c r="R30" s="743">
        <v>0</v>
      </c>
      <c r="S30" s="251">
        <f t="shared" si="0"/>
        <v>0</v>
      </c>
    </row>
    <row r="31" spans="2:19">
      <c r="B31" s="250" t="s">
        <v>328</v>
      </c>
      <c r="C31" s="733"/>
      <c r="D31" s="734"/>
      <c r="E31" s="735"/>
      <c r="F31" s="736"/>
      <c r="G31" s="289">
        <f>IFERROR(F31/(INDEX(Settings_Currency_Table[],MATCH(General_Currency_Selection,Settings_Currency,0),2)),0)</f>
        <v>0</v>
      </c>
      <c r="H31" s="734"/>
      <c r="I31" s="741"/>
      <c r="J31" s="742">
        <v>0</v>
      </c>
      <c r="K31" s="743">
        <v>0</v>
      </c>
      <c r="L31" s="743">
        <v>0</v>
      </c>
      <c r="M31" s="743">
        <v>0</v>
      </c>
      <c r="N31" s="743">
        <v>0</v>
      </c>
      <c r="O31" s="743">
        <v>0</v>
      </c>
      <c r="P31" s="743">
        <v>0</v>
      </c>
      <c r="Q31" s="743">
        <v>0</v>
      </c>
      <c r="R31" s="743">
        <v>0</v>
      </c>
      <c r="S31" s="251">
        <f t="shared" si="0"/>
        <v>0</v>
      </c>
    </row>
    <row r="32" spans="2:19">
      <c r="B32" s="248" t="s">
        <v>329</v>
      </c>
      <c r="C32" s="733"/>
      <c r="D32" s="734"/>
      <c r="E32" s="735"/>
      <c r="F32" s="736"/>
      <c r="G32" s="289">
        <f>IFERROR(F32/(INDEX(Settings_Currency_Table[],MATCH(General_Currency_Selection,Settings_Currency,0),2)),0)</f>
        <v>0</v>
      </c>
      <c r="H32" s="734"/>
      <c r="I32" s="741"/>
      <c r="J32" s="742">
        <v>0</v>
      </c>
      <c r="K32" s="743">
        <v>0</v>
      </c>
      <c r="L32" s="743">
        <v>0</v>
      </c>
      <c r="M32" s="743">
        <v>0</v>
      </c>
      <c r="N32" s="743">
        <v>0</v>
      </c>
      <c r="O32" s="743">
        <v>0</v>
      </c>
      <c r="P32" s="743">
        <v>0</v>
      </c>
      <c r="Q32" s="743">
        <v>0</v>
      </c>
      <c r="R32" s="743">
        <v>0</v>
      </c>
      <c r="S32" s="251">
        <f t="shared" si="0"/>
        <v>0</v>
      </c>
    </row>
    <row r="33" spans="2:19">
      <c r="B33" s="250" t="s">
        <v>330</v>
      </c>
      <c r="C33" s="733"/>
      <c r="D33" s="734"/>
      <c r="E33" s="735"/>
      <c r="F33" s="736"/>
      <c r="G33" s="289">
        <f>IFERROR(F33/(INDEX(Settings_Currency_Table[],MATCH(General_Currency_Selection,Settings_Currency,0),2)),0)</f>
        <v>0</v>
      </c>
      <c r="H33" s="734"/>
      <c r="I33" s="741"/>
      <c r="J33" s="742">
        <v>0</v>
      </c>
      <c r="K33" s="743">
        <v>0</v>
      </c>
      <c r="L33" s="743">
        <v>0</v>
      </c>
      <c r="M33" s="743">
        <v>0</v>
      </c>
      <c r="N33" s="743">
        <v>0</v>
      </c>
      <c r="O33" s="743">
        <v>0</v>
      </c>
      <c r="P33" s="743">
        <v>0</v>
      </c>
      <c r="Q33" s="743">
        <v>0</v>
      </c>
      <c r="R33" s="743">
        <v>0</v>
      </c>
      <c r="S33" s="251">
        <f t="shared" si="0"/>
        <v>0</v>
      </c>
    </row>
    <row r="34" spans="2:19">
      <c r="B34" s="248" t="s">
        <v>331</v>
      </c>
      <c r="C34" s="733"/>
      <c r="D34" s="734"/>
      <c r="E34" s="735"/>
      <c r="F34" s="736"/>
      <c r="G34" s="289">
        <f>IFERROR(F34/(INDEX(Settings_Currency_Table[],MATCH(General_Currency_Selection,Settings_Currency,0),2)),0)</f>
        <v>0</v>
      </c>
      <c r="H34" s="734"/>
      <c r="I34" s="741"/>
      <c r="J34" s="742">
        <v>0</v>
      </c>
      <c r="K34" s="743">
        <v>0</v>
      </c>
      <c r="L34" s="743">
        <v>0</v>
      </c>
      <c r="M34" s="743">
        <v>0</v>
      </c>
      <c r="N34" s="743">
        <v>0</v>
      </c>
      <c r="O34" s="743">
        <v>0</v>
      </c>
      <c r="P34" s="743">
        <v>0</v>
      </c>
      <c r="Q34" s="743">
        <v>0</v>
      </c>
      <c r="R34" s="743">
        <v>0</v>
      </c>
      <c r="S34" s="251">
        <f t="shared" si="0"/>
        <v>0</v>
      </c>
    </row>
    <row r="35" spans="2:19">
      <c r="B35" s="250" t="s">
        <v>332</v>
      </c>
      <c r="C35" s="733"/>
      <c r="D35" s="734"/>
      <c r="E35" s="735"/>
      <c r="F35" s="736"/>
      <c r="G35" s="289">
        <f>IFERROR(F35/(INDEX(Settings_Currency_Table[],MATCH(General_Currency_Selection,Settings_Currency,0),2)),0)</f>
        <v>0</v>
      </c>
      <c r="H35" s="734"/>
      <c r="I35" s="741"/>
      <c r="J35" s="742">
        <v>0</v>
      </c>
      <c r="K35" s="743">
        <v>0</v>
      </c>
      <c r="L35" s="743">
        <v>0</v>
      </c>
      <c r="M35" s="743">
        <v>0</v>
      </c>
      <c r="N35" s="743">
        <v>0</v>
      </c>
      <c r="O35" s="743">
        <v>0</v>
      </c>
      <c r="P35" s="743">
        <v>0</v>
      </c>
      <c r="Q35" s="743">
        <v>0</v>
      </c>
      <c r="R35" s="743">
        <v>0</v>
      </c>
      <c r="S35" s="251">
        <f t="shared" si="0"/>
        <v>0</v>
      </c>
    </row>
    <row r="36" spans="2:19">
      <c r="B36" s="248" t="s">
        <v>333</v>
      </c>
      <c r="C36" s="733"/>
      <c r="D36" s="734"/>
      <c r="E36" s="735"/>
      <c r="F36" s="736"/>
      <c r="G36" s="289">
        <f>IFERROR(F36/(INDEX(Settings_Currency_Table[],MATCH(General_Currency_Selection,Settings_Currency,0),2)),0)</f>
        <v>0</v>
      </c>
      <c r="H36" s="734"/>
      <c r="I36" s="741"/>
      <c r="J36" s="742">
        <v>0</v>
      </c>
      <c r="K36" s="743">
        <v>0</v>
      </c>
      <c r="L36" s="743">
        <v>0</v>
      </c>
      <c r="M36" s="743">
        <v>0</v>
      </c>
      <c r="N36" s="743">
        <v>0</v>
      </c>
      <c r="O36" s="743">
        <v>0</v>
      </c>
      <c r="P36" s="743">
        <v>0</v>
      </c>
      <c r="Q36" s="743">
        <v>0</v>
      </c>
      <c r="R36" s="743">
        <v>0</v>
      </c>
      <c r="S36" s="251">
        <f t="shared" ref="S36:S67" si="1">SUM(J36:R36)</f>
        <v>0</v>
      </c>
    </row>
    <row r="37" spans="2:19">
      <c r="B37" s="250" t="s">
        <v>334</v>
      </c>
      <c r="C37" s="733"/>
      <c r="D37" s="734"/>
      <c r="E37" s="735"/>
      <c r="F37" s="736"/>
      <c r="G37" s="289">
        <f>IFERROR(F37/(INDEX(Settings_Currency_Table[],MATCH(General_Currency_Selection,Settings_Currency,0),2)),0)</f>
        <v>0</v>
      </c>
      <c r="H37" s="734"/>
      <c r="I37" s="741"/>
      <c r="J37" s="742">
        <v>0</v>
      </c>
      <c r="K37" s="743">
        <v>0</v>
      </c>
      <c r="L37" s="743">
        <v>0</v>
      </c>
      <c r="M37" s="743">
        <v>0</v>
      </c>
      <c r="N37" s="743">
        <v>0</v>
      </c>
      <c r="O37" s="743">
        <v>0</v>
      </c>
      <c r="P37" s="743">
        <v>0</v>
      </c>
      <c r="Q37" s="743">
        <v>0</v>
      </c>
      <c r="R37" s="743">
        <v>0</v>
      </c>
      <c r="S37" s="251">
        <f t="shared" si="1"/>
        <v>0</v>
      </c>
    </row>
    <row r="38" spans="2:19">
      <c r="B38" s="248" t="s">
        <v>335</v>
      </c>
      <c r="C38" s="733"/>
      <c r="D38" s="734"/>
      <c r="E38" s="735"/>
      <c r="F38" s="736"/>
      <c r="G38" s="289">
        <f>IFERROR(F38/(INDEX(Settings_Currency_Table[],MATCH(General_Currency_Selection,Settings_Currency,0),2)),0)</f>
        <v>0</v>
      </c>
      <c r="H38" s="734"/>
      <c r="I38" s="741"/>
      <c r="J38" s="742">
        <v>0</v>
      </c>
      <c r="K38" s="743">
        <v>0</v>
      </c>
      <c r="L38" s="743">
        <v>0</v>
      </c>
      <c r="M38" s="743">
        <v>0</v>
      </c>
      <c r="N38" s="743">
        <v>0</v>
      </c>
      <c r="O38" s="743">
        <v>0</v>
      </c>
      <c r="P38" s="743">
        <v>0</v>
      </c>
      <c r="Q38" s="743">
        <v>0</v>
      </c>
      <c r="R38" s="743">
        <v>0</v>
      </c>
      <c r="S38" s="251">
        <f t="shared" si="1"/>
        <v>0</v>
      </c>
    </row>
    <row r="39" spans="2:19">
      <c r="B39" s="250" t="s">
        <v>336</v>
      </c>
      <c r="C39" s="733"/>
      <c r="D39" s="734"/>
      <c r="E39" s="735"/>
      <c r="F39" s="736"/>
      <c r="G39" s="289">
        <f>IFERROR(F39/(INDEX(Settings_Currency_Table[],MATCH(General_Currency_Selection,Settings_Currency,0),2)),0)</f>
        <v>0</v>
      </c>
      <c r="H39" s="734"/>
      <c r="I39" s="741"/>
      <c r="J39" s="742">
        <v>0</v>
      </c>
      <c r="K39" s="743">
        <v>0</v>
      </c>
      <c r="L39" s="743">
        <v>0</v>
      </c>
      <c r="M39" s="743">
        <v>0</v>
      </c>
      <c r="N39" s="743">
        <v>0</v>
      </c>
      <c r="O39" s="743">
        <v>0</v>
      </c>
      <c r="P39" s="743">
        <v>0</v>
      </c>
      <c r="Q39" s="743">
        <v>0</v>
      </c>
      <c r="R39" s="743">
        <v>0</v>
      </c>
      <c r="S39" s="251">
        <f t="shared" si="1"/>
        <v>0</v>
      </c>
    </row>
    <row r="40" spans="2:19">
      <c r="B40" s="248" t="s">
        <v>337</v>
      </c>
      <c r="C40" s="733"/>
      <c r="D40" s="734"/>
      <c r="E40" s="735"/>
      <c r="F40" s="736"/>
      <c r="G40" s="289">
        <f>IFERROR(F40/(INDEX(Settings_Currency_Table[],MATCH(General_Currency_Selection,Settings_Currency,0),2)),0)</f>
        <v>0</v>
      </c>
      <c r="H40" s="734"/>
      <c r="I40" s="741"/>
      <c r="J40" s="742">
        <v>0</v>
      </c>
      <c r="K40" s="743">
        <v>0</v>
      </c>
      <c r="L40" s="743">
        <v>0</v>
      </c>
      <c r="M40" s="743">
        <v>0</v>
      </c>
      <c r="N40" s="743">
        <v>0</v>
      </c>
      <c r="O40" s="743">
        <v>0</v>
      </c>
      <c r="P40" s="743">
        <v>0</v>
      </c>
      <c r="Q40" s="743">
        <v>0</v>
      </c>
      <c r="R40" s="743">
        <v>0</v>
      </c>
      <c r="S40" s="251">
        <f t="shared" si="1"/>
        <v>0</v>
      </c>
    </row>
    <row r="41" spans="2:19">
      <c r="B41" s="250" t="s">
        <v>338</v>
      </c>
      <c r="C41" s="733"/>
      <c r="D41" s="734"/>
      <c r="E41" s="735"/>
      <c r="F41" s="736"/>
      <c r="G41" s="289">
        <f>IFERROR(F41/(INDEX(Settings_Currency_Table[],MATCH(General_Currency_Selection,Settings_Currency,0),2)),0)</f>
        <v>0</v>
      </c>
      <c r="H41" s="734"/>
      <c r="I41" s="741"/>
      <c r="J41" s="742">
        <v>0</v>
      </c>
      <c r="K41" s="743">
        <v>0</v>
      </c>
      <c r="L41" s="743">
        <v>0</v>
      </c>
      <c r="M41" s="743">
        <v>0</v>
      </c>
      <c r="N41" s="743">
        <v>0</v>
      </c>
      <c r="O41" s="743">
        <v>0</v>
      </c>
      <c r="P41" s="743">
        <v>0</v>
      </c>
      <c r="Q41" s="743">
        <v>0</v>
      </c>
      <c r="R41" s="743">
        <v>0</v>
      </c>
      <c r="S41" s="251">
        <f t="shared" si="1"/>
        <v>0</v>
      </c>
    </row>
    <row r="42" spans="2:19">
      <c r="B42" s="248" t="s">
        <v>339</v>
      </c>
      <c r="C42" s="733"/>
      <c r="D42" s="734"/>
      <c r="E42" s="735"/>
      <c r="F42" s="736"/>
      <c r="G42" s="289">
        <f>IFERROR(F42/(INDEX(Settings_Currency_Table[],MATCH(General_Currency_Selection,Settings_Currency,0),2)),0)</f>
        <v>0</v>
      </c>
      <c r="H42" s="734"/>
      <c r="I42" s="741"/>
      <c r="J42" s="742">
        <v>0</v>
      </c>
      <c r="K42" s="743">
        <v>0</v>
      </c>
      <c r="L42" s="743">
        <v>0</v>
      </c>
      <c r="M42" s="743">
        <v>0</v>
      </c>
      <c r="N42" s="743">
        <v>0</v>
      </c>
      <c r="O42" s="743">
        <v>0</v>
      </c>
      <c r="P42" s="743">
        <v>0</v>
      </c>
      <c r="Q42" s="743">
        <v>0</v>
      </c>
      <c r="R42" s="743">
        <v>0</v>
      </c>
      <c r="S42" s="251">
        <f t="shared" si="1"/>
        <v>0</v>
      </c>
    </row>
    <row r="43" spans="2:19">
      <c r="B43" s="250" t="s">
        <v>340</v>
      </c>
      <c r="C43" s="733"/>
      <c r="D43" s="734"/>
      <c r="E43" s="735"/>
      <c r="F43" s="736"/>
      <c r="G43" s="289">
        <f>IFERROR(F43/(INDEX(Settings_Currency_Table[],MATCH(General_Currency_Selection,Settings_Currency,0),2)),0)</f>
        <v>0</v>
      </c>
      <c r="H43" s="734"/>
      <c r="I43" s="741"/>
      <c r="J43" s="742">
        <v>0</v>
      </c>
      <c r="K43" s="743">
        <v>0</v>
      </c>
      <c r="L43" s="743">
        <v>0</v>
      </c>
      <c r="M43" s="743">
        <v>0</v>
      </c>
      <c r="N43" s="743">
        <v>0</v>
      </c>
      <c r="O43" s="743">
        <v>0</v>
      </c>
      <c r="P43" s="743">
        <v>0</v>
      </c>
      <c r="Q43" s="743">
        <v>0</v>
      </c>
      <c r="R43" s="743">
        <v>0</v>
      </c>
      <c r="S43" s="251">
        <f t="shared" si="1"/>
        <v>0</v>
      </c>
    </row>
    <row r="44" spans="2:19">
      <c r="B44" s="248" t="s">
        <v>341</v>
      </c>
      <c r="C44" s="733"/>
      <c r="D44" s="734"/>
      <c r="E44" s="735"/>
      <c r="F44" s="736"/>
      <c r="G44" s="289">
        <f>IFERROR(F44/(INDEX(Settings_Currency_Table[],MATCH(General_Currency_Selection,Settings_Currency,0),2)),0)</f>
        <v>0</v>
      </c>
      <c r="H44" s="734"/>
      <c r="I44" s="741"/>
      <c r="J44" s="742">
        <v>0</v>
      </c>
      <c r="K44" s="743">
        <v>0</v>
      </c>
      <c r="L44" s="743">
        <v>0</v>
      </c>
      <c r="M44" s="743">
        <v>0</v>
      </c>
      <c r="N44" s="743">
        <v>0</v>
      </c>
      <c r="O44" s="743">
        <v>0</v>
      </c>
      <c r="P44" s="743">
        <v>0</v>
      </c>
      <c r="Q44" s="743">
        <v>0</v>
      </c>
      <c r="R44" s="743">
        <v>0</v>
      </c>
      <c r="S44" s="251">
        <f t="shared" si="1"/>
        <v>0</v>
      </c>
    </row>
    <row r="45" spans="2:19">
      <c r="B45" s="250" t="s">
        <v>342</v>
      </c>
      <c r="C45" s="733"/>
      <c r="D45" s="734"/>
      <c r="E45" s="735"/>
      <c r="F45" s="736"/>
      <c r="G45" s="289">
        <f>IFERROR(F45/(INDEX(Settings_Currency_Table[],MATCH(General_Currency_Selection,Settings_Currency,0),2)),0)</f>
        <v>0</v>
      </c>
      <c r="H45" s="734"/>
      <c r="I45" s="741"/>
      <c r="J45" s="742">
        <v>0</v>
      </c>
      <c r="K45" s="743">
        <v>0</v>
      </c>
      <c r="L45" s="743">
        <v>0</v>
      </c>
      <c r="M45" s="743">
        <v>0</v>
      </c>
      <c r="N45" s="743">
        <v>0</v>
      </c>
      <c r="O45" s="743">
        <v>0</v>
      </c>
      <c r="P45" s="743">
        <v>0</v>
      </c>
      <c r="Q45" s="743">
        <v>0</v>
      </c>
      <c r="R45" s="743">
        <v>0</v>
      </c>
      <c r="S45" s="251">
        <f t="shared" si="1"/>
        <v>0</v>
      </c>
    </row>
    <row r="46" spans="2:19">
      <c r="B46" s="248" t="s">
        <v>343</v>
      </c>
      <c r="C46" s="733"/>
      <c r="D46" s="734"/>
      <c r="E46" s="735"/>
      <c r="F46" s="736"/>
      <c r="G46" s="289">
        <f>IFERROR(F46/(INDEX(Settings_Currency_Table[],MATCH(General_Currency_Selection,Settings_Currency,0),2)),0)</f>
        <v>0</v>
      </c>
      <c r="H46" s="734"/>
      <c r="I46" s="741"/>
      <c r="J46" s="742">
        <v>0</v>
      </c>
      <c r="K46" s="743">
        <v>0</v>
      </c>
      <c r="L46" s="743">
        <v>0</v>
      </c>
      <c r="M46" s="743">
        <v>0</v>
      </c>
      <c r="N46" s="743">
        <v>0</v>
      </c>
      <c r="O46" s="743">
        <v>0</v>
      </c>
      <c r="P46" s="743">
        <v>0</v>
      </c>
      <c r="Q46" s="743">
        <v>0</v>
      </c>
      <c r="R46" s="743">
        <v>0</v>
      </c>
      <c r="S46" s="251">
        <f t="shared" si="1"/>
        <v>0</v>
      </c>
    </row>
    <row r="47" spans="2:19">
      <c r="B47" s="250" t="s">
        <v>344</v>
      </c>
      <c r="C47" s="733"/>
      <c r="D47" s="734"/>
      <c r="E47" s="735"/>
      <c r="F47" s="736"/>
      <c r="G47" s="289">
        <f>IFERROR(F47/(INDEX(Settings_Currency_Table[],MATCH(General_Currency_Selection,Settings_Currency,0),2)),0)</f>
        <v>0</v>
      </c>
      <c r="H47" s="734"/>
      <c r="I47" s="741"/>
      <c r="J47" s="742">
        <v>0</v>
      </c>
      <c r="K47" s="743">
        <v>0</v>
      </c>
      <c r="L47" s="743">
        <v>0</v>
      </c>
      <c r="M47" s="743">
        <v>0</v>
      </c>
      <c r="N47" s="743">
        <v>0</v>
      </c>
      <c r="O47" s="743">
        <v>0</v>
      </c>
      <c r="P47" s="743">
        <v>0</v>
      </c>
      <c r="Q47" s="743">
        <v>0</v>
      </c>
      <c r="R47" s="743">
        <v>0</v>
      </c>
      <c r="S47" s="251">
        <f t="shared" si="1"/>
        <v>0</v>
      </c>
    </row>
    <row r="48" spans="2:19">
      <c r="B48" s="248" t="s">
        <v>345</v>
      </c>
      <c r="C48" s="733"/>
      <c r="D48" s="734"/>
      <c r="E48" s="735"/>
      <c r="F48" s="736"/>
      <c r="G48" s="289">
        <f>IFERROR(F48/(INDEX(Settings_Currency_Table[],MATCH(General_Currency_Selection,Settings_Currency,0),2)),0)</f>
        <v>0</v>
      </c>
      <c r="H48" s="734"/>
      <c r="I48" s="741"/>
      <c r="J48" s="742">
        <v>0</v>
      </c>
      <c r="K48" s="743">
        <v>0</v>
      </c>
      <c r="L48" s="743">
        <v>0</v>
      </c>
      <c r="M48" s="743">
        <v>0</v>
      </c>
      <c r="N48" s="743">
        <v>0</v>
      </c>
      <c r="O48" s="743">
        <v>0</v>
      </c>
      <c r="P48" s="743">
        <v>0</v>
      </c>
      <c r="Q48" s="743">
        <v>0</v>
      </c>
      <c r="R48" s="743">
        <v>0</v>
      </c>
      <c r="S48" s="251">
        <f t="shared" si="1"/>
        <v>0</v>
      </c>
    </row>
    <row r="49" spans="2:19">
      <c r="B49" s="250" t="s">
        <v>346</v>
      </c>
      <c r="C49" s="733"/>
      <c r="D49" s="734"/>
      <c r="E49" s="735"/>
      <c r="F49" s="736"/>
      <c r="G49" s="289">
        <f>IFERROR(F49/(INDEX(Settings_Currency_Table[],MATCH(General_Currency_Selection,Settings_Currency,0),2)),0)</f>
        <v>0</v>
      </c>
      <c r="H49" s="734"/>
      <c r="I49" s="741"/>
      <c r="J49" s="742">
        <v>0</v>
      </c>
      <c r="K49" s="743">
        <v>0</v>
      </c>
      <c r="L49" s="743">
        <v>0</v>
      </c>
      <c r="M49" s="743">
        <v>0</v>
      </c>
      <c r="N49" s="743">
        <v>0</v>
      </c>
      <c r="O49" s="743">
        <v>0</v>
      </c>
      <c r="P49" s="743">
        <v>0</v>
      </c>
      <c r="Q49" s="743">
        <v>0</v>
      </c>
      <c r="R49" s="743">
        <v>0</v>
      </c>
      <c r="S49" s="251">
        <f t="shared" si="1"/>
        <v>0</v>
      </c>
    </row>
    <row r="50" spans="2:19">
      <c r="B50" s="248" t="s">
        <v>347</v>
      </c>
      <c r="C50" s="733"/>
      <c r="D50" s="734"/>
      <c r="E50" s="735"/>
      <c r="F50" s="736"/>
      <c r="G50" s="289">
        <f>IFERROR(F50/(INDEX(Settings_Currency_Table[],MATCH(General_Currency_Selection,Settings_Currency,0),2)),0)</f>
        <v>0</v>
      </c>
      <c r="H50" s="734"/>
      <c r="I50" s="741"/>
      <c r="J50" s="742">
        <v>0</v>
      </c>
      <c r="K50" s="743">
        <v>0</v>
      </c>
      <c r="L50" s="743">
        <v>0</v>
      </c>
      <c r="M50" s="743">
        <v>0</v>
      </c>
      <c r="N50" s="743">
        <v>0</v>
      </c>
      <c r="O50" s="743">
        <v>0</v>
      </c>
      <c r="P50" s="743">
        <v>0</v>
      </c>
      <c r="Q50" s="743">
        <v>0</v>
      </c>
      <c r="R50" s="743">
        <v>0</v>
      </c>
      <c r="S50" s="251">
        <f t="shared" si="1"/>
        <v>0</v>
      </c>
    </row>
    <row r="51" spans="2:19">
      <c r="B51" s="250" t="s">
        <v>348</v>
      </c>
      <c r="C51" s="733"/>
      <c r="D51" s="734"/>
      <c r="E51" s="735"/>
      <c r="F51" s="736"/>
      <c r="G51" s="289">
        <f>IFERROR(F51/(INDEX(Settings_Currency_Table[],MATCH(General_Currency_Selection,Settings_Currency,0),2)),0)</f>
        <v>0</v>
      </c>
      <c r="H51" s="734"/>
      <c r="I51" s="741"/>
      <c r="J51" s="742">
        <v>0</v>
      </c>
      <c r="K51" s="743">
        <v>0</v>
      </c>
      <c r="L51" s="743">
        <v>0</v>
      </c>
      <c r="M51" s="743">
        <v>0</v>
      </c>
      <c r="N51" s="743">
        <v>0</v>
      </c>
      <c r="O51" s="743">
        <v>0</v>
      </c>
      <c r="P51" s="743">
        <v>0</v>
      </c>
      <c r="Q51" s="743">
        <v>0</v>
      </c>
      <c r="R51" s="743">
        <v>0</v>
      </c>
      <c r="S51" s="251">
        <f t="shared" si="1"/>
        <v>0</v>
      </c>
    </row>
    <row r="52" spans="2:19">
      <c r="B52" s="248" t="s">
        <v>349</v>
      </c>
      <c r="C52" s="733"/>
      <c r="D52" s="734"/>
      <c r="E52" s="735"/>
      <c r="F52" s="736"/>
      <c r="G52" s="289">
        <f>IFERROR(F52/(INDEX(Settings_Currency_Table[],MATCH(General_Currency_Selection,Settings_Currency,0),2)),0)</f>
        <v>0</v>
      </c>
      <c r="H52" s="734"/>
      <c r="I52" s="741"/>
      <c r="J52" s="742">
        <v>0</v>
      </c>
      <c r="K52" s="743">
        <v>0</v>
      </c>
      <c r="L52" s="743">
        <v>0</v>
      </c>
      <c r="M52" s="743">
        <v>0</v>
      </c>
      <c r="N52" s="743">
        <v>0</v>
      </c>
      <c r="O52" s="743">
        <v>0</v>
      </c>
      <c r="P52" s="743">
        <v>0</v>
      </c>
      <c r="Q52" s="743">
        <v>0</v>
      </c>
      <c r="R52" s="743">
        <v>0</v>
      </c>
      <c r="S52" s="251">
        <f t="shared" si="1"/>
        <v>0</v>
      </c>
    </row>
    <row r="53" spans="2:19">
      <c r="B53" s="250" t="s">
        <v>350</v>
      </c>
      <c r="C53" s="733"/>
      <c r="D53" s="734"/>
      <c r="E53" s="735"/>
      <c r="F53" s="736"/>
      <c r="G53" s="289">
        <f>IFERROR(F53/(INDEX(Settings_Currency_Table[],MATCH(General_Currency_Selection,Settings_Currency,0),2)),0)</f>
        <v>0</v>
      </c>
      <c r="H53" s="734"/>
      <c r="I53" s="741"/>
      <c r="J53" s="742">
        <v>0</v>
      </c>
      <c r="K53" s="743">
        <v>0</v>
      </c>
      <c r="L53" s="743">
        <v>0</v>
      </c>
      <c r="M53" s="743">
        <v>0</v>
      </c>
      <c r="N53" s="743">
        <v>0</v>
      </c>
      <c r="O53" s="743">
        <v>0</v>
      </c>
      <c r="P53" s="743">
        <v>0</v>
      </c>
      <c r="Q53" s="743">
        <v>0</v>
      </c>
      <c r="R53" s="743">
        <v>0</v>
      </c>
      <c r="S53" s="251">
        <f t="shared" si="1"/>
        <v>0</v>
      </c>
    </row>
    <row r="54" spans="2:19">
      <c r="B54" s="248" t="s">
        <v>351</v>
      </c>
      <c r="C54" s="733"/>
      <c r="D54" s="734"/>
      <c r="E54" s="735"/>
      <c r="F54" s="736"/>
      <c r="G54" s="289">
        <f>IFERROR(F54/(INDEX(Settings_Currency_Table[],MATCH(General_Currency_Selection,Settings_Currency,0),2)),0)</f>
        <v>0</v>
      </c>
      <c r="H54" s="734"/>
      <c r="I54" s="741"/>
      <c r="J54" s="742">
        <v>0</v>
      </c>
      <c r="K54" s="743">
        <v>0</v>
      </c>
      <c r="L54" s="743">
        <v>0</v>
      </c>
      <c r="M54" s="743">
        <v>0</v>
      </c>
      <c r="N54" s="743">
        <v>0</v>
      </c>
      <c r="O54" s="743">
        <v>0</v>
      </c>
      <c r="P54" s="743">
        <v>0</v>
      </c>
      <c r="Q54" s="743">
        <v>0</v>
      </c>
      <c r="R54" s="743">
        <v>0</v>
      </c>
      <c r="S54" s="251">
        <f t="shared" si="1"/>
        <v>0</v>
      </c>
    </row>
    <row r="55" spans="2:19">
      <c r="B55" s="250" t="s">
        <v>352</v>
      </c>
      <c r="C55" s="733"/>
      <c r="D55" s="734"/>
      <c r="E55" s="735"/>
      <c r="F55" s="736"/>
      <c r="G55" s="289">
        <f>IFERROR(F55/(INDEX(Settings_Currency_Table[],MATCH(General_Currency_Selection,Settings_Currency,0),2)),0)</f>
        <v>0</v>
      </c>
      <c r="H55" s="734"/>
      <c r="I55" s="741"/>
      <c r="J55" s="742">
        <v>0</v>
      </c>
      <c r="K55" s="743">
        <v>0</v>
      </c>
      <c r="L55" s="743">
        <v>0</v>
      </c>
      <c r="M55" s="743">
        <v>0</v>
      </c>
      <c r="N55" s="743">
        <v>0</v>
      </c>
      <c r="O55" s="743">
        <v>0</v>
      </c>
      <c r="P55" s="743">
        <v>0</v>
      </c>
      <c r="Q55" s="743">
        <v>0</v>
      </c>
      <c r="R55" s="743">
        <v>0</v>
      </c>
      <c r="S55" s="251">
        <f t="shared" si="1"/>
        <v>0</v>
      </c>
    </row>
    <row r="56" spans="2:19">
      <c r="B56" s="248" t="s">
        <v>353</v>
      </c>
      <c r="C56" s="733"/>
      <c r="D56" s="734"/>
      <c r="E56" s="735"/>
      <c r="F56" s="736"/>
      <c r="G56" s="289">
        <f>IFERROR(F56/(INDEX(Settings_Currency_Table[],MATCH(General_Currency_Selection,Settings_Currency,0),2)),0)</f>
        <v>0</v>
      </c>
      <c r="H56" s="734"/>
      <c r="I56" s="741"/>
      <c r="J56" s="742">
        <v>0</v>
      </c>
      <c r="K56" s="743">
        <v>0</v>
      </c>
      <c r="L56" s="743">
        <v>0</v>
      </c>
      <c r="M56" s="743">
        <v>0</v>
      </c>
      <c r="N56" s="743">
        <v>0</v>
      </c>
      <c r="O56" s="743">
        <v>0</v>
      </c>
      <c r="P56" s="743">
        <v>0</v>
      </c>
      <c r="Q56" s="743">
        <v>0</v>
      </c>
      <c r="R56" s="743">
        <v>0</v>
      </c>
      <c r="S56" s="251">
        <f t="shared" si="1"/>
        <v>0</v>
      </c>
    </row>
    <row r="57" spans="2:19">
      <c r="B57" s="250" t="s">
        <v>354</v>
      </c>
      <c r="C57" s="733"/>
      <c r="D57" s="734"/>
      <c r="E57" s="735"/>
      <c r="F57" s="736"/>
      <c r="G57" s="289">
        <f>IFERROR(F57/(INDEX(Settings_Currency_Table[],MATCH(General_Currency_Selection,Settings_Currency,0),2)),0)</f>
        <v>0</v>
      </c>
      <c r="H57" s="734"/>
      <c r="I57" s="741"/>
      <c r="J57" s="742">
        <v>0</v>
      </c>
      <c r="K57" s="743">
        <v>0</v>
      </c>
      <c r="L57" s="743">
        <v>0</v>
      </c>
      <c r="M57" s="743">
        <v>0</v>
      </c>
      <c r="N57" s="743">
        <v>0</v>
      </c>
      <c r="O57" s="743">
        <v>0</v>
      </c>
      <c r="P57" s="743">
        <v>0</v>
      </c>
      <c r="Q57" s="743">
        <v>0</v>
      </c>
      <c r="R57" s="743">
        <v>0</v>
      </c>
      <c r="S57" s="251">
        <f t="shared" si="1"/>
        <v>0</v>
      </c>
    </row>
    <row r="58" spans="2:19">
      <c r="B58" s="248" t="s">
        <v>355</v>
      </c>
      <c r="C58" s="733"/>
      <c r="D58" s="734"/>
      <c r="E58" s="735"/>
      <c r="F58" s="736"/>
      <c r="G58" s="289">
        <f>IFERROR(F58/(INDEX(Settings_Currency_Table[],MATCH(General_Currency_Selection,Settings_Currency,0),2)),0)</f>
        <v>0</v>
      </c>
      <c r="H58" s="734"/>
      <c r="I58" s="741"/>
      <c r="J58" s="742">
        <v>0</v>
      </c>
      <c r="K58" s="743">
        <v>0</v>
      </c>
      <c r="L58" s="743">
        <v>0</v>
      </c>
      <c r="M58" s="743">
        <v>0</v>
      </c>
      <c r="N58" s="743">
        <v>0</v>
      </c>
      <c r="O58" s="743">
        <v>0</v>
      </c>
      <c r="P58" s="743">
        <v>0</v>
      </c>
      <c r="Q58" s="743">
        <v>0</v>
      </c>
      <c r="R58" s="743">
        <v>0</v>
      </c>
      <c r="S58" s="251">
        <f t="shared" si="1"/>
        <v>0</v>
      </c>
    </row>
    <row r="59" spans="2:19">
      <c r="B59" s="250" t="s">
        <v>356</v>
      </c>
      <c r="C59" s="733"/>
      <c r="D59" s="734"/>
      <c r="E59" s="735"/>
      <c r="F59" s="736"/>
      <c r="G59" s="289">
        <f>IFERROR(F59/(INDEX(Settings_Currency_Table[],MATCH(General_Currency_Selection,Settings_Currency,0),2)),0)</f>
        <v>0</v>
      </c>
      <c r="H59" s="734"/>
      <c r="I59" s="741"/>
      <c r="J59" s="742">
        <v>0</v>
      </c>
      <c r="K59" s="743">
        <v>0</v>
      </c>
      <c r="L59" s="743">
        <v>0</v>
      </c>
      <c r="M59" s="743">
        <v>0</v>
      </c>
      <c r="N59" s="743">
        <v>0</v>
      </c>
      <c r="O59" s="743">
        <v>0</v>
      </c>
      <c r="P59" s="743">
        <v>0</v>
      </c>
      <c r="Q59" s="743">
        <v>0</v>
      </c>
      <c r="R59" s="743">
        <v>0</v>
      </c>
      <c r="S59" s="251">
        <f t="shared" si="1"/>
        <v>0</v>
      </c>
    </row>
    <row r="60" spans="2:19">
      <c r="B60" s="248" t="s">
        <v>357</v>
      </c>
      <c r="C60" s="733"/>
      <c r="D60" s="734"/>
      <c r="E60" s="735"/>
      <c r="F60" s="736"/>
      <c r="G60" s="289">
        <f>IFERROR(F60/(INDEX(Settings_Currency_Table[],MATCH(General_Currency_Selection,Settings_Currency,0),2)),0)</f>
        <v>0</v>
      </c>
      <c r="H60" s="734"/>
      <c r="I60" s="741"/>
      <c r="J60" s="742">
        <v>0</v>
      </c>
      <c r="K60" s="743">
        <v>0</v>
      </c>
      <c r="L60" s="743">
        <v>0</v>
      </c>
      <c r="M60" s="743">
        <v>0</v>
      </c>
      <c r="N60" s="743">
        <v>0</v>
      </c>
      <c r="O60" s="743">
        <v>0</v>
      </c>
      <c r="P60" s="743">
        <v>0</v>
      </c>
      <c r="Q60" s="743">
        <v>0</v>
      </c>
      <c r="R60" s="743">
        <v>0</v>
      </c>
      <c r="S60" s="251">
        <f t="shared" si="1"/>
        <v>0</v>
      </c>
    </row>
    <row r="61" spans="2:19">
      <c r="B61" s="250" t="s">
        <v>358</v>
      </c>
      <c r="C61" s="733"/>
      <c r="D61" s="734"/>
      <c r="E61" s="735"/>
      <c r="F61" s="736"/>
      <c r="G61" s="289">
        <f>IFERROR(F61/(INDEX(Settings_Currency_Table[],MATCH(General_Currency_Selection,Settings_Currency,0),2)),0)</f>
        <v>0</v>
      </c>
      <c r="H61" s="734"/>
      <c r="I61" s="741"/>
      <c r="J61" s="742">
        <v>0</v>
      </c>
      <c r="K61" s="743">
        <v>0</v>
      </c>
      <c r="L61" s="743">
        <v>0</v>
      </c>
      <c r="M61" s="743">
        <v>0</v>
      </c>
      <c r="N61" s="743">
        <v>0</v>
      </c>
      <c r="O61" s="743">
        <v>0</v>
      </c>
      <c r="P61" s="743">
        <v>0</v>
      </c>
      <c r="Q61" s="743">
        <v>0</v>
      </c>
      <c r="R61" s="743">
        <v>0</v>
      </c>
      <c r="S61" s="251">
        <f t="shared" si="1"/>
        <v>0</v>
      </c>
    </row>
    <row r="62" spans="2:19">
      <c r="B62" s="248" t="s">
        <v>359</v>
      </c>
      <c r="C62" s="733"/>
      <c r="D62" s="734"/>
      <c r="E62" s="735"/>
      <c r="F62" s="736"/>
      <c r="G62" s="289">
        <f>IFERROR(F62/(INDEX(Settings_Currency_Table[],MATCH(General_Currency_Selection,Settings_Currency,0),2)),0)</f>
        <v>0</v>
      </c>
      <c r="H62" s="734"/>
      <c r="I62" s="741"/>
      <c r="J62" s="742">
        <v>0</v>
      </c>
      <c r="K62" s="743">
        <v>0</v>
      </c>
      <c r="L62" s="743">
        <v>0</v>
      </c>
      <c r="M62" s="743">
        <v>0</v>
      </c>
      <c r="N62" s="743">
        <v>0</v>
      </c>
      <c r="O62" s="743">
        <v>0</v>
      </c>
      <c r="P62" s="743">
        <v>0</v>
      </c>
      <c r="Q62" s="743">
        <v>0</v>
      </c>
      <c r="R62" s="743">
        <v>0</v>
      </c>
      <c r="S62" s="251">
        <f t="shared" si="1"/>
        <v>0</v>
      </c>
    </row>
    <row r="63" spans="2:19">
      <c r="B63" s="250" t="s">
        <v>360</v>
      </c>
      <c r="C63" s="733"/>
      <c r="D63" s="734"/>
      <c r="E63" s="735"/>
      <c r="F63" s="736"/>
      <c r="G63" s="289">
        <f>IFERROR(F63/(INDEX(Settings_Currency_Table[],MATCH(General_Currency_Selection,Settings_Currency,0),2)),0)</f>
        <v>0</v>
      </c>
      <c r="H63" s="734"/>
      <c r="I63" s="741"/>
      <c r="J63" s="742">
        <v>0</v>
      </c>
      <c r="K63" s="743">
        <v>0</v>
      </c>
      <c r="L63" s="743">
        <v>0</v>
      </c>
      <c r="M63" s="743">
        <v>0</v>
      </c>
      <c r="N63" s="743">
        <v>0</v>
      </c>
      <c r="O63" s="743">
        <v>0</v>
      </c>
      <c r="P63" s="743">
        <v>0</v>
      </c>
      <c r="Q63" s="743">
        <v>0</v>
      </c>
      <c r="R63" s="743">
        <v>0</v>
      </c>
      <c r="S63" s="251">
        <f t="shared" si="1"/>
        <v>0</v>
      </c>
    </row>
    <row r="64" spans="2:19">
      <c r="B64" s="248" t="s">
        <v>361</v>
      </c>
      <c r="C64" s="733"/>
      <c r="D64" s="734"/>
      <c r="E64" s="735"/>
      <c r="F64" s="736"/>
      <c r="G64" s="289">
        <f>IFERROR(F64/(INDEX(Settings_Currency_Table[],MATCH(General_Currency_Selection,Settings_Currency,0),2)),0)</f>
        <v>0</v>
      </c>
      <c r="H64" s="734"/>
      <c r="I64" s="741"/>
      <c r="J64" s="742">
        <v>0</v>
      </c>
      <c r="K64" s="743">
        <v>0</v>
      </c>
      <c r="L64" s="743">
        <v>0</v>
      </c>
      <c r="M64" s="743">
        <v>0</v>
      </c>
      <c r="N64" s="743">
        <v>0</v>
      </c>
      <c r="O64" s="743">
        <v>0</v>
      </c>
      <c r="P64" s="743">
        <v>0</v>
      </c>
      <c r="Q64" s="743">
        <v>0</v>
      </c>
      <c r="R64" s="743">
        <v>0</v>
      </c>
      <c r="S64" s="251">
        <f t="shared" si="1"/>
        <v>0</v>
      </c>
    </row>
    <row r="65" spans="2:19">
      <c r="B65" s="250" t="s">
        <v>362</v>
      </c>
      <c r="C65" s="733"/>
      <c r="D65" s="734"/>
      <c r="E65" s="735"/>
      <c r="F65" s="736"/>
      <c r="G65" s="289">
        <f>IFERROR(F65/(INDEX(Settings_Currency_Table[],MATCH(General_Currency_Selection,Settings_Currency,0),2)),0)</f>
        <v>0</v>
      </c>
      <c r="H65" s="734"/>
      <c r="I65" s="741"/>
      <c r="J65" s="742">
        <v>0</v>
      </c>
      <c r="K65" s="743">
        <v>0</v>
      </c>
      <c r="L65" s="743">
        <v>0</v>
      </c>
      <c r="M65" s="743">
        <v>0</v>
      </c>
      <c r="N65" s="743">
        <v>0</v>
      </c>
      <c r="O65" s="743">
        <v>0</v>
      </c>
      <c r="P65" s="743">
        <v>0</v>
      </c>
      <c r="Q65" s="743">
        <v>0</v>
      </c>
      <c r="R65" s="743">
        <v>0</v>
      </c>
      <c r="S65" s="251">
        <f t="shared" si="1"/>
        <v>0</v>
      </c>
    </row>
    <row r="66" spans="2:19">
      <c r="B66" s="248" t="s">
        <v>363</v>
      </c>
      <c r="C66" s="733"/>
      <c r="D66" s="734"/>
      <c r="E66" s="735"/>
      <c r="F66" s="736"/>
      <c r="G66" s="289">
        <f>IFERROR(F66/(INDEX(Settings_Currency_Table[],MATCH(General_Currency_Selection,Settings_Currency,0),2)),0)</f>
        <v>0</v>
      </c>
      <c r="H66" s="734"/>
      <c r="I66" s="741"/>
      <c r="J66" s="742">
        <v>0</v>
      </c>
      <c r="K66" s="743">
        <v>0</v>
      </c>
      <c r="L66" s="743">
        <v>0</v>
      </c>
      <c r="M66" s="743">
        <v>0</v>
      </c>
      <c r="N66" s="743">
        <v>0</v>
      </c>
      <c r="O66" s="743">
        <v>0</v>
      </c>
      <c r="P66" s="743">
        <v>0</v>
      </c>
      <c r="Q66" s="743">
        <v>0</v>
      </c>
      <c r="R66" s="743">
        <v>0</v>
      </c>
      <c r="S66" s="251">
        <f t="shared" si="1"/>
        <v>0</v>
      </c>
    </row>
    <row r="67" spans="2:19">
      <c r="B67" s="250" t="s">
        <v>364</v>
      </c>
      <c r="C67" s="733"/>
      <c r="D67" s="734"/>
      <c r="E67" s="735"/>
      <c r="F67" s="736"/>
      <c r="G67" s="289">
        <f>IFERROR(F67/(INDEX(Settings_Currency_Table[],MATCH(General_Currency_Selection,Settings_Currency,0),2)),0)</f>
        <v>0</v>
      </c>
      <c r="H67" s="734"/>
      <c r="I67" s="741"/>
      <c r="J67" s="742">
        <v>0</v>
      </c>
      <c r="K67" s="743">
        <v>0</v>
      </c>
      <c r="L67" s="743">
        <v>0</v>
      </c>
      <c r="M67" s="743">
        <v>0</v>
      </c>
      <c r="N67" s="743">
        <v>0</v>
      </c>
      <c r="O67" s="743">
        <v>0</v>
      </c>
      <c r="P67" s="743">
        <v>0</v>
      </c>
      <c r="Q67" s="743">
        <v>0</v>
      </c>
      <c r="R67" s="743">
        <v>0</v>
      </c>
      <c r="S67" s="251">
        <f t="shared" si="1"/>
        <v>0</v>
      </c>
    </row>
    <row r="68" spans="2:19">
      <c r="B68" s="248" t="s">
        <v>365</v>
      </c>
      <c r="C68" s="733"/>
      <c r="D68" s="734"/>
      <c r="E68" s="735"/>
      <c r="F68" s="736"/>
      <c r="G68" s="289">
        <f>IFERROR(F68/(INDEX(Settings_Currency_Table[],MATCH(General_Currency_Selection,Settings_Currency,0),2)),0)</f>
        <v>0</v>
      </c>
      <c r="H68" s="734"/>
      <c r="I68" s="741"/>
      <c r="J68" s="742">
        <v>0</v>
      </c>
      <c r="K68" s="743">
        <v>0</v>
      </c>
      <c r="L68" s="743">
        <v>0</v>
      </c>
      <c r="M68" s="743">
        <v>0</v>
      </c>
      <c r="N68" s="743">
        <v>0</v>
      </c>
      <c r="O68" s="743">
        <v>0</v>
      </c>
      <c r="P68" s="743">
        <v>0</v>
      </c>
      <c r="Q68" s="743">
        <v>0</v>
      </c>
      <c r="R68" s="743">
        <v>0</v>
      </c>
      <c r="S68" s="251">
        <f t="shared" ref="S68:S99" si="2">SUM(J68:R68)</f>
        <v>0</v>
      </c>
    </row>
    <row r="69" spans="2:19">
      <c r="B69" s="250" t="s">
        <v>366</v>
      </c>
      <c r="C69" s="733"/>
      <c r="D69" s="734"/>
      <c r="E69" s="735"/>
      <c r="F69" s="736"/>
      <c r="G69" s="289">
        <f>IFERROR(F69/(INDEX(Settings_Currency_Table[],MATCH(General_Currency_Selection,Settings_Currency,0),2)),0)</f>
        <v>0</v>
      </c>
      <c r="H69" s="734"/>
      <c r="I69" s="741"/>
      <c r="J69" s="742">
        <v>0</v>
      </c>
      <c r="K69" s="743">
        <v>0</v>
      </c>
      <c r="L69" s="743">
        <v>0</v>
      </c>
      <c r="M69" s="743">
        <v>0</v>
      </c>
      <c r="N69" s="743">
        <v>0</v>
      </c>
      <c r="O69" s="743">
        <v>0</v>
      </c>
      <c r="P69" s="743">
        <v>0</v>
      </c>
      <c r="Q69" s="743">
        <v>0</v>
      </c>
      <c r="R69" s="743">
        <v>0</v>
      </c>
      <c r="S69" s="251">
        <f t="shared" si="2"/>
        <v>0</v>
      </c>
    </row>
    <row r="70" spans="2:19">
      <c r="B70" s="248" t="s">
        <v>367</v>
      </c>
      <c r="C70" s="733"/>
      <c r="D70" s="734"/>
      <c r="E70" s="735"/>
      <c r="F70" s="736"/>
      <c r="G70" s="289">
        <f>IFERROR(F70/(INDEX(Settings_Currency_Table[],MATCH(General_Currency_Selection,Settings_Currency,0),2)),0)</f>
        <v>0</v>
      </c>
      <c r="H70" s="734"/>
      <c r="I70" s="741"/>
      <c r="J70" s="742">
        <v>0</v>
      </c>
      <c r="K70" s="743">
        <v>0</v>
      </c>
      <c r="L70" s="743">
        <v>0</v>
      </c>
      <c r="M70" s="743">
        <v>0</v>
      </c>
      <c r="N70" s="743">
        <v>0</v>
      </c>
      <c r="O70" s="743">
        <v>0</v>
      </c>
      <c r="P70" s="743">
        <v>0</v>
      </c>
      <c r="Q70" s="743">
        <v>0</v>
      </c>
      <c r="R70" s="743">
        <v>0</v>
      </c>
      <c r="S70" s="251">
        <f t="shared" si="2"/>
        <v>0</v>
      </c>
    </row>
    <row r="71" spans="2:19">
      <c r="B71" s="250" t="s">
        <v>368</v>
      </c>
      <c r="C71" s="733"/>
      <c r="D71" s="734"/>
      <c r="E71" s="735"/>
      <c r="F71" s="736"/>
      <c r="G71" s="289">
        <f>IFERROR(F71/(INDEX(Settings_Currency_Table[],MATCH(General_Currency_Selection,Settings_Currency,0),2)),0)</f>
        <v>0</v>
      </c>
      <c r="H71" s="734"/>
      <c r="I71" s="741"/>
      <c r="J71" s="742">
        <v>0</v>
      </c>
      <c r="K71" s="743">
        <v>0</v>
      </c>
      <c r="L71" s="743">
        <v>0</v>
      </c>
      <c r="M71" s="743">
        <v>0</v>
      </c>
      <c r="N71" s="743">
        <v>0</v>
      </c>
      <c r="O71" s="743">
        <v>0</v>
      </c>
      <c r="P71" s="743">
        <v>0</v>
      </c>
      <c r="Q71" s="743">
        <v>0</v>
      </c>
      <c r="R71" s="743">
        <v>0</v>
      </c>
      <c r="S71" s="251">
        <f t="shared" si="2"/>
        <v>0</v>
      </c>
    </row>
    <row r="72" spans="2:19">
      <c r="B72" s="248" t="s">
        <v>369</v>
      </c>
      <c r="C72" s="733"/>
      <c r="D72" s="734"/>
      <c r="E72" s="735"/>
      <c r="F72" s="736"/>
      <c r="G72" s="289">
        <f>IFERROR(F72/(INDEX(Settings_Currency_Table[],MATCH(General_Currency_Selection,Settings_Currency,0),2)),0)</f>
        <v>0</v>
      </c>
      <c r="H72" s="734"/>
      <c r="I72" s="741"/>
      <c r="J72" s="742">
        <v>0</v>
      </c>
      <c r="K72" s="743">
        <v>0</v>
      </c>
      <c r="L72" s="743">
        <v>0</v>
      </c>
      <c r="M72" s="743">
        <v>0</v>
      </c>
      <c r="N72" s="743">
        <v>0</v>
      </c>
      <c r="O72" s="743">
        <v>0</v>
      </c>
      <c r="P72" s="743">
        <v>0</v>
      </c>
      <c r="Q72" s="743">
        <v>0</v>
      </c>
      <c r="R72" s="743">
        <v>0</v>
      </c>
      <c r="S72" s="251">
        <f t="shared" si="2"/>
        <v>0</v>
      </c>
    </row>
    <row r="73" spans="2:19">
      <c r="B73" s="250" t="s">
        <v>370</v>
      </c>
      <c r="C73" s="733"/>
      <c r="D73" s="734"/>
      <c r="E73" s="735"/>
      <c r="F73" s="736"/>
      <c r="G73" s="289">
        <f>IFERROR(F73/(INDEX(Settings_Currency_Table[],MATCH(General_Currency_Selection,Settings_Currency,0),2)),0)</f>
        <v>0</v>
      </c>
      <c r="H73" s="734"/>
      <c r="I73" s="741"/>
      <c r="J73" s="742">
        <v>0</v>
      </c>
      <c r="K73" s="743">
        <v>0</v>
      </c>
      <c r="L73" s="743">
        <v>0</v>
      </c>
      <c r="M73" s="743">
        <v>0</v>
      </c>
      <c r="N73" s="743">
        <v>0</v>
      </c>
      <c r="O73" s="743">
        <v>0</v>
      </c>
      <c r="P73" s="743">
        <v>0</v>
      </c>
      <c r="Q73" s="743">
        <v>0</v>
      </c>
      <c r="R73" s="743">
        <v>0</v>
      </c>
      <c r="S73" s="251">
        <f t="shared" si="2"/>
        <v>0</v>
      </c>
    </row>
    <row r="74" spans="2:19">
      <c r="B74" s="248" t="s">
        <v>371</v>
      </c>
      <c r="C74" s="733"/>
      <c r="D74" s="734"/>
      <c r="E74" s="735"/>
      <c r="F74" s="736"/>
      <c r="G74" s="289">
        <f>IFERROR(F74/(INDEX(Settings_Currency_Table[],MATCH(General_Currency_Selection,Settings_Currency,0),2)),0)</f>
        <v>0</v>
      </c>
      <c r="H74" s="734"/>
      <c r="I74" s="741"/>
      <c r="J74" s="742">
        <v>0</v>
      </c>
      <c r="K74" s="743">
        <v>0</v>
      </c>
      <c r="L74" s="743">
        <v>0</v>
      </c>
      <c r="M74" s="743">
        <v>0</v>
      </c>
      <c r="N74" s="743">
        <v>0</v>
      </c>
      <c r="O74" s="743">
        <v>0</v>
      </c>
      <c r="P74" s="743">
        <v>0</v>
      </c>
      <c r="Q74" s="743">
        <v>0</v>
      </c>
      <c r="R74" s="743">
        <v>0</v>
      </c>
      <c r="S74" s="251">
        <f t="shared" si="2"/>
        <v>0</v>
      </c>
    </row>
    <row r="75" spans="2:19">
      <c r="B75" s="250" t="s">
        <v>372</v>
      </c>
      <c r="C75" s="733"/>
      <c r="D75" s="734"/>
      <c r="E75" s="735"/>
      <c r="F75" s="736"/>
      <c r="G75" s="289">
        <f>IFERROR(F75/(INDEX(Settings_Currency_Table[],MATCH(General_Currency_Selection,Settings_Currency,0),2)),0)</f>
        <v>0</v>
      </c>
      <c r="H75" s="734"/>
      <c r="I75" s="741"/>
      <c r="J75" s="742">
        <v>0</v>
      </c>
      <c r="K75" s="743">
        <v>0</v>
      </c>
      <c r="L75" s="743">
        <v>0</v>
      </c>
      <c r="M75" s="743">
        <v>0</v>
      </c>
      <c r="N75" s="743">
        <v>0</v>
      </c>
      <c r="O75" s="743">
        <v>0</v>
      </c>
      <c r="P75" s="743">
        <v>0</v>
      </c>
      <c r="Q75" s="743">
        <v>0</v>
      </c>
      <c r="R75" s="743">
        <v>0</v>
      </c>
      <c r="S75" s="251">
        <f t="shared" si="2"/>
        <v>0</v>
      </c>
    </row>
    <row r="76" spans="2:19">
      <c r="B76" s="248" t="s">
        <v>373</v>
      </c>
      <c r="C76" s="733"/>
      <c r="D76" s="734"/>
      <c r="E76" s="735"/>
      <c r="F76" s="736"/>
      <c r="G76" s="289">
        <f>IFERROR(F76/(INDEX(Settings_Currency_Table[],MATCH(General_Currency_Selection,Settings_Currency,0),2)),0)</f>
        <v>0</v>
      </c>
      <c r="H76" s="734"/>
      <c r="I76" s="741"/>
      <c r="J76" s="742">
        <v>0</v>
      </c>
      <c r="K76" s="743">
        <v>0</v>
      </c>
      <c r="L76" s="743">
        <v>0</v>
      </c>
      <c r="M76" s="743">
        <v>0</v>
      </c>
      <c r="N76" s="743">
        <v>0</v>
      </c>
      <c r="O76" s="743">
        <v>0</v>
      </c>
      <c r="P76" s="743">
        <v>0</v>
      </c>
      <c r="Q76" s="743">
        <v>0</v>
      </c>
      <c r="R76" s="743">
        <v>0</v>
      </c>
      <c r="S76" s="251">
        <f t="shared" si="2"/>
        <v>0</v>
      </c>
    </row>
    <row r="77" spans="2:19">
      <c r="B77" s="250" t="s">
        <v>374</v>
      </c>
      <c r="C77" s="733"/>
      <c r="D77" s="734"/>
      <c r="E77" s="735"/>
      <c r="F77" s="736"/>
      <c r="G77" s="289">
        <f>IFERROR(F77/(INDEX(Settings_Currency_Table[],MATCH(General_Currency_Selection,Settings_Currency,0),2)),0)</f>
        <v>0</v>
      </c>
      <c r="H77" s="734"/>
      <c r="I77" s="741"/>
      <c r="J77" s="742">
        <v>0</v>
      </c>
      <c r="K77" s="743">
        <v>0</v>
      </c>
      <c r="L77" s="743">
        <v>0</v>
      </c>
      <c r="M77" s="743">
        <v>0</v>
      </c>
      <c r="N77" s="743">
        <v>0</v>
      </c>
      <c r="O77" s="743">
        <v>0</v>
      </c>
      <c r="P77" s="743">
        <v>0</v>
      </c>
      <c r="Q77" s="743">
        <v>0</v>
      </c>
      <c r="R77" s="743">
        <v>0</v>
      </c>
      <c r="S77" s="251">
        <f t="shared" si="2"/>
        <v>0</v>
      </c>
    </row>
    <row r="78" spans="2:19">
      <c r="B78" s="248" t="s">
        <v>375</v>
      </c>
      <c r="C78" s="733"/>
      <c r="D78" s="734"/>
      <c r="E78" s="735"/>
      <c r="F78" s="736"/>
      <c r="G78" s="289">
        <f>IFERROR(F78/(INDEX(Settings_Currency_Table[],MATCH(General_Currency_Selection,Settings_Currency,0),2)),0)</f>
        <v>0</v>
      </c>
      <c r="H78" s="734"/>
      <c r="I78" s="741"/>
      <c r="J78" s="742">
        <v>0</v>
      </c>
      <c r="K78" s="743">
        <v>0</v>
      </c>
      <c r="L78" s="743">
        <v>0</v>
      </c>
      <c r="M78" s="743">
        <v>0</v>
      </c>
      <c r="N78" s="743">
        <v>0</v>
      </c>
      <c r="O78" s="743">
        <v>0</v>
      </c>
      <c r="P78" s="743">
        <v>0</v>
      </c>
      <c r="Q78" s="743">
        <v>0</v>
      </c>
      <c r="R78" s="743">
        <v>0</v>
      </c>
      <c r="S78" s="251">
        <f t="shared" si="2"/>
        <v>0</v>
      </c>
    </row>
    <row r="79" spans="2:19">
      <c r="B79" s="250" t="s">
        <v>376</v>
      </c>
      <c r="C79" s="733"/>
      <c r="D79" s="734"/>
      <c r="E79" s="735"/>
      <c r="F79" s="736"/>
      <c r="G79" s="289">
        <f>IFERROR(F79/(INDEX(Settings_Currency_Table[],MATCH(General_Currency_Selection,Settings_Currency,0),2)),0)</f>
        <v>0</v>
      </c>
      <c r="H79" s="734"/>
      <c r="I79" s="741"/>
      <c r="J79" s="742">
        <v>0</v>
      </c>
      <c r="K79" s="743">
        <v>0</v>
      </c>
      <c r="L79" s="743">
        <v>0</v>
      </c>
      <c r="M79" s="743">
        <v>0</v>
      </c>
      <c r="N79" s="743">
        <v>0</v>
      </c>
      <c r="O79" s="743">
        <v>0</v>
      </c>
      <c r="P79" s="743">
        <v>0</v>
      </c>
      <c r="Q79" s="743">
        <v>0</v>
      </c>
      <c r="R79" s="743">
        <v>0</v>
      </c>
      <c r="S79" s="251">
        <f t="shared" si="2"/>
        <v>0</v>
      </c>
    </row>
    <row r="80" spans="2:19">
      <c r="B80" s="248" t="s">
        <v>377</v>
      </c>
      <c r="C80" s="733"/>
      <c r="D80" s="734"/>
      <c r="E80" s="735"/>
      <c r="F80" s="736"/>
      <c r="G80" s="289">
        <f>IFERROR(F80/(INDEX(Settings_Currency_Table[],MATCH(General_Currency_Selection,Settings_Currency,0),2)),0)</f>
        <v>0</v>
      </c>
      <c r="H80" s="734"/>
      <c r="I80" s="741"/>
      <c r="J80" s="742">
        <v>0</v>
      </c>
      <c r="K80" s="743">
        <v>0</v>
      </c>
      <c r="L80" s="743">
        <v>0</v>
      </c>
      <c r="M80" s="743">
        <v>0</v>
      </c>
      <c r="N80" s="743">
        <v>0</v>
      </c>
      <c r="O80" s="743">
        <v>0</v>
      </c>
      <c r="P80" s="743">
        <v>0</v>
      </c>
      <c r="Q80" s="743">
        <v>0</v>
      </c>
      <c r="R80" s="743">
        <v>0</v>
      </c>
      <c r="S80" s="251">
        <f t="shared" si="2"/>
        <v>0</v>
      </c>
    </row>
    <row r="81" spans="2:19">
      <c r="B81" s="250" t="s">
        <v>378</v>
      </c>
      <c r="C81" s="733"/>
      <c r="D81" s="734"/>
      <c r="E81" s="735"/>
      <c r="F81" s="736"/>
      <c r="G81" s="289">
        <f>IFERROR(F81/(INDEX(Settings_Currency_Table[],MATCH(General_Currency_Selection,Settings_Currency,0),2)),0)</f>
        <v>0</v>
      </c>
      <c r="H81" s="734"/>
      <c r="I81" s="741"/>
      <c r="J81" s="742">
        <v>0</v>
      </c>
      <c r="K81" s="743">
        <v>0</v>
      </c>
      <c r="L81" s="743">
        <v>0</v>
      </c>
      <c r="M81" s="743">
        <v>0</v>
      </c>
      <c r="N81" s="743">
        <v>0</v>
      </c>
      <c r="O81" s="743">
        <v>0</v>
      </c>
      <c r="P81" s="743">
        <v>0</v>
      </c>
      <c r="Q81" s="743">
        <v>0</v>
      </c>
      <c r="R81" s="743">
        <v>0</v>
      </c>
      <c r="S81" s="251">
        <f t="shared" si="2"/>
        <v>0</v>
      </c>
    </row>
    <row r="82" spans="2:19">
      <c r="B82" s="248" t="s">
        <v>379</v>
      </c>
      <c r="C82" s="733"/>
      <c r="D82" s="734"/>
      <c r="E82" s="735"/>
      <c r="F82" s="736"/>
      <c r="G82" s="289">
        <f>IFERROR(F82/(INDEX(Settings_Currency_Table[],MATCH(General_Currency_Selection,Settings_Currency,0),2)),0)</f>
        <v>0</v>
      </c>
      <c r="H82" s="734"/>
      <c r="I82" s="741"/>
      <c r="J82" s="742">
        <v>0</v>
      </c>
      <c r="K82" s="743">
        <v>0</v>
      </c>
      <c r="L82" s="743">
        <v>0</v>
      </c>
      <c r="M82" s="743">
        <v>0</v>
      </c>
      <c r="N82" s="743">
        <v>0</v>
      </c>
      <c r="O82" s="743">
        <v>0</v>
      </c>
      <c r="P82" s="743">
        <v>0</v>
      </c>
      <c r="Q82" s="743">
        <v>0</v>
      </c>
      <c r="R82" s="743">
        <v>0</v>
      </c>
      <c r="S82" s="251">
        <f t="shared" si="2"/>
        <v>0</v>
      </c>
    </row>
    <row r="83" spans="2:19">
      <c r="B83" s="250" t="s">
        <v>380</v>
      </c>
      <c r="C83" s="733"/>
      <c r="D83" s="734"/>
      <c r="E83" s="735"/>
      <c r="F83" s="736"/>
      <c r="G83" s="289">
        <f>IFERROR(F83/(INDEX(Settings_Currency_Table[],MATCH(General_Currency_Selection,Settings_Currency,0),2)),0)</f>
        <v>0</v>
      </c>
      <c r="H83" s="734"/>
      <c r="I83" s="741"/>
      <c r="J83" s="742">
        <v>0</v>
      </c>
      <c r="K83" s="743">
        <v>0</v>
      </c>
      <c r="L83" s="743">
        <v>0</v>
      </c>
      <c r="M83" s="743">
        <v>0</v>
      </c>
      <c r="N83" s="743">
        <v>0</v>
      </c>
      <c r="O83" s="743">
        <v>0</v>
      </c>
      <c r="P83" s="743">
        <v>0</v>
      </c>
      <c r="Q83" s="743">
        <v>0</v>
      </c>
      <c r="R83" s="743">
        <v>0</v>
      </c>
      <c r="S83" s="251">
        <f t="shared" si="2"/>
        <v>0</v>
      </c>
    </row>
    <row r="84" spans="2:19">
      <c r="B84" s="248" t="s">
        <v>381</v>
      </c>
      <c r="C84" s="733"/>
      <c r="D84" s="734"/>
      <c r="E84" s="735"/>
      <c r="F84" s="736"/>
      <c r="G84" s="289">
        <f>IFERROR(F84/(INDEX(Settings_Currency_Table[],MATCH(General_Currency_Selection,Settings_Currency,0),2)),0)</f>
        <v>0</v>
      </c>
      <c r="H84" s="734"/>
      <c r="I84" s="741"/>
      <c r="J84" s="742">
        <v>0</v>
      </c>
      <c r="K84" s="743">
        <v>0</v>
      </c>
      <c r="L84" s="743">
        <v>0</v>
      </c>
      <c r="M84" s="743">
        <v>0</v>
      </c>
      <c r="N84" s="743">
        <v>0</v>
      </c>
      <c r="O84" s="743">
        <v>0</v>
      </c>
      <c r="P84" s="743">
        <v>0</v>
      </c>
      <c r="Q84" s="743">
        <v>0</v>
      </c>
      <c r="R84" s="743">
        <v>0</v>
      </c>
      <c r="S84" s="251">
        <f t="shared" si="2"/>
        <v>0</v>
      </c>
    </row>
    <row r="85" spans="2:19">
      <c r="B85" s="250" t="s">
        <v>382</v>
      </c>
      <c r="C85" s="733"/>
      <c r="D85" s="734"/>
      <c r="E85" s="735"/>
      <c r="F85" s="736"/>
      <c r="G85" s="289">
        <f>IFERROR(F85/(INDEX(Settings_Currency_Table[],MATCH(General_Currency_Selection,Settings_Currency,0),2)),0)</f>
        <v>0</v>
      </c>
      <c r="H85" s="734"/>
      <c r="I85" s="741"/>
      <c r="J85" s="742">
        <v>0</v>
      </c>
      <c r="K85" s="743">
        <v>0</v>
      </c>
      <c r="L85" s="743">
        <v>0</v>
      </c>
      <c r="M85" s="743">
        <v>0</v>
      </c>
      <c r="N85" s="743">
        <v>0</v>
      </c>
      <c r="O85" s="743">
        <v>0</v>
      </c>
      <c r="P85" s="743">
        <v>0</v>
      </c>
      <c r="Q85" s="743">
        <v>0</v>
      </c>
      <c r="R85" s="743">
        <v>0</v>
      </c>
      <c r="S85" s="251">
        <f t="shared" si="2"/>
        <v>0</v>
      </c>
    </row>
    <row r="86" spans="2:19">
      <c r="B86" s="248" t="s">
        <v>383</v>
      </c>
      <c r="C86" s="733"/>
      <c r="D86" s="734"/>
      <c r="E86" s="735"/>
      <c r="F86" s="736"/>
      <c r="G86" s="289">
        <f>IFERROR(F86/(INDEX(Settings_Currency_Table[],MATCH(General_Currency_Selection,Settings_Currency,0),2)),0)</f>
        <v>0</v>
      </c>
      <c r="H86" s="734"/>
      <c r="I86" s="741"/>
      <c r="J86" s="742">
        <v>0</v>
      </c>
      <c r="K86" s="743">
        <v>0</v>
      </c>
      <c r="L86" s="743">
        <v>0</v>
      </c>
      <c r="M86" s="743">
        <v>0</v>
      </c>
      <c r="N86" s="743">
        <v>0</v>
      </c>
      <c r="O86" s="743">
        <v>0</v>
      </c>
      <c r="P86" s="743">
        <v>0</v>
      </c>
      <c r="Q86" s="743">
        <v>0</v>
      </c>
      <c r="R86" s="743">
        <v>0</v>
      </c>
      <c r="S86" s="251">
        <f t="shared" si="2"/>
        <v>0</v>
      </c>
    </row>
    <row r="87" spans="2:19">
      <c r="B87" s="250" t="s">
        <v>384</v>
      </c>
      <c r="C87" s="733"/>
      <c r="D87" s="734"/>
      <c r="E87" s="735"/>
      <c r="F87" s="736"/>
      <c r="G87" s="289">
        <f>IFERROR(F87/(INDEX(Settings_Currency_Table[],MATCH(General_Currency_Selection,Settings_Currency,0),2)),0)</f>
        <v>0</v>
      </c>
      <c r="H87" s="734"/>
      <c r="I87" s="741"/>
      <c r="J87" s="742">
        <v>0</v>
      </c>
      <c r="K87" s="743">
        <v>0</v>
      </c>
      <c r="L87" s="743">
        <v>0</v>
      </c>
      <c r="M87" s="743">
        <v>0</v>
      </c>
      <c r="N87" s="743">
        <v>0</v>
      </c>
      <c r="O87" s="743">
        <v>0</v>
      </c>
      <c r="P87" s="743">
        <v>0</v>
      </c>
      <c r="Q87" s="743">
        <v>0</v>
      </c>
      <c r="R87" s="743">
        <v>0</v>
      </c>
      <c r="S87" s="251">
        <f t="shared" si="2"/>
        <v>0</v>
      </c>
    </row>
    <row r="88" spans="2:19">
      <c r="B88" s="248" t="s">
        <v>385</v>
      </c>
      <c r="C88" s="733"/>
      <c r="D88" s="734"/>
      <c r="E88" s="735"/>
      <c r="F88" s="736"/>
      <c r="G88" s="289">
        <f>IFERROR(F88/(INDEX(Settings_Currency_Table[],MATCH(General_Currency_Selection,Settings_Currency,0),2)),0)</f>
        <v>0</v>
      </c>
      <c r="H88" s="734"/>
      <c r="I88" s="741"/>
      <c r="J88" s="742">
        <v>0</v>
      </c>
      <c r="K88" s="743">
        <v>0</v>
      </c>
      <c r="L88" s="743">
        <v>0</v>
      </c>
      <c r="M88" s="743">
        <v>0</v>
      </c>
      <c r="N88" s="743">
        <v>0</v>
      </c>
      <c r="O88" s="743">
        <v>0</v>
      </c>
      <c r="P88" s="743">
        <v>0</v>
      </c>
      <c r="Q88" s="743">
        <v>0</v>
      </c>
      <c r="R88" s="743">
        <v>0</v>
      </c>
      <c r="S88" s="251">
        <f t="shared" si="2"/>
        <v>0</v>
      </c>
    </row>
    <row r="89" spans="2:19">
      <c r="B89" s="250" t="s">
        <v>386</v>
      </c>
      <c r="C89" s="733"/>
      <c r="D89" s="734"/>
      <c r="E89" s="735"/>
      <c r="F89" s="736"/>
      <c r="G89" s="289">
        <f>IFERROR(F89/(INDEX(Settings_Currency_Table[],MATCH(General_Currency_Selection,Settings_Currency,0),2)),0)</f>
        <v>0</v>
      </c>
      <c r="H89" s="734"/>
      <c r="I89" s="741"/>
      <c r="J89" s="742">
        <v>0</v>
      </c>
      <c r="K89" s="743">
        <v>0</v>
      </c>
      <c r="L89" s="743">
        <v>0</v>
      </c>
      <c r="M89" s="743">
        <v>0</v>
      </c>
      <c r="N89" s="743">
        <v>0</v>
      </c>
      <c r="O89" s="743">
        <v>0</v>
      </c>
      <c r="P89" s="743">
        <v>0</v>
      </c>
      <c r="Q89" s="743">
        <v>0</v>
      </c>
      <c r="R89" s="743">
        <v>0</v>
      </c>
      <c r="S89" s="251">
        <f t="shared" si="2"/>
        <v>0</v>
      </c>
    </row>
    <row r="90" spans="2:19">
      <c r="B90" s="248" t="s">
        <v>387</v>
      </c>
      <c r="C90" s="733"/>
      <c r="D90" s="734"/>
      <c r="E90" s="735"/>
      <c r="F90" s="736"/>
      <c r="G90" s="289">
        <f>IFERROR(F90/(INDEX(Settings_Currency_Table[],MATCH(General_Currency_Selection,Settings_Currency,0),2)),0)</f>
        <v>0</v>
      </c>
      <c r="H90" s="734"/>
      <c r="I90" s="741"/>
      <c r="J90" s="742">
        <v>0</v>
      </c>
      <c r="K90" s="743">
        <v>0</v>
      </c>
      <c r="L90" s="743">
        <v>0</v>
      </c>
      <c r="M90" s="743">
        <v>0</v>
      </c>
      <c r="N90" s="743">
        <v>0</v>
      </c>
      <c r="O90" s="743">
        <v>0</v>
      </c>
      <c r="P90" s="743">
        <v>0</v>
      </c>
      <c r="Q90" s="743">
        <v>0</v>
      </c>
      <c r="R90" s="743">
        <v>0</v>
      </c>
      <c r="S90" s="251">
        <f t="shared" si="2"/>
        <v>0</v>
      </c>
    </row>
    <row r="91" spans="2:19">
      <c r="B91" s="250" t="s">
        <v>388</v>
      </c>
      <c r="C91" s="733"/>
      <c r="D91" s="734"/>
      <c r="E91" s="735"/>
      <c r="F91" s="736"/>
      <c r="G91" s="289">
        <f>IFERROR(F91/(INDEX(Settings_Currency_Table[],MATCH(General_Currency_Selection,Settings_Currency,0),2)),0)</f>
        <v>0</v>
      </c>
      <c r="H91" s="734"/>
      <c r="I91" s="741"/>
      <c r="J91" s="742">
        <v>0</v>
      </c>
      <c r="K91" s="743">
        <v>0</v>
      </c>
      <c r="L91" s="743">
        <v>0</v>
      </c>
      <c r="M91" s="743">
        <v>0</v>
      </c>
      <c r="N91" s="743">
        <v>0</v>
      </c>
      <c r="O91" s="743">
        <v>0</v>
      </c>
      <c r="P91" s="743">
        <v>0</v>
      </c>
      <c r="Q91" s="743">
        <v>0</v>
      </c>
      <c r="R91" s="743">
        <v>0</v>
      </c>
      <c r="S91" s="251">
        <f t="shared" si="2"/>
        <v>0</v>
      </c>
    </row>
    <row r="92" spans="2:19">
      <c r="B92" s="248" t="s">
        <v>389</v>
      </c>
      <c r="C92" s="733"/>
      <c r="D92" s="734"/>
      <c r="E92" s="735"/>
      <c r="F92" s="736"/>
      <c r="G92" s="289">
        <f>IFERROR(F92/(INDEX(Settings_Currency_Table[],MATCH(General_Currency_Selection,Settings_Currency,0),2)),0)</f>
        <v>0</v>
      </c>
      <c r="H92" s="734"/>
      <c r="I92" s="741"/>
      <c r="J92" s="742">
        <v>0</v>
      </c>
      <c r="K92" s="743">
        <v>0</v>
      </c>
      <c r="L92" s="743">
        <v>0</v>
      </c>
      <c r="M92" s="743">
        <v>0</v>
      </c>
      <c r="N92" s="743">
        <v>0</v>
      </c>
      <c r="O92" s="743">
        <v>0</v>
      </c>
      <c r="P92" s="743">
        <v>0</v>
      </c>
      <c r="Q92" s="743">
        <v>0</v>
      </c>
      <c r="R92" s="743">
        <v>0</v>
      </c>
      <c r="S92" s="251">
        <f t="shared" si="2"/>
        <v>0</v>
      </c>
    </row>
    <row r="93" spans="2:19">
      <c r="B93" s="250" t="s">
        <v>390</v>
      </c>
      <c r="C93" s="733"/>
      <c r="D93" s="734"/>
      <c r="E93" s="735"/>
      <c r="F93" s="736"/>
      <c r="G93" s="289">
        <f>IFERROR(F93/(INDEX(Settings_Currency_Table[],MATCH(General_Currency_Selection,Settings_Currency,0),2)),0)</f>
        <v>0</v>
      </c>
      <c r="H93" s="734"/>
      <c r="I93" s="741"/>
      <c r="J93" s="742">
        <v>0</v>
      </c>
      <c r="K93" s="743">
        <v>0</v>
      </c>
      <c r="L93" s="743">
        <v>0</v>
      </c>
      <c r="M93" s="743">
        <v>0</v>
      </c>
      <c r="N93" s="743">
        <v>0</v>
      </c>
      <c r="O93" s="743">
        <v>0</v>
      </c>
      <c r="P93" s="743">
        <v>0</v>
      </c>
      <c r="Q93" s="743">
        <v>0</v>
      </c>
      <c r="R93" s="743">
        <v>0</v>
      </c>
      <c r="S93" s="251">
        <f t="shared" si="2"/>
        <v>0</v>
      </c>
    </row>
    <row r="94" spans="2:19">
      <c r="B94" s="248" t="s">
        <v>391</v>
      </c>
      <c r="C94" s="733"/>
      <c r="D94" s="734"/>
      <c r="E94" s="735"/>
      <c r="F94" s="736"/>
      <c r="G94" s="289">
        <f>IFERROR(F94/(INDEX(Settings_Currency_Table[],MATCH(General_Currency_Selection,Settings_Currency,0),2)),0)</f>
        <v>0</v>
      </c>
      <c r="H94" s="734"/>
      <c r="I94" s="741"/>
      <c r="J94" s="742">
        <v>0</v>
      </c>
      <c r="K94" s="743">
        <v>0</v>
      </c>
      <c r="L94" s="743">
        <v>0</v>
      </c>
      <c r="M94" s="743">
        <v>0</v>
      </c>
      <c r="N94" s="743">
        <v>0</v>
      </c>
      <c r="O94" s="743">
        <v>0</v>
      </c>
      <c r="P94" s="743">
        <v>0</v>
      </c>
      <c r="Q94" s="743">
        <v>0</v>
      </c>
      <c r="R94" s="743">
        <v>0</v>
      </c>
      <c r="S94" s="251">
        <f t="shared" si="2"/>
        <v>0</v>
      </c>
    </row>
    <row r="95" spans="2:19">
      <c r="B95" s="250" t="s">
        <v>392</v>
      </c>
      <c r="C95" s="733"/>
      <c r="D95" s="734"/>
      <c r="E95" s="735"/>
      <c r="F95" s="736"/>
      <c r="G95" s="289">
        <f>IFERROR(F95/(INDEX(Settings_Currency_Table[],MATCH(General_Currency_Selection,Settings_Currency,0),2)),0)</f>
        <v>0</v>
      </c>
      <c r="H95" s="734"/>
      <c r="I95" s="741"/>
      <c r="J95" s="742">
        <v>0</v>
      </c>
      <c r="K95" s="743">
        <v>0</v>
      </c>
      <c r="L95" s="743">
        <v>0</v>
      </c>
      <c r="M95" s="743">
        <v>0</v>
      </c>
      <c r="N95" s="743">
        <v>0</v>
      </c>
      <c r="O95" s="743">
        <v>0</v>
      </c>
      <c r="P95" s="743">
        <v>0</v>
      </c>
      <c r="Q95" s="743">
        <v>0</v>
      </c>
      <c r="R95" s="743">
        <v>0</v>
      </c>
      <c r="S95" s="251">
        <f t="shared" si="2"/>
        <v>0</v>
      </c>
    </row>
    <row r="96" spans="2:19">
      <c r="B96" s="248" t="s">
        <v>393</v>
      </c>
      <c r="C96" s="733"/>
      <c r="D96" s="734"/>
      <c r="E96" s="735"/>
      <c r="F96" s="736"/>
      <c r="G96" s="289">
        <f>IFERROR(F96/(INDEX(Settings_Currency_Table[],MATCH(General_Currency_Selection,Settings_Currency,0),2)),0)</f>
        <v>0</v>
      </c>
      <c r="H96" s="734"/>
      <c r="I96" s="741"/>
      <c r="J96" s="742">
        <v>0</v>
      </c>
      <c r="K96" s="743">
        <v>0</v>
      </c>
      <c r="L96" s="743">
        <v>0</v>
      </c>
      <c r="M96" s="743">
        <v>0</v>
      </c>
      <c r="N96" s="743">
        <v>0</v>
      </c>
      <c r="O96" s="743">
        <v>0</v>
      </c>
      <c r="P96" s="743">
        <v>0</v>
      </c>
      <c r="Q96" s="743">
        <v>0</v>
      </c>
      <c r="R96" s="743">
        <v>0</v>
      </c>
      <c r="S96" s="251">
        <f t="shared" si="2"/>
        <v>0</v>
      </c>
    </row>
    <row r="97" spans="2:19">
      <c r="B97" s="250" t="s">
        <v>394</v>
      </c>
      <c r="C97" s="733"/>
      <c r="D97" s="734"/>
      <c r="E97" s="735"/>
      <c r="F97" s="736"/>
      <c r="G97" s="289">
        <f>IFERROR(F97/(INDEX(Settings_Currency_Table[],MATCH(General_Currency_Selection,Settings_Currency,0),2)),0)</f>
        <v>0</v>
      </c>
      <c r="H97" s="734"/>
      <c r="I97" s="741"/>
      <c r="J97" s="742">
        <v>0</v>
      </c>
      <c r="K97" s="743">
        <v>0</v>
      </c>
      <c r="L97" s="743">
        <v>0</v>
      </c>
      <c r="M97" s="743">
        <v>0</v>
      </c>
      <c r="N97" s="743">
        <v>0</v>
      </c>
      <c r="O97" s="743">
        <v>0</v>
      </c>
      <c r="P97" s="743">
        <v>0</v>
      </c>
      <c r="Q97" s="743">
        <v>0</v>
      </c>
      <c r="R97" s="743">
        <v>0</v>
      </c>
      <c r="S97" s="251">
        <f t="shared" si="2"/>
        <v>0</v>
      </c>
    </row>
    <row r="98" spans="2:19">
      <c r="B98" s="248" t="s">
        <v>395</v>
      </c>
      <c r="C98" s="733"/>
      <c r="D98" s="734"/>
      <c r="E98" s="735"/>
      <c r="F98" s="736"/>
      <c r="G98" s="289">
        <f>IFERROR(F98/(INDEX(Settings_Currency_Table[],MATCH(General_Currency_Selection,Settings_Currency,0),2)),0)</f>
        <v>0</v>
      </c>
      <c r="H98" s="734"/>
      <c r="I98" s="741"/>
      <c r="J98" s="742">
        <v>0</v>
      </c>
      <c r="K98" s="743">
        <v>0</v>
      </c>
      <c r="L98" s="743">
        <v>0</v>
      </c>
      <c r="M98" s="743">
        <v>0</v>
      </c>
      <c r="N98" s="743">
        <v>0</v>
      </c>
      <c r="O98" s="743">
        <v>0</v>
      </c>
      <c r="P98" s="743">
        <v>0</v>
      </c>
      <c r="Q98" s="743">
        <v>0</v>
      </c>
      <c r="R98" s="743">
        <v>0</v>
      </c>
      <c r="S98" s="251">
        <f t="shared" si="2"/>
        <v>0</v>
      </c>
    </row>
    <row r="99" spans="2:19">
      <c r="B99" s="250" t="s">
        <v>396</v>
      </c>
      <c r="C99" s="733"/>
      <c r="D99" s="734"/>
      <c r="E99" s="735"/>
      <c r="F99" s="736"/>
      <c r="G99" s="289">
        <f>IFERROR(F99/(INDEX(Settings_Currency_Table[],MATCH(General_Currency_Selection,Settings_Currency,0),2)),0)</f>
        <v>0</v>
      </c>
      <c r="H99" s="734"/>
      <c r="I99" s="741"/>
      <c r="J99" s="742">
        <v>0</v>
      </c>
      <c r="K99" s="743">
        <v>0</v>
      </c>
      <c r="L99" s="743">
        <v>0</v>
      </c>
      <c r="M99" s="743">
        <v>0</v>
      </c>
      <c r="N99" s="743">
        <v>0</v>
      </c>
      <c r="O99" s="743">
        <v>0</v>
      </c>
      <c r="P99" s="743">
        <v>0</v>
      </c>
      <c r="Q99" s="743">
        <v>0</v>
      </c>
      <c r="R99" s="743">
        <v>0</v>
      </c>
      <c r="S99" s="251">
        <f t="shared" si="2"/>
        <v>0</v>
      </c>
    </row>
    <row r="100" spans="2:19">
      <c r="B100" s="248" t="s">
        <v>397</v>
      </c>
      <c r="C100" s="733"/>
      <c r="D100" s="734"/>
      <c r="E100" s="735"/>
      <c r="F100" s="736"/>
      <c r="G100" s="289">
        <f>IFERROR(F100/(INDEX(Settings_Currency_Table[],MATCH(General_Currency_Selection,Settings_Currency,0),2)),0)</f>
        <v>0</v>
      </c>
      <c r="H100" s="734"/>
      <c r="I100" s="741"/>
      <c r="J100" s="742">
        <v>0</v>
      </c>
      <c r="K100" s="743">
        <v>0</v>
      </c>
      <c r="L100" s="743">
        <v>0</v>
      </c>
      <c r="M100" s="743">
        <v>0</v>
      </c>
      <c r="N100" s="743">
        <v>0</v>
      </c>
      <c r="O100" s="743">
        <v>0</v>
      </c>
      <c r="P100" s="743">
        <v>0</v>
      </c>
      <c r="Q100" s="743">
        <v>0</v>
      </c>
      <c r="R100" s="743">
        <v>0</v>
      </c>
      <c r="S100" s="251">
        <f t="shared" ref="S100:S103" si="3">SUM(J100:R100)</f>
        <v>0</v>
      </c>
    </row>
    <row r="101" spans="2:19">
      <c r="B101" s="250" t="s">
        <v>398</v>
      </c>
      <c r="C101" s="733"/>
      <c r="D101" s="734"/>
      <c r="E101" s="735"/>
      <c r="F101" s="736"/>
      <c r="G101" s="289">
        <f>IFERROR(F101/(INDEX(Settings_Currency_Table[],MATCH(General_Currency_Selection,Settings_Currency,0),2)),0)</f>
        <v>0</v>
      </c>
      <c r="H101" s="734"/>
      <c r="I101" s="741"/>
      <c r="J101" s="742">
        <v>0</v>
      </c>
      <c r="K101" s="743">
        <v>0</v>
      </c>
      <c r="L101" s="743">
        <v>0</v>
      </c>
      <c r="M101" s="743">
        <v>0</v>
      </c>
      <c r="N101" s="743">
        <v>0</v>
      </c>
      <c r="O101" s="743">
        <v>0</v>
      </c>
      <c r="P101" s="743">
        <v>0</v>
      </c>
      <c r="Q101" s="743">
        <v>0</v>
      </c>
      <c r="R101" s="743">
        <v>0</v>
      </c>
      <c r="S101" s="251">
        <f t="shared" si="3"/>
        <v>0</v>
      </c>
    </row>
    <row r="102" spans="2:19">
      <c r="B102" s="248" t="s">
        <v>399</v>
      </c>
      <c r="C102" s="733"/>
      <c r="D102" s="734"/>
      <c r="E102" s="735"/>
      <c r="F102" s="736"/>
      <c r="G102" s="289">
        <f>IFERROR(F102/(INDEX(Settings_Currency_Table[],MATCH(General_Currency_Selection,Settings_Currency,0),2)),0)</f>
        <v>0</v>
      </c>
      <c r="H102" s="734"/>
      <c r="I102" s="741"/>
      <c r="J102" s="742">
        <v>0</v>
      </c>
      <c r="K102" s="743">
        <v>0</v>
      </c>
      <c r="L102" s="743">
        <v>0</v>
      </c>
      <c r="M102" s="743">
        <v>0</v>
      </c>
      <c r="N102" s="743">
        <v>0</v>
      </c>
      <c r="O102" s="743">
        <v>0</v>
      </c>
      <c r="P102" s="743">
        <v>0</v>
      </c>
      <c r="Q102" s="743">
        <v>0</v>
      </c>
      <c r="R102" s="743">
        <v>0</v>
      </c>
      <c r="S102" s="251">
        <f t="shared" si="3"/>
        <v>0</v>
      </c>
    </row>
    <row r="103" spans="2:19" ht="15" thickBot="1">
      <c r="B103" s="253" t="s">
        <v>400</v>
      </c>
      <c r="C103" s="738"/>
      <c r="D103" s="739"/>
      <c r="E103" s="739"/>
      <c r="F103" s="740"/>
      <c r="G103" s="289">
        <f>IFERROR(F103/(INDEX(Settings_Currency_Table[],MATCH(General_Currency_Selection,Settings_Currency,0),2)),0)</f>
        <v>0</v>
      </c>
      <c r="H103" s="739"/>
      <c r="I103" s="745"/>
      <c r="J103" s="746">
        <v>0</v>
      </c>
      <c r="K103" s="747">
        <v>0</v>
      </c>
      <c r="L103" s="747">
        <v>0</v>
      </c>
      <c r="M103" s="747">
        <v>0</v>
      </c>
      <c r="N103" s="747">
        <v>0</v>
      </c>
      <c r="O103" s="747">
        <v>0</v>
      </c>
      <c r="P103" s="747">
        <v>0</v>
      </c>
      <c r="Q103" s="747">
        <v>0</v>
      </c>
      <c r="R103" s="747">
        <v>0</v>
      </c>
      <c r="S103" s="254">
        <f t="shared" si="3"/>
        <v>0</v>
      </c>
    </row>
    <row r="108" spans="2:19" ht="18.5">
      <c r="B108" s="58"/>
      <c r="C108" s="28"/>
      <c r="D108" s="28"/>
      <c r="E108" s="28"/>
      <c r="F108" s="28"/>
      <c r="G108" s="28"/>
      <c r="H108" s="28"/>
    </row>
    <row r="109" spans="2:19" ht="15.5">
      <c r="B109" s="265"/>
      <c r="C109" s="28"/>
      <c r="D109" s="28"/>
      <c r="E109" s="28"/>
      <c r="F109" s="28"/>
      <c r="G109" s="28"/>
      <c r="H109" s="28"/>
    </row>
    <row r="110" spans="2:19">
      <c r="B110" s="28"/>
      <c r="C110" s="28"/>
      <c r="D110" s="28"/>
      <c r="E110" s="28"/>
      <c r="F110" s="28"/>
      <c r="G110" s="28"/>
      <c r="H110" s="28"/>
    </row>
    <row r="111" spans="2:19">
      <c r="B111" s="266"/>
      <c r="C111" s="267"/>
      <c r="D111" s="28"/>
      <c r="E111" s="28"/>
      <c r="F111" s="28"/>
      <c r="G111" s="28"/>
      <c r="H111" s="28"/>
    </row>
    <row r="112" spans="2:19">
      <c r="B112" s="266"/>
      <c r="C112" s="267"/>
      <c r="D112" s="28"/>
      <c r="E112" s="28"/>
      <c r="F112" s="28"/>
      <c r="G112" s="28"/>
      <c r="H112" s="28"/>
    </row>
    <row r="113" spans="2:8">
      <c r="B113" s="266"/>
      <c r="C113" s="267"/>
      <c r="D113" s="28"/>
      <c r="E113" s="28"/>
      <c r="F113" s="28"/>
      <c r="G113" s="28"/>
      <c r="H113" s="28"/>
    </row>
    <row r="114" spans="2:8">
      <c r="B114" s="266"/>
      <c r="C114" s="267"/>
      <c r="D114" s="28"/>
      <c r="E114" s="28"/>
      <c r="F114" s="28"/>
      <c r="G114" s="28"/>
      <c r="H114" s="28"/>
    </row>
    <row r="115" spans="2:8">
      <c r="B115" s="266"/>
      <c r="C115" s="267"/>
      <c r="D115" s="28"/>
      <c r="E115" s="28"/>
      <c r="F115" s="28"/>
      <c r="G115" s="28"/>
      <c r="H115" s="28"/>
    </row>
    <row r="116" spans="2:8">
      <c r="B116" s="266"/>
      <c r="C116" s="267"/>
      <c r="D116" s="28"/>
      <c r="E116" s="28"/>
      <c r="F116" s="28"/>
      <c r="G116" s="28"/>
      <c r="H116" s="28"/>
    </row>
    <row r="117" spans="2:8" ht="15.5">
      <c r="B117" s="266"/>
      <c r="C117" s="267"/>
      <c r="D117" s="28"/>
      <c r="E117" s="268"/>
      <c r="F117" s="28"/>
      <c r="G117" s="28"/>
      <c r="H117" s="28"/>
    </row>
    <row r="118" spans="2:8" ht="15.5">
      <c r="B118" s="266"/>
      <c r="C118" s="267"/>
      <c r="D118" s="28"/>
      <c r="E118" s="268"/>
      <c r="F118" s="28"/>
      <c r="G118" s="28"/>
      <c r="H118" s="28"/>
    </row>
    <row r="119" spans="2:8" ht="15.5">
      <c r="B119" s="266"/>
      <c r="C119" s="267"/>
      <c r="D119" s="28"/>
      <c r="E119" s="268"/>
      <c r="F119" s="28"/>
      <c r="G119" s="28"/>
      <c r="H119" s="28"/>
    </row>
    <row r="120" spans="2:8" ht="15.5">
      <c r="B120" s="266"/>
      <c r="C120" s="267"/>
      <c r="D120" s="28"/>
      <c r="E120" s="268"/>
      <c r="F120" s="28"/>
      <c r="G120" s="28"/>
      <c r="H120" s="28"/>
    </row>
    <row r="121" spans="2:8">
      <c r="B121" s="266"/>
      <c r="C121" s="267"/>
      <c r="D121" s="28"/>
      <c r="E121" s="28"/>
      <c r="F121" s="28"/>
      <c r="G121" s="28"/>
      <c r="H121" s="28"/>
    </row>
    <row r="122" spans="2:8">
      <c r="B122" s="266"/>
      <c r="C122" s="267"/>
      <c r="D122" s="28"/>
      <c r="E122" s="28"/>
      <c r="F122" s="28"/>
      <c r="G122" s="28"/>
      <c r="H122" s="28"/>
    </row>
    <row r="123" spans="2:8">
      <c r="B123" s="266"/>
      <c r="C123" s="267"/>
      <c r="D123" s="28"/>
      <c r="E123" s="28"/>
      <c r="F123" s="28"/>
      <c r="G123" s="28"/>
      <c r="H123" s="28"/>
    </row>
    <row r="124" spans="2:8">
      <c r="B124" s="266"/>
      <c r="C124" s="267"/>
      <c r="D124" s="28"/>
      <c r="E124" s="28"/>
      <c r="F124" s="28"/>
      <c r="G124" s="28"/>
      <c r="H124" s="28"/>
    </row>
  </sheetData>
  <sheetProtection algorithmName="SHA-512" hashValue="MGPQAvbUQxtJGy+bwAFl6HVbsfmvP5X9096LrlAaFiAink2XYDNQC2E3NFnhu2HNLnmqDGHHGhMbFGiykR6NpQ==" saltValue="iT9UyWPhXuu1Bi3V+ea27A==" spinCount="100000" sheet="1" objects="1" scenarios="1" selectLockedCells="1"/>
  <conditionalFormatting sqref="G5:G103">
    <cfRule type="expression" dxfId="1030" priority="7">
      <formula>IF(INDIRECT("General_Currency_Selection")="CHF",TRUE)</formula>
    </cfRule>
    <cfRule type="expression" dxfId="1029" priority="8">
      <formula>IF(INDIRECT("General_Currency_Selection")="EUR",TRUE)</formula>
    </cfRule>
    <cfRule type="expression" dxfId="1028" priority="9">
      <formula>IF(INDIRECT("General_Currency_Selection")="USD",TRUE)</formula>
    </cfRule>
  </conditionalFormatting>
  <conditionalFormatting sqref="G4:G103">
    <cfRule type="expression" dxfId="1027" priority="1">
      <formula>IF(INDIRECT("General_Currency_Selection")="CHF",TRUE)</formula>
    </cfRule>
    <cfRule type="expression" dxfId="1026" priority="2">
      <formula>IF(INDIRECT("General_Currency_Selection")="EUR",TRUE)</formula>
    </cfRule>
    <cfRule type="expression" dxfId="1025" priority="3">
      <formula>IF(INDIRECT("General_Currency_Selection")="USD",TRUE)</formula>
    </cfRule>
  </conditionalFormatting>
  <dataValidations count="1">
    <dataValidation type="list" allowBlank="1" showInputMessage="1" showErrorMessage="1" sqref="E5:E103">
      <formula1>INDIRECT("General_Products")</formula1>
    </dataValidation>
  </dataValidations>
  <pageMargins left="0.7" right="0.7" top="0.75" bottom="0.75" header="0.3" footer="0.3"/>
  <pageSetup paperSize="9"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79998168889431442"/>
  </sheetPr>
  <dimension ref="B1:AV106"/>
  <sheetViews>
    <sheetView showGridLines="0" showRowColHeaders="0" zoomScale="55" zoomScaleNormal="55" workbookViewId="0">
      <pane xSplit="3" ySplit="6" topLeftCell="D13" activePane="bottomRight" state="frozen"/>
      <selection activeCell="D142" sqref="D142"/>
      <selection pane="topRight" activeCell="D142" sqref="D142"/>
      <selection pane="bottomLeft" activeCell="D142" sqref="D142"/>
      <selection pane="bottomRight" activeCell="Q28" sqref="Q28"/>
    </sheetView>
  </sheetViews>
  <sheetFormatPr defaultColWidth="11.1796875" defaultRowHeight="14.5"/>
  <cols>
    <col min="1" max="1" width="0.81640625" style="238" customWidth="1"/>
    <col min="2" max="2" width="11.453125" style="238" customWidth="1"/>
    <col min="3" max="3" width="44.26953125" style="238" customWidth="1"/>
    <col min="4" max="4" width="10.1796875" style="238" customWidth="1"/>
    <col min="5" max="5" width="10.54296875" style="238" customWidth="1"/>
    <col min="6" max="6" width="20.54296875" style="238" customWidth="1"/>
    <col min="7" max="7" width="11.453125" style="238" customWidth="1"/>
    <col min="8" max="8" width="10.54296875" style="495" customWidth="1"/>
    <col min="9" max="9" width="7.54296875" style="238" bestFit="1" customWidth="1"/>
    <col min="10" max="10" width="5.7265625" style="238" customWidth="1"/>
    <col min="11" max="11" width="7.54296875" style="238" bestFit="1" customWidth="1"/>
    <col min="12" max="12" width="5.453125" style="238" bestFit="1" customWidth="1"/>
    <col min="13" max="13" width="7.54296875" style="238" customWidth="1"/>
    <col min="14" max="14" width="4.26953125" style="238" bestFit="1" customWidth="1"/>
    <col min="15" max="15" width="9.81640625" style="238" customWidth="1"/>
    <col min="16" max="16" width="8" style="238" bestFit="1" customWidth="1"/>
    <col min="17" max="17" width="8.453125" style="238" customWidth="1"/>
    <col min="18" max="18" width="9.7265625" style="238" customWidth="1"/>
    <col min="19" max="19" width="13.1796875" style="238" customWidth="1"/>
    <col min="20" max="21" width="23.54296875" style="238" customWidth="1"/>
    <col min="22" max="22" width="9.81640625" style="238" customWidth="1"/>
    <col min="23" max="23" width="18.54296875" style="238" bestFit="1" customWidth="1"/>
    <col min="24" max="24" width="18.81640625" style="238" customWidth="1"/>
    <col min="25" max="25" width="24" style="238" customWidth="1"/>
    <col min="26" max="26" width="15.54296875" style="238" customWidth="1"/>
    <col min="27" max="35" width="10.54296875" style="238" customWidth="1"/>
    <col min="36" max="36" width="11.1796875" style="238"/>
    <col min="37" max="37" width="40.26953125" style="28" customWidth="1"/>
    <col min="38" max="40" width="11.1796875" style="28" customWidth="1"/>
    <col min="41" max="41" width="11.26953125" style="28" customWidth="1"/>
    <col min="42" max="42" width="12.26953125" style="28" customWidth="1"/>
    <col min="43" max="47" width="11.1796875" style="28" customWidth="1"/>
    <col min="48" max="48" width="11.26953125" style="28" customWidth="1"/>
    <col min="49" max="16384" width="11.1796875" style="238"/>
  </cols>
  <sheetData>
    <row r="1" spans="2:48" ht="21">
      <c r="B1" s="500" t="s">
        <v>840</v>
      </c>
      <c r="C1" s="498"/>
      <c r="D1" s="498"/>
      <c r="E1" s="498"/>
      <c r="F1" s="556"/>
      <c r="G1" s="556"/>
      <c r="H1" s="557"/>
      <c r="I1" s="556"/>
      <c r="J1" s="556"/>
      <c r="K1" s="556"/>
      <c r="L1" s="556"/>
      <c r="M1" s="556"/>
      <c r="N1" s="556"/>
      <c r="O1" s="556"/>
      <c r="P1" s="556"/>
      <c r="Q1" s="556"/>
      <c r="R1" s="556"/>
      <c r="S1" s="556"/>
      <c r="T1" s="556"/>
      <c r="U1" s="556"/>
      <c r="V1" s="556"/>
      <c r="W1" s="501"/>
      <c r="X1" s="502"/>
      <c r="Y1" s="558"/>
      <c r="Z1" s="498"/>
      <c r="AA1" s="500" t="s">
        <v>265</v>
      </c>
      <c r="AB1" s="498"/>
      <c r="AC1" s="498"/>
      <c r="AD1" s="498"/>
      <c r="AE1" s="498"/>
      <c r="AF1" s="498"/>
      <c r="AG1" s="498"/>
      <c r="AH1" s="498"/>
      <c r="AI1" s="498"/>
      <c r="AJ1" s="499"/>
    </row>
    <row r="2" spans="2:48" ht="17.149999999999999" customHeight="1">
      <c r="B2" s="494"/>
      <c r="C2" s="28"/>
      <c r="D2" s="28"/>
      <c r="E2" s="28"/>
      <c r="W2" s="25"/>
      <c r="X2" s="28"/>
      <c r="Y2" s="28"/>
      <c r="Z2" s="28"/>
      <c r="AA2" s="336"/>
      <c r="AB2" s="28"/>
      <c r="AC2" s="28"/>
      <c r="AD2" s="28"/>
      <c r="AE2" s="28"/>
      <c r="AF2" s="28"/>
      <c r="AG2" s="28"/>
      <c r="AH2" s="28"/>
      <c r="AI2" s="28"/>
      <c r="AJ2" s="496"/>
    </row>
    <row r="3" spans="2:48" ht="12" customHeight="1">
      <c r="B3" s="494"/>
      <c r="C3" s="28"/>
      <c r="D3" s="28"/>
      <c r="E3" s="28"/>
      <c r="F3" s="28"/>
      <c r="G3" s="28"/>
      <c r="H3" s="559"/>
      <c r="I3" s="28"/>
      <c r="J3" s="28"/>
      <c r="K3" s="28"/>
      <c r="L3" s="28"/>
      <c r="M3" s="25"/>
      <c r="N3" s="560"/>
      <c r="O3" s="560"/>
      <c r="P3" s="28"/>
      <c r="Q3" s="28"/>
      <c r="R3" s="28"/>
      <c r="S3" s="28"/>
      <c r="T3" s="28"/>
      <c r="U3" s="28"/>
      <c r="W3" s="25"/>
      <c r="X3" s="28"/>
      <c r="Y3" s="28"/>
      <c r="Z3" s="28"/>
      <c r="AA3" s="336"/>
      <c r="AB3" s="28"/>
      <c r="AC3" s="28"/>
      <c r="AD3" s="28"/>
      <c r="AE3" s="28"/>
      <c r="AF3" s="28"/>
      <c r="AG3" s="28"/>
      <c r="AH3" s="28"/>
      <c r="AI3" s="28"/>
      <c r="AJ3" s="496"/>
    </row>
    <row r="4" spans="2:48">
      <c r="B4" s="494"/>
      <c r="C4" s="28"/>
      <c r="D4" s="28"/>
      <c r="E4" s="28"/>
      <c r="F4" s="561"/>
      <c r="I4" s="864" t="s">
        <v>434</v>
      </c>
      <c r="J4" s="865"/>
      <c r="K4" s="865"/>
      <c r="L4" s="865"/>
      <c r="M4" s="865"/>
      <c r="N4" s="865"/>
      <c r="O4" s="865"/>
      <c r="P4" s="865"/>
      <c r="Q4" s="866"/>
      <c r="R4" s="562"/>
      <c r="S4" s="562"/>
      <c r="T4" s="28"/>
      <c r="U4" s="28"/>
      <c r="V4" s="28"/>
      <c r="W4" s="28"/>
      <c r="X4" s="28"/>
      <c r="Y4" s="28"/>
      <c r="Z4" s="28"/>
      <c r="AA4" s="563" t="s">
        <v>47</v>
      </c>
      <c r="AB4" s="28"/>
      <c r="AC4" s="28"/>
      <c r="AD4" s="28"/>
      <c r="AE4" s="28"/>
      <c r="AF4" s="28"/>
      <c r="AG4" s="28"/>
      <c r="AH4" s="28"/>
      <c r="AI4" s="28"/>
      <c r="AJ4" s="496"/>
    </row>
    <row r="5" spans="2:48" ht="16" thickBot="1">
      <c r="B5" s="240"/>
      <c r="C5" s="28"/>
      <c r="D5" s="28"/>
      <c r="E5" s="860" t="s">
        <v>209</v>
      </c>
      <c r="F5" s="861"/>
      <c r="G5" s="564" t="s">
        <v>48</v>
      </c>
      <c r="H5" s="565"/>
      <c r="I5" s="566" t="str">
        <f>INDEX(Equipment_Utitliy_Specs_Units[],1,1)</f>
        <v>Run Time</v>
      </c>
      <c r="J5" s="567"/>
      <c r="K5" s="568" t="str">
        <f>INDEX(Equipment_Utitliy_Specs_Units[],2,1)</f>
        <v>Water</v>
      </c>
      <c r="L5" s="567"/>
      <c r="M5" s="568" t="str">
        <f>INDEX(Equipment_Utitliy_Specs_Units[],3,1)</f>
        <v>Electricity</v>
      </c>
      <c r="N5" s="566"/>
      <c r="O5" s="568" t="str">
        <f>INDEX(Equipment_Utitliy_Specs_Units[],4,1)</f>
        <v>Fuel</v>
      </c>
      <c r="P5" s="566"/>
      <c r="Q5" s="567"/>
      <c r="R5" s="567"/>
      <c r="S5" s="567"/>
      <c r="T5" s="569" t="s">
        <v>626</v>
      </c>
      <c r="U5" s="567"/>
      <c r="V5" s="859" t="s">
        <v>148</v>
      </c>
      <c r="W5" s="859"/>
      <c r="X5" s="859"/>
      <c r="Y5" s="570"/>
      <c r="Z5" s="252"/>
      <c r="AA5" s="862" t="s">
        <v>49</v>
      </c>
      <c r="AB5" s="863"/>
      <c r="AC5" s="863"/>
      <c r="AD5" s="863"/>
      <c r="AE5" s="863"/>
      <c r="AF5" s="863"/>
      <c r="AG5" s="863"/>
      <c r="AH5" s="863"/>
      <c r="AI5" s="863"/>
      <c r="AJ5" s="571"/>
      <c r="AK5" s="265"/>
      <c r="AN5" s="858"/>
      <c r="AO5" s="858"/>
      <c r="AP5" s="858"/>
      <c r="AQ5" s="858"/>
      <c r="AR5" s="858"/>
      <c r="AS5" s="858"/>
      <c r="AT5" s="858"/>
      <c r="AU5" s="858"/>
      <c r="AV5" s="858"/>
    </row>
    <row r="6" spans="2:48" ht="58.5" thickBot="1">
      <c r="B6" s="333" t="s">
        <v>245</v>
      </c>
      <c r="C6" s="572" t="s">
        <v>246</v>
      </c>
      <c r="D6" s="334" t="s">
        <v>431</v>
      </c>
      <c r="E6" s="573" t="s">
        <v>247</v>
      </c>
      <c r="F6" s="573" t="s">
        <v>76</v>
      </c>
      <c r="G6" s="574" t="s">
        <v>906</v>
      </c>
      <c r="H6" s="575" t="s">
        <v>907</v>
      </c>
      <c r="I6" s="576" t="s">
        <v>745</v>
      </c>
      <c r="J6" s="576" t="s">
        <v>76</v>
      </c>
      <c r="K6" s="577" t="s">
        <v>247</v>
      </c>
      <c r="L6" s="577" t="s">
        <v>76</v>
      </c>
      <c r="M6" s="577" t="s">
        <v>247</v>
      </c>
      <c r="N6" s="577" t="s">
        <v>76</v>
      </c>
      <c r="O6" s="577" t="s">
        <v>247</v>
      </c>
      <c r="P6" s="577" t="s">
        <v>76</v>
      </c>
      <c r="Q6" s="573" t="s">
        <v>509</v>
      </c>
      <c r="R6" s="610" t="s">
        <v>638</v>
      </c>
      <c r="S6" s="573" t="s">
        <v>637</v>
      </c>
      <c r="T6" s="573" t="s">
        <v>50</v>
      </c>
      <c r="U6" s="573" t="s">
        <v>701</v>
      </c>
      <c r="V6" s="578" t="s">
        <v>147</v>
      </c>
      <c r="W6" s="578" t="s">
        <v>710</v>
      </c>
      <c r="X6" s="578" t="s">
        <v>711</v>
      </c>
      <c r="Y6" s="579" t="s">
        <v>3</v>
      </c>
      <c r="Z6" s="580" t="s">
        <v>898</v>
      </c>
      <c r="AA6" s="581" t="str">
        <f>INDEX(Unit_codes,COLUMNS($AA6:AA$6))</f>
        <v>U-W</v>
      </c>
      <c r="AB6" s="582" t="str">
        <f>INDEX(Unit_codes,COLUMNS($AA6:AB$6))</f>
        <v>U-T</v>
      </c>
      <c r="AC6" s="582" t="str">
        <f>INDEX(Unit_codes,COLUMNS($AA6:AC$6))</f>
        <v>U-H</v>
      </c>
      <c r="AD6" s="582" t="str">
        <f>INDEX(Unit_codes,COLUMNS($AA6:AD$6))</f>
        <v>U-N-Egg</v>
      </c>
      <c r="AE6" s="582" t="str">
        <f>INDEX(Unit_codes,COLUMNS($AA6:AE$6))</f>
        <v>U-N-5DOL</v>
      </c>
      <c r="AF6" s="582" t="str">
        <f>INDEX(Unit_codes,COLUMNS($AA6:AF$6))</f>
        <v>U-N-17DOL</v>
      </c>
      <c r="AG6" s="582" t="str">
        <f>INDEX(Unit_codes,COLUMNS($AA6:AG$6))</f>
        <v>U-P</v>
      </c>
      <c r="AH6" s="582" t="str">
        <f>INDEX(Unit_codes,COLUMNS($AA6:AH$6))</f>
        <v>U-R</v>
      </c>
      <c r="AI6" s="582" t="str">
        <f>INDEX(Unit_codes,COLUMNS($AA6:AI$6))</f>
        <v>SG&amp;A</v>
      </c>
      <c r="AJ6" s="583" t="s">
        <v>193</v>
      </c>
    </row>
    <row r="7" spans="2:48">
      <c r="B7" s="584" t="s">
        <v>17</v>
      </c>
      <c r="C7" s="585" t="s">
        <v>684</v>
      </c>
      <c r="D7" s="586" t="s">
        <v>433</v>
      </c>
      <c r="E7" s="587"/>
      <c r="F7" s="586" t="s">
        <v>739</v>
      </c>
      <c r="G7" s="588">
        <f>'5.3-Unit SG&amp;A'!$D$42</f>
        <v>51.006739209136754</v>
      </c>
      <c r="H7" s="589">
        <f>G7</f>
        <v>51.006739209136754</v>
      </c>
      <c r="I7" s="590"/>
      <c r="J7" s="586" t="str">
        <f>IF($D7=INDEX(Yes_No_Choice[],1),INDEX(Equipment_Utitliy_Specs_Units[],MATCH($I$5,Equipment_Utility_Spec_List,0),2),"")</f>
        <v/>
      </c>
      <c r="K7" s="586"/>
      <c r="L7" s="586" t="str">
        <f>IF($D7=INDEX(Yes_No_Choice[],1),INDEX(Equipment_Utitliy_Specs_Units[],MATCH($K$5,Equipment_Utility_Spec_List,0),2),"")</f>
        <v/>
      </c>
      <c r="M7" s="586"/>
      <c r="N7" s="586" t="str">
        <f>IF($D7=INDEX(Yes_No_Choice[],1),INDEX(Equipment_Utitliy_Specs_Units[],MATCH($M$5,Equipment_Utility_Spec_List,0),2),"")</f>
        <v/>
      </c>
      <c r="O7" s="590"/>
      <c r="P7" s="586" t="str">
        <f>IF($D7=INDEX(Yes_No_Choice[],1),INDEX(Equipment_Utitliy_Specs_Units[],MATCH($O$5,Equipment_Utility_Spec_List,0),2),"")</f>
        <v/>
      </c>
      <c r="Q7" s="591"/>
      <c r="R7" s="586" t="s">
        <v>433</v>
      </c>
      <c r="S7" s="592"/>
      <c r="T7" s="593">
        <f>IF(General_Factory_Decision=INDEX(Factory_Renting_Buying[],2),'1.0-General input'!$E$77,0)</f>
        <v>0</v>
      </c>
      <c r="U7" s="594">
        <f>IFERROR(T7/(INDEX(Settings_Currency_Table[],MATCH(General_Currency_Selection,Settings_Currency,0),2)),0)</f>
        <v>0</v>
      </c>
      <c r="V7" s="775">
        <v>10</v>
      </c>
      <c r="W7" s="594">
        <f>U7*'1.0-General input'!$E$87</f>
        <v>0</v>
      </c>
      <c r="X7" s="594">
        <f>IFERROR(('2.2-Equipment input'!$U7-W7)/V7,)</f>
        <v>0</v>
      </c>
      <c r="Y7" s="595"/>
      <c r="Z7" s="689">
        <f>IF(General_EquipmentQuant_Auto="Yes",'2.2-Equipment input'!G7,'2.2-Equipment input'!H7)</f>
        <v>51.006739209136754</v>
      </c>
      <c r="AA7" s="596">
        <v>0</v>
      </c>
      <c r="AB7" s="597">
        <v>0</v>
      </c>
      <c r="AC7" s="597">
        <v>0</v>
      </c>
      <c r="AD7" s="597">
        <v>0</v>
      </c>
      <c r="AE7" s="597">
        <v>0</v>
      </c>
      <c r="AF7" s="597">
        <v>0</v>
      </c>
      <c r="AG7" s="597">
        <v>0</v>
      </c>
      <c r="AH7" s="597">
        <v>0</v>
      </c>
      <c r="AI7" s="597">
        <v>1</v>
      </c>
      <c r="AJ7" s="598">
        <f>SUM(AA7:AI7)</f>
        <v>1</v>
      </c>
    </row>
    <row r="8" spans="2:48">
      <c r="B8" s="599" t="s">
        <v>18</v>
      </c>
      <c r="C8" s="585" t="s">
        <v>1033</v>
      </c>
      <c r="D8" s="586"/>
      <c r="E8" s="600"/>
      <c r="F8" s="681" t="s">
        <v>1034</v>
      </c>
      <c r="G8" s="588">
        <f>IF('1.0-General input'!E67="Yes",'2.4-Transport Input'!D51,0)</f>
        <v>0</v>
      </c>
      <c r="H8" s="601">
        <f>G8</f>
        <v>0</v>
      </c>
      <c r="I8" s="602"/>
      <c r="J8" s="586" t="str">
        <f>IF($D8=INDEX(Yes_No_Choice[],1),INDEX(Equipment_Utitliy_Specs_Units[],MATCH($I$5,Equipment_Utility_Spec_List,0),2),"")</f>
        <v/>
      </c>
      <c r="K8" s="586"/>
      <c r="L8" s="586" t="str">
        <f>IF($D8=INDEX(Yes_No_Choice[],1),INDEX(Equipment_Utitliy_Specs_Units[],MATCH($K$5,Equipment_Utility_Spec_List,0),2),"")</f>
        <v/>
      </c>
      <c r="M8" s="586"/>
      <c r="N8" s="586" t="str">
        <f>IF($D8=INDEX(Yes_No_Choice[],1),INDEX(Equipment_Utitliy_Specs_Units[],MATCH($M$5,Equipment_Utility_Spec_List,0),2),"")</f>
        <v/>
      </c>
      <c r="O8" s="602"/>
      <c r="P8" s="586" t="str">
        <f>IF($D8=INDEX(Yes_No_Choice[],1),INDEX(Equipment_Utitliy_Specs_Units[],MATCH($O$5,Equipment_Utility_Spec_List,0),2),"")</f>
        <v/>
      </c>
      <c r="Q8" s="591"/>
      <c r="R8" s="586" t="s">
        <v>433</v>
      </c>
      <c r="S8" s="592"/>
      <c r="T8" s="593">
        <f>'2.4-Transport Input'!D9</f>
        <v>35450000</v>
      </c>
      <c r="U8" s="594">
        <f>IFERROR(T8/(INDEX(Settings_Currency_Table[],MATCH(General_Currency_Selection,Settings_Currency,0),2)),0)</f>
        <v>2510.2285617983575</v>
      </c>
      <c r="V8" s="603">
        <f>'2.4-Transport Input'!D8</f>
        <v>5</v>
      </c>
      <c r="W8" s="594">
        <f>U8*'2.4-Transport Input'!D10</f>
        <v>0</v>
      </c>
      <c r="X8" s="594">
        <f>IFERROR(('2.2-Equipment input'!$U8-W8)/V8,)</f>
        <v>502.04571235967148</v>
      </c>
      <c r="Y8" s="604"/>
      <c r="Z8" s="605">
        <f>IF(General_EquipmentQuant_Auto="Yes",'2.2-Equipment input'!G8,'2.2-Equipment input'!H8)</f>
        <v>0</v>
      </c>
      <c r="AA8" s="596">
        <v>0</v>
      </c>
      <c r="AB8" s="597">
        <v>0</v>
      </c>
      <c r="AC8" s="597">
        <v>0</v>
      </c>
      <c r="AD8" s="597">
        <v>0</v>
      </c>
      <c r="AE8" s="597">
        <v>0</v>
      </c>
      <c r="AF8" s="597">
        <v>0</v>
      </c>
      <c r="AG8" s="597">
        <v>0</v>
      </c>
      <c r="AH8" s="597">
        <v>0</v>
      </c>
      <c r="AI8" s="597">
        <v>1</v>
      </c>
      <c r="AJ8" s="598"/>
    </row>
    <row r="9" spans="2:48">
      <c r="B9" s="584" t="s">
        <v>19</v>
      </c>
      <c r="C9" s="748" t="s">
        <v>5</v>
      </c>
      <c r="D9" s="751" t="s">
        <v>433</v>
      </c>
      <c r="E9" s="759">
        <v>12</v>
      </c>
      <c r="F9" s="591" t="s">
        <v>248</v>
      </c>
      <c r="G9" s="589">
        <f>ROUNDUP(General_WasteInput/Staff_Days_Operation*1000/'2.2-Equipment input'!E9*General_MRT,0)</f>
        <v>16</v>
      </c>
      <c r="H9" s="760"/>
      <c r="I9" s="762"/>
      <c r="J9" s="586" t="str">
        <f>IF($D9=INDEX(Yes_No_Choice[],1),INDEX(Equipment_Utitliy_Specs_Units[],MATCH($I$5,Equipment_Utility_Spec_List,0),2),"")</f>
        <v/>
      </c>
      <c r="K9" s="751"/>
      <c r="L9" s="586" t="str">
        <f>IF($D9=INDEX(Yes_No_Choice[],1),INDEX(Equipment_Utitliy_Specs_Units[],MATCH($K$5,Equipment_Utility_Spec_List,0),2),"")</f>
        <v/>
      </c>
      <c r="M9" s="751"/>
      <c r="N9" s="586" t="str">
        <f>IF($D9=INDEX(Yes_No_Choice[],1),INDEX(Equipment_Utitliy_Specs_Units[],MATCH($M$5,Equipment_Utility_Spec_List,0),2),"")</f>
        <v/>
      </c>
      <c r="O9" s="762"/>
      <c r="P9" s="586" t="str">
        <f>IF($D9=INDEX(Yes_No_Choice[],1),INDEX(Equipment_Utitliy_Specs_Units[],MATCH($O$5,Equipment_Utility_Spec_List,0),2),"")</f>
        <v/>
      </c>
      <c r="Q9" s="735"/>
      <c r="R9" s="751" t="s">
        <v>433</v>
      </c>
      <c r="S9" s="767">
        <f>0.6*0.4</f>
        <v>0.24</v>
      </c>
      <c r="T9" s="768">
        <v>70000</v>
      </c>
      <c r="U9" s="594">
        <f>IFERROR(T9/(INDEX(Settings_Currency_Table[],MATCH(General_Currency_Selection,Settings_Currency,0),2)),0)</f>
        <v>4.9567277665976031</v>
      </c>
      <c r="V9" s="773">
        <v>5</v>
      </c>
      <c r="W9" s="594">
        <f>U9*'1.0-General input'!$E$87</f>
        <v>0</v>
      </c>
      <c r="X9" s="594">
        <f>IFERROR(('2.2-Equipment input'!$U9-W9)/V9,)</f>
        <v>0.99134555331952057</v>
      </c>
      <c r="Y9" s="776"/>
      <c r="Z9" s="605">
        <f>IF(General_EquipmentQuant_Auto="Yes",'2.2-Equipment input'!G9,'2.2-Equipment input'!H9)</f>
        <v>16</v>
      </c>
      <c r="AA9" s="778">
        <v>0</v>
      </c>
      <c r="AB9" s="779">
        <v>0.5</v>
      </c>
      <c r="AC9" s="779">
        <v>0.5</v>
      </c>
      <c r="AD9" s="779">
        <v>0</v>
      </c>
      <c r="AE9" s="779">
        <v>0</v>
      </c>
      <c r="AF9" s="779">
        <v>0</v>
      </c>
      <c r="AG9" s="779">
        <v>0</v>
      </c>
      <c r="AH9" s="779">
        <v>0</v>
      </c>
      <c r="AI9" s="779">
        <v>0</v>
      </c>
      <c r="AJ9" s="598">
        <f t="shared" ref="AJ9:AJ40" si="0">SUM(AA9:AI9)</f>
        <v>1</v>
      </c>
    </row>
    <row r="10" spans="2:48">
      <c r="B10" s="599" t="s">
        <v>20</v>
      </c>
      <c r="C10" s="749" t="s">
        <v>6</v>
      </c>
      <c r="D10" s="751" t="s">
        <v>433</v>
      </c>
      <c r="E10" s="752">
        <v>42</v>
      </c>
      <c r="F10" s="586" t="s">
        <v>249</v>
      </c>
      <c r="G10" s="588">
        <f>ROUNDUP(G9/E10,0)</f>
        <v>1</v>
      </c>
      <c r="H10" s="760"/>
      <c r="I10" s="762"/>
      <c r="J10" s="586" t="str">
        <f>IF($D10=INDEX(Yes_No_Choice[],1),INDEX(Equipment_Utitliy_Specs_Units[],MATCH($I$5,Equipment_Utility_Spec_List,0),2),"")</f>
        <v/>
      </c>
      <c r="K10" s="751"/>
      <c r="L10" s="586" t="str">
        <f>IF($D10=INDEX(Yes_No_Choice[],1),INDEX(Equipment_Utitliy_Specs_Units[],MATCH($K$5,Equipment_Utility_Spec_List,0),2),"")</f>
        <v/>
      </c>
      <c r="M10" s="751"/>
      <c r="N10" s="586" t="str">
        <f>IF($D10=INDEX(Yes_No_Choice[],1),INDEX(Equipment_Utitliy_Specs_Units[],MATCH($M$5,Equipment_Utility_Spec_List,0),2),"")</f>
        <v/>
      </c>
      <c r="O10" s="762"/>
      <c r="P10" s="586" t="str">
        <f>IF($D10=INDEX(Yes_No_Choice[],1),INDEX(Equipment_Utitliy_Specs_Units[],MATCH($O$5,Equipment_Utility_Spec_List,0),2),"")</f>
        <v/>
      </c>
      <c r="Q10" s="735"/>
      <c r="R10" s="751" t="s">
        <v>432</v>
      </c>
      <c r="S10" s="767">
        <f>1.22*1.29</f>
        <v>1.5738000000000001</v>
      </c>
      <c r="T10" s="769">
        <v>150000</v>
      </c>
      <c r="U10" s="594">
        <f>IFERROR(T10/(INDEX(Settings_Currency_Table[],MATCH(General_Currency_Selection,Settings_Currency,0),2)),0)</f>
        <v>10.621559499852006</v>
      </c>
      <c r="V10" s="774">
        <v>5</v>
      </c>
      <c r="W10" s="594">
        <f>U10*'1.0-General input'!$E$87</f>
        <v>0</v>
      </c>
      <c r="X10" s="594">
        <f>IFERROR(('2.2-Equipment input'!$U10-W10)/V10,)</f>
        <v>2.1243118999704014</v>
      </c>
      <c r="Y10" s="776"/>
      <c r="Z10" s="605">
        <f>IF(General_EquipmentQuant_Auto="Yes",'2.2-Equipment input'!G10,'2.2-Equipment input'!H10)</f>
        <v>1</v>
      </c>
      <c r="AA10" s="778">
        <v>0</v>
      </c>
      <c r="AB10" s="779">
        <v>0.44</v>
      </c>
      <c r="AC10" s="779">
        <v>0.43</v>
      </c>
      <c r="AD10" s="779">
        <v>0</v>
      </c>
      <c r="AE10" s="779">
        <v>0</v>
      </c>
      <c r="AF10" s="779">
        <v>0</v>
      </c>
      <c r="AG10" s="779">
        <v>0.13</v>
      </c>
      <c r="AH10" s="779">
        <v>0</v>
      </c>
      <c r="AI10" s="779">
        <v>0</v>
      </c>
      <c r="AJ10" s="598">
        <f t="shared" si="0"/>
        <v>1</v>
      </c>
    </row>
    <row r="11" spans="2:48">
      <c r="B11" s="584" t="s">
        <v>21</v>
      </c>
      <c r="C11" s="749" t="s">
        <v>7</v>
      </c>
      <c r="D11" s="751" t="s">
        <v>433</v>
      </c>
      <c r="E11" s="752">
        <v>6</v>
      </c>
      <c r="F11" s="586" t="s">
        <v>250</v>
      </c>
      <c r="G11" s="588">
        <f>ROUNDUP(E11*G10,0)</f>
        <v>6</v>
      </c>
      <c r="H11" s="760"/>
      <c r="I11" s="762"/>
      <c r="J11" s="586" t="str">
        <f>IF($D11=INDEX(Yes_No_Choice[],1),INDEX(Equipment_Utitliy_Specs_Units[],MATCH($I$5,Equipment_Utility_Spec_List,0),2),"")</f>
        <v/>
      </c>
      <c r="K11" s="751"/>
      <c r="L11" s="586" t="str">
        <f>IF($D11=INDEX(Yes_No_Choice[],1),INDEX(Equipment_Utitliy_Specs_Units[],MATCH($K$5,Equipment_Utility_Spec_List,0),2),"")</f>
        <v/>
      </c>
      <c r="M11" s="751"/>
      <c r="N11" s="586" t="str">
        <f>IF($D11=INDEX(Yes_No_Choice[],1),INDEX(Equipment_Utitliy_Specs_Units[],MATCH($M$5,Equipment_Utility_Spec_List,0),2),"")</f>
        <v/>
      </c>
      <c r="O11" s="762"/>
      <c r="P11" s="586" t="str">
        <f>IF($D11=INDEX(Yes_No_Choice[],1),INDEX(Equipment_Utitliy_Specs_Units[],MATCH($O$5,Equipment_Utility_Spec_List,0),2),"")</f>
        <v/>
      </c>
      <c r="Q11" s="735"/>
      <c r="R11" s="751" t="s">
        <v>433</v>
      </c>
      <c r="S11" s="767">
        <f>1.22*1.29</f>
        <v>1.5738000000000001</v>
      </c>
      <c r="T11" s="769">
        <v>250000</v>
      </c>
      <c r="U11" s="594">
        <f>IFERROR(T11/(INDEX(Settings_Currency_Table[],MATCH(General_Currency_Selection,Settings_Currency,0),2)),0)</f>
        <v>17.702599166420011</v>
      </c>
      <c r="V11" s="774">
        <v>5</v>
      </c>
      <c r="W11" s="594">
        <f>U11*'1.0-General input'!$E$87</f>
        <v>0</v>
      </c>
      <c r="X11" s="594">
        <f>IFERROR(('2.2-Equipment input'!$U11-W11)/V11,)</f>
        <v>3.5405198332840024</v>
      </c>
      <c r="Y11" s="776"/>
      <c r="Z11" s="605">
        <f>IF(General_EquipmentQuant_Auto="Yes",'2.2-Equipment input'!G11,'2.2-Equipment input'!H11)</f>
        <v>6</v>
      </c>
      <c r="AA11" s="778">
        <v>0</v>
      </c>
      <c r="AB11" s="779">
        <v>0.5</v>
      </c>
      <c r="AC11" s="779">
        <v>0.5</v>
      </c>
      <c r="AD11" s="779">
        <v>0</v>
      </c>
      <c r="AE11" s="779">
        <v>0</v>
      </c>
      <c r="AF11" s="779">
        <v>0</v>
      </c>
      <c r="AG11" s="779">
        <v>0</v>
      </c>
      <c r="AH11" s="779">
        <v>0</v>
      </c>
      <c r="AI11" s="779">
        <v>0</v>
      </c>
      <c r="AJ11" s="598">
        <f t="shared" si="0"/>
        <v>1</v>
      </c>
    </row>
    <row r="12" spans="2:48">
      <c r="B12" s="599" t="s">
        <v>22</v>
      </c>
      <c r="C12" s="749" t="s">
        <v>8</v>
      </c>
      <c r="D12" s="751" t="s">
        <v>433</v>
      </c>
      <c r="E12" s="752">
        <v>2520</v>
      </c>
      <c r="F12" s="586" t="s">
        <v>251</v>
      </c>
      <c r="G12" s="588">
        <f>ROUNDUP('1.0-General input'!$E$18/'1.0-General input'!$E$100*1000/'2.2-Equipment input'!E12,0)</f>
        <v>1</v>
      </c>
      <c r="H12" s="760"/>
      <c r="I12" s="762"/>
      <c r="J12" s="586" t="str">
        <f>IF($D12=INDEX(Yes_No_Choice[],1),INDEX(Equipment_Utitliy_Specs_Units[],MATCH($I$5,Equipment_Utility_Spec_List,0),2),"")</f>
        <v/>
      </c>
      <c r="K12" s="751"/>
      <c r="L12" s="586" t="str">
        <f>IF($D12=INDEX(Yes_No_Choice[],1),INDEX(Equipment_Utitliy_Specs_Units[],MATCH($K$5,Equipment_Utility_Spec_List,0),2),"")</f>
        <v/>
      </c>
      <c r="M12" s="751"/>
      <c r="N12" s="586" t="str">
        <f>IF($D12=INDEX(Yes_No_Choice[],1),INDEX(Equipment_Utitliy_Specs_Units[],MATCH($M$5,Equipment_Utility_Spec_List,0),2),"")</f>
        <v/>
      </c>
      <c r="O12" s="762"/>
      <c r="P12" s="586" t="str">
        <f>IF($D12=INDEX(Yes_No_Choice[],1),INDEX(Equipment_Utitliy_Specs_Units[],MATCH($O$5,Equipment_Utility_Spec_List,0),2),"")</f>
        <v/>
      </c>
      <c r="Q12" s="735"/>
      <c r="R12" s="751" t="s">
        <v>433</v>
      </c>
      <c r="S12" s="767">
        <f>1*2</f>
        <v>2</v>
      </c>
      <c r="T12" s="769">
        <v>3000000</v>
      </c>
      <c r="U12" s="594">
        <f>IFERROR(T12/(INDEX(Settings_Currency_Table[],MATCH(General_Currency_Selection,Settings_Currency,0),2)),0)</f>
        <v>212.43118999704012</v>
      </c>
      <c r="V12" s="774">
        <v>5</v>
      </c>
      <c r="W12" s="594">
        <f>U12*'1.0-General input'!$E$87</f>
        <v>0</v>
      </c>
      <c r="X12" s="594">
        <f>IFERROR(('2.2-Equipment input'!$U12-W12)/V12,)</f>
        <v>42.486237999408026</v>
      </c>
      <c r="Y12" s="776" t="s">
        <v>180</v>
      </c>
      <c r="Z12" s="605">
        <f>IF(General_EquipmentQuant_Auto="Yes",'2.2-Equipment input'!G12,'2.2-Equipment input'!H12)</f>
        <v>1</v>
      </c>
      <c r="AA12" s="778">
        <v>0</v>
      </c>
      <c r="AB12" s="779">
        <v>0.44</v>
      </c>
      <c r="AC12" s="779">
        <v>0.43</v>
      </c>
      <c r="AD12" s="779">
        <v>0</v>
      </c>
      <c r="AE12" s="779">
        <v>0</v>
      </c>
      <c r="AF12" s="779">
        <v>0</v>
      </c>
      <c r="AG12" s="779">
        <v>0.13</v>
      </c>
      <c r="AH12" s="779">
        <v>0</v>
      </c>
      <c r="AI12" s="779">
        <v>0</v>
      </c>
      <c r="AJ12" s="598">
        <f t="shared" si="0"/>
        <v>1</v>
      </c>
    </row>
    <row r="13" spans="2:48">
      <c r="B13" s="584" t="s">
        <v>23</v>
      </c>
      <c r="C13" s="749"/>
      <c r="D13" s="751" t="s">
        <v>433</v>
      </c>
      <c r="E13" s="752"/>
      <c r="F13" s="586"/>
      <c r="G13" s="588"/>
      <c r="H13" s="760"/>
      <c r="I13" s="763"/>
      <c r="J13" s="586"/>
      <c r="K13" s="751"/>
      <c r="L13" s="586"/>
      <c r="M13" s="751"/>
      <c r="N13" s="586"/>
      <c r="O13" s="762"/>
      <c r="P13" s="586"/>
      <c r="Q13" s="735"/>
      <c r="R13" s="751" t="s">
        <v>433</v>
      </c>
      <c r="S13" s="767"/>
      <c r="T13" s="769"/>
      <c r="U13" s="594">
        <f>IFERROR(T13/(INDEX(Settings_Currency_Table[],MATCH(General_Currency_Selection,Settings_Currency,0),2)),0)</f>
        <v>0</v>
      </c>
      <c r="V13" s="774"/>
      <c r="W13" s="594">
        <f>U13*'1.0-General input'!$E$87</f>
        <v>0</v>
      </c>
      <c r="X13" s="594">
        <f>IFERROR(('2.2-Equipment input'!$U13-W13)/V13,)</f>
        <v>0</v>
      </c>
      <c r="Y13" s="776"/>
      <c r="Z13" s="605">
        <f>IF(General_EquipmentQuant_Auto="Yes",'2.2-Equipment input'!G13,'2.2-Equipment input'!H13)</f>
        <v>0</v>
      </c>
      <c r="AA13" s="778">
        <v>0</v>
      </c>
      <c r="AB13" s="779">
        <v>0</v>
      </c>
      <c r="AC13" s="779">
        <v>0</v>
      </c>
      <c r="AD13" s="779">
        <v>0</v>
      </c>
      <c r="AE13" s="779">
        <v>0</v>
      </c>
      <c r="AF13" s="779">
        <v>0</v>
      </c>
      <c r="AG13" s="779">
        <v>0</v>
      </c>
      <c r="AH13" s="779">
        <v>0</v>
      </c>
      <c r="AI13" s="779">
        <v>0</v>
      </c>
      <c r="AJ13" s="598">
        <f t="shared" si="0"/>
        <v>0</v>
      </c>
    </row>
    <row r="14" spans="2:48">
      <c r="B14" s="599" t="s">
        <v>24</v>
      </c>
      <c r="C14" s="749" t="s">
        <v>9</v>
      </c>
      <c r="D14" s="751" t="s">
        <v>432</v>
      </c>
      <c r="E14" s="751">
        <v>2520</v>
      </c>
      <c r="F14" s="586" t="s">
        <v>635</v>
      </c>
      <c r="G14" s="588">
        <f>ROUNDUP('1.0-General input'!$E$18*1000/Staff_Days_Operation/E14,0)</f>
        <v>1</v>
      </c>
      <c r="H14" s="760"/>
      <c r="I14" s="763">
        <f>IFERROR('1.0-General input'!$E$18/Staff_Days_Operation*1000/(E14/8*G14),0)</f>
        <v>4.8205721537095632E-2</v>
      </c>
      <c r="J14" s="586" t="str">
        <f>IF($D14=INDEX(Yes_No_Choice[],1),INDEX(Equipment_Utitliy_Specs_Units[],MATCH($I$5,Equipment_Utility_Spec_List,0),2),"")</f>
        <v>h</v>
      </c>
      <c r="K14" s="751">
        <v>0.42899999999999999</v>
      </c>
      <c r="L14" s="586" t="str">
        <f>IF($D14=INDEX(Yes_No_Choice[],1),INDEX(Equipment_Utitliy_Specs_Units[],MATCH($K$5,Equipment_Utility_Spec_List,0),2),"")</f>
        <v>m3/h</v>
      </c>
      <c r="M14" s="751">
        <v>2</v>
      </c>
      <c r="N14" s="586" t="str">
        <f>IF($D14=INDEX(Yes_No_Choice[],1),INDEX(Equipment_Utitliy_Specs_Units[],MATCH($M$5,Equipment_Utility_Spec_List,0),2),"")</f>
        <v>kW</v>
      </c>
      <c r="O14" s="762"/>
      <c r="P14" s="586" t="str">
        <f>IF($D14=INDEX(Yes_No_Choice[],1),INDEX(Equipment_Utitliy_Specs_Units[],MATCH($O$5,Equipment_Utility_Spec_List,0),2),"")</f>
        <v>kg/h</v>
      </c>
      <c r="Q14" s="735"/>
      <c r="R14" s="751" t="s">
        <v>432</v>
      </c>
      <c r="S14" s="767">
        <f>0.5*0.5</f>
        <v>0.25</v>
      </c>
      <c r="T14" s="769">
        <v>9000000</v>
      </c>
      <c r="U14" s="594">
        <f>IFERROR(T14/(INDEX(Settings_Currency_Table[],MATCH(General_Currency_Selection,Settings_Currency,0),2)),0)</f>
        <v>637.29356999112042</v>
      </c>
      <c r="V14" s="751">
        <v>3</v>
      </c>
      <c r="W14" s="594">
        <f>U14*'1.0-General input'!$E$87</f>
        <v>0</v>
      </c>
      <c r="X14" s="594">
        <f>IFERROR(('2.2-Equipment input'!$U14-W14)/V14,)</f>
        <v>212.43118999704015</v>
      </c>
      <c r="Y14" s="776"/>
      <c r="Z14" s="605">
        <f>IF(General_EquipmentQuant_Auto="Yes",'2.2-Equipment input'!G14,'2.2-Equipment input'!H14)</f>
        <v>1</v>
      </c>
      <c r="AA14" s="778">
        <v>0</v>
      </c>
      <c r="AB14" s="779">
        <v>0.3</v>
      </c>
      <c r="AC14" s="779">
        <v>0.3</v>
      </c>
      <c r="AD14" s="779">
        <v>0.13</v>
      </c>
      <c r="AE14" s="779">
        <v>0.1</v>
      </c>
      <c r="AF14" s="779">
        <v>0</v>
      </c>
      <c r="AG14" s="779">
        <v>0.17</v>
      </c>
      <c r="AH14" s="779">
        <v>0</v>
      </c>
      <c r="AI14" s="779">
        <v>0</v>
      </c>
      <c r="AJ14" s="598">
        <f t="shared" si="0"/>
        <v>1</v>
      </c>
    </row>
    <row r="15" spans="2:48">
      <c r="B15" s="584" t="s">
        <v>25</v>
      </c>
      <c r="C15" s="749" t="s">
        <v>642</v>
      </c>
      <c r="D15" s="751" t="s">
        <v>432</v>
      </c>
      <c r="E15" s="752">
        <v>3150</v>
      </c>
      <c r="F15" s="586" t="s">
        <v>634</v>
      </c>
      <c r="G15" s="588">
        <f>ROUNDUP(General_Residue_TotalProd*1000/Staff_Days_Operation/E15,0)</f>
        <v>1</v>
      </c>
      <c r="H15" s="760"/>
      <c r="I15" s="763">
        <f>IFERROR('1.0-General input'!$D$46/Staff_Days_Operation*1000/(E15/8*G15),0)</f>
        <v>7.7129154459352998E-3</v>
      </c>
      <c r="J15" s="586" t="str">
        <f>IF($D15=INDEX(Yes_No_Choice[],1),INDEX(Equipment_Utitliy_Specs_Units[],MATCH($I$5,Equipment_Utility_Spec_List,0),2),"")</f>
        <v>h</v>
      </c>
      <c r="K15" s="751"/>
      <c r="L15" s="586" t="str">
        <f>IF($D15=INDEX(Yes_No_Choice[],1),INDEX(Equipment_Utitliy_Specs_Units[],MATCH($K$5,Equipment_Utility_Spec_List,0),2),"")</f>
        <v>m3/h</v>
      </c>
      <c r="M15" s="751">
        <v>0.74570000000000003</v>
      </c>
      <c r="N15" s="586" t="str">
        <f>IF($D15=INDEX(Yes_No_Choice[],1),INDEX(Equipment_Utitliy_Specs_Units[],MATCH($M$5,Equipment_Utility_Spec_List,0),2),"")</f>
        <v>kW</v>
      </c>
      <c r="O15" s="762"/>
      <c r="P15" s="586" t="str">
        <f>IF($D15=INDEX(Yes_No_Choice[],1),INDEX(Equipment_Utitliy_Specs_Units[],MATCH($O$5,Equipment_Utility_Spec_List,0),2),"")</f>
        <v>kg/h</v>
      </c>
      <c r="Q15" s="735"/>
      <c r="R15" s="751" t="s">
        <v>432</v>
      </c>
      <c r="S15" s="767">
        <f>2*2</f>
        <v>4</v>
      </c>
      <c r="T15" s="769">
        <v>25000000</v>
      </c>
      <c r="U15" s="594">
        <f>IFERROR(T15/(INDEX(Settings_Currency_Table[],MATCH(General_Currency_Selection,Settings_Currency,0),2)),0)</f>
        <v>1770.2599166420011</v>
      </c>
      <c r="V15" s="751">
        <v>5</v>
      </c>
      <c r="W15" s="594">
        <f>U15*'1.0-General input'!$E$87</f>
        <v>0</v>
      </c>
      <c r="X15" s="594">
        <f>IFERROR(('2.2-Equipment input'!$U15-W15)/V15,)</f>
        <v>354.05198332840024</v>
      </c>
      <c r="Y15" s="776"/>
      <c r="Z15" s="605">
        <f>IF(General_EquipmentQuant_Auto="Yes",'2.2-Equipment input'!G15,'2.2-Equipment input'!H15)</f>
        <v>1</v>
      </c>
      <c r="AA15" s="778">
        <v>0</v>
      </c>
      <c r="AB15" s="779">
        <v>0</v>
      </c>
      <c r="AC15" s="779">
        <v>1</v>
      </c>
      <c r="AD15" s="779">
        <v>0</v>
      </c>
      <c r="AE15" s="779">
        <v>0</v>
      </c>
      <c r="AF15" s="779">
        <v>0</v>
      </c>
      <c r="AG15" s="779">
        <v>0</v>
      </c>
      <c r="AH15" s="779">
        <v>0</v>
      </c>
      <c r="AI15" s="779">
        <v>0</v>
      </c>
      <c r="AJ15" s="598">
        <f t="shared" si="0"/>
        <v>1</v>
      </c>
    </row>
    <row r="16" spans="2:48">
      <c r="B16" s="599" t="s">
        <v>26</v>
      </c>
      <c r="C16" s="749" t="s">
        <v>149</v>
      </c>
      <c r="D16" s="751" t="s">
        <v>433</v>
      </c>
      <c r="E16" s="752">
        <v>84</v>
      </c>
      <c r="F16" s="586" t="s">
        <v>644</v>
      </c>
      <c r="G16" s="588">
        <f>ROUNDUP(G9/General_MRT/E16,0)</f>
        <v>1</v>
      </c>
      <c r="H16" s="760"/>
      <c r="I16" s="762"/>
      <c r="J16" s="586" t="str">
        <f>IF($D16=INDEX(Yes_No_Choice[],1),INDEX(Equipment_Utitliy_Specs_Units[],MATCH($I$5,Equipment_Utility_Spec_List,0),2),"")</f>
        <v/>
      </c>
      <c r="K16" s="751"/>
      <c r="L16" s="586" t="str">
        <f>IF($D16=INDEX(Yes_No_Choice[],1),INDEX(Equipment_Utitliy_Specs_Units[],MATCH($K$5,Equipment_Utility_Spec_List,0),2),"")</f>
        <v/>
      </c>
      <c r="M16" s="751"/>
      <c r="N16" s="586" t="str">
        <f>IF($D16=INDEX(Yes_No_Choice[],1),INDEX(Equipment_Utitliy_Specs_Units[],MATCH($M$5,Equipment_Utility_Spec_List,0),2),"")</f>
        <v/>
      </c>
      <c r="O16" s="762"/>
      <c r="P16" s="586" t="str">
        <f>IF($D16=INDEX(Yes_No_Choice[],1),INDEX(Equipment_Utitliy_Specs_Units[],MATCH($O$5,Equipment_Utility_Spec_List,0),2),"")</f>
        <v/>
      </c>
      <c r="Q16" s="735"/>
      <c r="R16" s="751" t="s">
        <v>433</v>
      </c>
      <c r="S16" s="767"/>
      <c r="T16" s="769">
        <v>14350000</v>
      </c>
      <c r="U16" s="594">
        <f>IFERROR(T16/(INDEX(Settings_Currency_Table[],MATCH(General_Currency_Selection,Settings_Currency,0),2)),0)</f>
        <v>1016.1291921525086</v>
      </c>
      <c r="V16" s="751">
        <v>5</v>
      </c>
      <c r="W16" s="594">
        <f>U16*'1.0-General input'!$E$87</f>
        <v>0</v>
      </c>
      <c r="X16" s="594">
        <f>IFERROR(('2.2-Equipment input'!$U16-W16)/V16,)</f>
        <v>203.22583843050171</v>
      </c>
      <c r="Y16" s="776"/>
      <c r="Z16" s="605">
        <f>IF(General_EquipmentQuant_Auto="Yes",'2.2-Equipment input'!G16,'2.2-Equipment input'!H16)</f>
        <v>1</v>
      </c>
      <c r="AA16" s="778">
        <v>0</v>
      </c>
      <c r="AB16" s="779">
        <v>0</v>
      </c>
      <c r="AC16" s="779">
        <v>1</v>
      </c>
      <c r="AD16" s="779">
        <v>0</v>
      </c>
      <c r="AE16" s="779">
        <v>0</v>
      </c>
      <c r="AF16" s="779">
        <v>0</v>
      </c>
      <c r="AG16" s="779">
        <v>0</v>
      </c>
      <c r="AH16" s="779">
        <v>0</v>
      </c>
      <c r="AI16" s="779">
        <v>0</v>
      </c>
      <c r="AJ16" s="598">
        <f t="shared" si="0"/>
        <v>1</v>
      </c>
    </row>
    <row r="17" spans="2:36">
      <c r="B17" s="584" t="s">
        <v>27</v>
      </c>
      <c r="C17" s="749" t="s">
        <v>110</v>
      </c>
      <c r="D17" s="751" t="s">
        <v>433</v>
      </c>
      <c r="E17" s="752">
        <v>1</v>
      </c>
      <c r="F17" s="586" t="s">
        <v>661</v>
      </c>
      <c r="G17" s="588">
        <f>G16</f>
        <v>1</v>
      </c>
      <c r="H17" s="760"/>
      <c r="I17" s="762"/>
      <c r="J17" s="586" t="str">
        <f>IF($D17=INDEX(Yes_No_Choice[],1),INDEX(Equipment_Utitliy_Specs_Units[],MATCH($I$5,Equipment_Utility_Spec_List,0),2),"")</f>
        <v/>
      </c>
      <c r="K17" s="751"/>
      <c r="L17" s="586" t="str">
        <f>IF($D17=INDEX(Yes_No_Choice[],1),INDEX(Equipment_Utitliy_Specs_Units[],MATCH($K$5,Equipment_Utility_Spec_List,0),2),"")</f>
        <v/>
      </c>
      <c r="M17" s="751"/>
      <c r="N17" s="586" t="str">
        <f>IF($D17=INDEX(Yes_No_Choice[],1),INDEX(Equipment_Utitliy_Specs_Units[],MATCH($M$5,Equipment_Utility_Spec_List,0),2),"")</f>
        <v/>
      </c>
      <c r="O17" s="762"/>
      <c r="P17" s="586" t="str">
        <f>IF($D17=INDEX(Yes_No_Choice[],1),INDEX(Equipment_Utitliy_Specs_Units[],MATCH($O$5,Equipment_Utility_Spec_List,0),2),"")</f>
        <v/>
      </c>
      <c r="Q17" s="735"/>
      <c r="R17" s="751" t="s">
        <v>433</v>
      </c>
      <c r="S17" s="767"/>
      <c r="T17" s="769">
        <v>6000000</v>
      </c>
      <c r="U17" s="594">
        <f>IFERROR(T17/(INDEX(Settings_Currency_Table[],MATCH(General_Currency_Selection,Settings_Currency,0),2)),0)</f>
        <v>424.86237999408024</v>
      </c>
      <c r="V17" s="751">
        <v>5</v>
      </c>
      <c r="W17" s="594">
        <f>U17*'1.0-General input'!$E$87</f>
        <v>0</v>
      </c>
      <c r="X17" s="594">
        <f>IFERROR(('2.2-Equipment input'!$U17-W17)/V17,)</f>
        <v>84.972475998816051</v>
      </c>
      <c r="Y17" s="776"/>
      <c r="Z17" s="605">
        <f>IF(General_EquipmentQuant_Auto="Yes",'2.2-Equipment input'!G17,'2.2-Equipment input'!H17)</f>
        <v>1</v>
      </c>
      <c r="AA17" s="778">
        <v>0</v>
      </c>
      <c r="AB17" s="779">
        <v>0</v>
      </c>
      <c r="AC17" s="779">
        <v>1</v>
      </c>
      <c r="AD17" s="779">
        <v>0</v>
      </c>
      <c r="AE17" s="779">
        <v>0</v>
      </c>
      <c r="AF17" s="779">
        <v>0</v>
      </c>
      <c r="AG17" s="779">
        <v>0</v>
      </c>
      <c r="AH17" s="779">
        <v>0</v>
      </c>
      <c r="AI17" s="779">
        <v>0</v>
      </c>
      <c r="AJ17" s="598">
        <f t="shared" si="0"/>
        <v>1</v>
      </c>
    </row>
    <row r="18" spans="2:36">
      <c r="B18" s="599" t="s">
        <v>28</v>
      </c>
      <c r="C18" s="749" t="s">
        <v>111</v>
      </c>
      <c r="D18" s="751" t="s">
        <v>433</v>
      </c>
      <c r="E18" s="752">
        <v>1</v>
      </c>
      <c r="F18" s="586" t="s">
        <v>662</v>
      </c>
      <c r="G18" s="588">
        <f>G16</f>
        <v>1</v>
      </c>
      <c r="H18" s="760"/>
      <c r="I18" s="762"/>
      <c r="J18" s="586" t="str">
        <f>IF($D18=INDEX(Yes_No_Choice[],1),INDEX(Equipment_Utitliy_Specs_Units[],MATCH($I$5,Equipment_Utility_Spec_List,0),2),"")</f>
        <v/>
      </c>
      <c r="K18" s="751"/>
      <c r="L18" s="586" t="str">
        <f>IF($D18=INDEX(Yes_No_Choice[],1),INDEX(Equipment_Utitliy_Specs_Units[],MATCH($K$5,Equipment_Utility_Spec_List,0),2),"")</f>
        <v/>
      </c>
      <c r="M18" s="751"/>
      <c r="N18" s="586" t="str">
        <f>IF($D18=INDEX(Yes_No_Choice[],1),INDEX(Equipment_Utitliy_Specs_Units[],MATCH($M$5,Equipment_Utility_Spec_List,0),2),"")</f>
        <v/>
      </c>
      <c r="O18" s="762"/>
      <c r="P18" s="586" t="str">
        <f>IF($D18=INDEX(Yes_No_Choice[],1),INDEX(Equipment_Utitliy_Specs_Units[],MATCH($O$5,Equipment_Utility_Spec_List,0),2),"")</f>
        <v/>
      </c>
      <c r="Q18" s="735"/>
      <c r="R18" s="751" t="s">
        <v>433</v>
      </c>
      <c r="S18" s="767"/>
      <c r="T18" s="769">
        <v>20000</v>
      </c>
      <c r="U18" s="594">
        <f>IFERROR(T18/(INDEX(Settings_Currency_Table[],MATCH(General_Currency_Selection,Settings_Currency,0),2)),0)</f>
        <v>1.4162079333136008</v>
      </c>
      <c r="V18" s="751">
        <v>3</v>
      </c>
      <c r="W18" s="594">
        <f>U18*'1.0-General input'!$E$87</f>
        <v>0</v>
      </c>
      <c r="X18" s="594">
        <f>IFERROR(('2.2-Equipment input'!$U18-W18)/V18,)</f>
        <v>0.4720693111045336</v>
      </c>
      <c r="Y18" s="776"/>
      <c r="Z18" s="605">
        <f>IF(General_EquipmentQuant_Auto="Yes",'2.2-Equipment input'!G18,'2.2-Equipment input'!H18)</f>
        <v>1</v>
      </c>
      <c r="AA18" s="778">
        <v>0</v>
      </c>
      <c r="AB18" s="779">
        <v>0</v>
      </c>
      <c r="AC18" s="779">
        <v>1</v>
      </c>
      <c r="AD18" s="779">
        <v>0</v>
      </c>
      <c r="AE18" s="779">
        <v>0</v>
      </c>
      <c r="AF18" s="779">
        <v>0</v>
      </c>
      <c r="AG18" s="779">
        <v>0</v>
      </c>
      <c r="AH18" s="779">
        <v>0</v>
      </c>
      <c r="AI18" s="779">
        <v>0</v>
      </c>
      <c r="AJ18" s="598">
        <f t="shared" si="0"/>
        <v>1</v>
      </c>
    </row>
    <row r="19" spans="2:36">
      <c r="B19" s="584" t="s">
        <v>29</v>
      </c>
      <c r="C19" s="749" t="s">
        <v>728</v>
      </c>
      <c r="D19" s="751" t="s">
        <v>433</v>
      </c>
      <c r="E19" s="752">
        <v>5000</v>
      </c>
      <c r="F19" s="586" t="s">
        <v>252</v>
      </c>
      <c r="G19" s="588">
        <f>IF(ROUNDUP(('4.1-Settings Database'!$M$15*'4.1-Settings Database'!$J$26)/'2.2-Equipment input'!E19,0)&lt;8,8,ROUNDUP('4.1-Settings Database'!$M$15*'4.1-Settings Database'!$J$26/'2.2-Equipment input'!E19,0))</f>
        <v>8</v>
      </c>
      <c r="H19" s="760"/>
      <c r="I19" s="762"/>
      <c r="J19" s="586" t="str">
        <f>IF($D19=INDEX(Yes_No_Choice[],1),INDEX(Equipment_Utitliy_Specs_Units[],MATCH($I$5,Equipment_Utility_Spec_List,0),2),"")</f>
        <v/>
      </c>
      <c r="K19" s="751"/>
      <c r="L19" s="586" t="str">
        <f>IF($D19=INDEX(Yes_No_Choice[],1),INDEX(Equipment_Utitliy_Specs_Units[],MATCH($K$5,Equipment_Utility_Spec_List,0),2),"")</f>
        <v/>
      </c>
      <c r="M19" s="751"/>
      <c r="N19" s="586" t="str">
        <f>IF($D19=INDEX(Yes_No_Choice[],1),INDEX(Equipment_Utitliy_Specs_Units[],MATCH($M$5,Equipment_Utility_Spec_List,0),2),"")</f>
        <v/>
      </c>
      <c r="O19" s="762"/>
      <c r="P19" s="586" t="str">
        <f>IF($D19=INDEX(Yes_No_Choice[],1),INDEX(Equipment_Utitliy_Specs_Units[],MATCH($O$5,Equipment_Utility_Spec_List,0),2),"")</f>
        <v/>
      </c>
      <c r="Q19" s="735"/>
      <c r="R19" s="751" t="s">
        <v>433</v>
      </c>
      <c r="S19" s="767">
        <f>0.6*0.4</f>
        <v>0.24</v>
      </c>
      <c r="T19" s="769">
        <v>70000</v>
      </c>
      <c r="U19" s="594">
        <f>IFERROR(T19/(INDEX(Settings_Currency_Table[],MATCH(General_Currency_Selection,Settings_Currency,0),2)),0)</f>
        <v>4.9567277665976031</v>
      </c>
      <c r="V19" s="751">
        <v>5</v>
      </c>
      <c r="W19" s="594">
        <f>U19*'1.0-General input'!$E$87</f>
        <v>0</v>
      </c>
      <c r="X19" s="594">
        <f>IFERROR(('2.2-Equipment input'!$U19-W19)/V19,)</f>
        <v>0.99134555331952057</v>
      </c>
      <c r="Y19" s="776"/>
      <c r="Z19" s="605">
        <f>IF(General_EquipmentQuant_Auto="Yes",'2.2-Equipment input'!G19,'2.2-Equipment input'!H19)</f>
        <v>8</v>
      </c>
      <c r="AA19" s="778">
        <v>0</v>
      </c>
      <c r="AB19" s="779">
        <v>0</v>
      </c>
      <c r="AC19" s="779">
        <v>0</v>
      </c>
      <c r="AD19" s="779">
        <v>1</v>
      </c>
      <c r="AE19" s="779">
        <v>0</v>
      </c>
      <c r="AF19" s="779">
        <v>0</v>
      </c>
      <c r="AG19" s="779">
        <v>0</v>
      </c>
      <c r="AH19" s="779">
        <v>0</v>
      </c>
      <c r="AI19" s="779">
        <v>0</v>
      </c>
      <c r="AJ19" s="598">
        <f t="shared" si="0"/>
        <v>1</v>
      </c>
    </row>
    <row r="20" spans="2:36">
      <c r="B20" s="599" t="s">
        <v>30</v>
      </c>
      <c r="C20" s="749" t="s">
        <v>729</v>
      </c>
      <c r="D20" s="751" t="s">
        <v>433</v>
      </c>
      <c r="E20" s="752">
        <v>16</v>
      </c>
      <c r="F20" s="586" t="s">
        <v>253</v>
      </c>
      <c r="G20" s="588">
        <f>IF(ROUNDUP(G19/E20,0)&lt;2,2,ROUNDUP(G19/E20,0))</f>
        <v>2</v>
      </c>
      <c r="H20" s="760"/>
      <c r="I20" s="762"/>
      <c r="J20" s="586" t="str">
        <f>IF($D20=INDEX(Yes_No_Choice[],1),INDEX(Equipment_Utitliy_Specs_Units[],MATCH($I$5,Equipment_Utility_Spec_List,0),2),"")</f>
        <v/>
      </c>
      <c r="K20" s="751"/>
      <c r="L20" s="586" t="str">
        <f>IF($D20=INDEX(Yes_No_Choice[],1),INDEX(Equipment_Utitliy_Specs_Units[],MATCH($K$5,Equipment_Utility_Spec_List,0),2),"")</f>
        <v/>
      </c>
      <c r="M20" s="751"/>
      <c r="N20" s="586" t="str">
        <f>IF($D20=INDEX(Yes_No_Choice[],1),INDEX(Equipment_Utitliy_Specs_Units[],MATCH($M$5,Equipment_Utility_Spec_List,0),2),"")</f>
        <v/>
      </c>
      <c r="O20" s="762"/>
      <c r="P20" s="586" t="str">
        <f>IF($D20=INDEX(Yes_No_Choice[],1),INDEX(Equipment_Utitliy_Specs_Units[],MATCH($O$5,Equipment_Utility_Spec_List,0),2),"")</f>
        <v/>
      </c>
      <c r="Q20" s="735"/>
      <c r="R20" s="751" t="s">
        <v>433</v>
      </c>
      <c r="S20" s="767">
        <f>0.7*0.7</f>
        <v>0.48999999999999994</v>
      </c>
      <c r="T20" s="769">
        <v>1000000</v>
      </c>
      <c r="U20" s="594">
        <f>IFERROR(T20/(INDEX(Settings_Currency_Table[],MATCH(General_Currency_Selection,Settings_Currency,0),2)),0)</f>
        <v>70.810396665680045</v>
      </c>
      <c r="V20" s="751">
        <v>1</v>
      </c>
      <c r="W20" s="594">
        <f>U20*'1.0-General input'!$E$87</f>
        <v>0</v>
      </c>
      <c r="X20" s="594">
        <f>IFERROR(('2.2-Equipment input'!$U20-W20)/V20,)</f>
        <v>70.810396665680045</v>
      </c>
      <c r="Y20" s="776"/>
      <c r="Z20" s="605">
        <f>IF(General_EquipmentQuant_Auto="Yes",'2.2-Equipment input'!G20,'2.2-Equipment input'!H20)</f>
        <v>2</v>
      </c>
      <c r="AA20" s="778">
        <v>0</v>
      </c>
      <c r="AB20" s="779">
        <v>0</v>
      </c>
      <c r="AC20" s="779">
        <v>0</v>
      </c>
      <c r="AD20" s="779">
        <v>1</v>
      </c>
      <c r="AE20" s="779">
        <v>0</v>
      </c>
      <c r="AF20" s="779">
        <v>0</v>
      </c>
      <c r="AG20" s="779">
        <v>0</v>
      </c>
      <c r="AH20" s="779">
        <v>0</v>
      </c>
      <c r="AI20" s="779">
        <v>0</v>
      </c>
      <c r="AJ20" s="598">
        <f t="shared" si="0"/>
        <v>1</v>
      </c>
    </row>
    <row r="21" spans="2:36">
      <c r="B21" s="584" t="s">
        <v>31</v>
      </c>
      <c r="C21" s="749" t="s">
        <v>10</v>
      </c>
      <c r="D21" s="751" t="s">
        <v>433</v>
      </c>
      <c r="E21" s="752">
        <v>1</v>
      </c>
      <c r="F21" s="586" t="s">
        <v>254</v>
      </c>
      <c r="G21" s="588">
        <f>ROUNDUP(G20/E21,0)</f>
        <v>2</v>
      </c>
      <c r="H21" s="760"/>
      <c r="I21" s="762"/>
      <c r="J21" s="586" t="str">
        <f>IF($D21=INDEX(Yes_No_Choice[],1),INDEX(Equipment_Utitliy_Specs_Units[],MATCH($I$5,Equipment_Utility_Spec_List,0),2),"")</f>
        <v/>
      </c>
      <c r="K21" s="751"/>
      <c r="L21" s="586" t="str">
        <f>IF($D21=INDEX(Yes_No_Choice[],1),INDEX(Equipment_Utitliy_Specs_Units[],MATCH($K$5,Equipment_Utility_Spec_List,0),2),"")</f>
        <v/>
      </c>
      <c r="M21" s="751"/>
      <c r="N21" s="586" t="str">
        <f>IF($D21=INDEX(Yes_No_Choice[],1),INDEX(Equipment_Utitliy_Specs_Units[],MATCH($M$5,Equipment_Utility_Spec_List,0),2),"")</f>
        <v/>
      </c>
      <c r="O21" s="762"/>
      <c r="P21" s="586" t="str">
        <f>IF($D21=INDEX(Yes_No_Choice[],1),INDEX(Equipment_Utitliy_Specs_Units[],MATCH($O$5,Equipment_Utility_Spec_List,0),2),"")</f>
        <v/>
      </c>
      <c r="Q21" s="735"/>
      <c r="R21" s="751" t="s">
        <v>432</v>
      </c>
      <c r="S21" s="767">
        <f>1.45*0.75</f>
        <v>1.0874999999999999</v>
      </c>
      <c r="T21" s="769">
        <v>2000000</v>
      </c>
      <c r="U21" s="594">
        <f>IFERROR(T21/(INDEX(Settings_Currency_Table[],MATCH(General_Currency_Selection,Settings_Currency,0),2)),0)</f>
        <v>141.62079333136009</v>
      </c>
      <c r="V21" s="751">
        <v>5</v>
      </c>
      <c r="W21" s="594">
        <f>U21*'1.0-General input'!$E$87</f>
        <v>0</v>
      </c>
      <c r="X21" s="594">
        <f>IFERROR(('2.2-Equipment input'!$U21-W21)/V21,)</f>
        <v>28.32415866627202</v>
      </c>
      <c r="Y21" s="776"/>
      <c r="Z21" s="605">
        <f>IF(General_EquipmentQuant_Auto="Yes",'2.2-Equipment input'!G21,'2.2-Equipment input'!H21)</f>
        <v>2</v>
      </c>
      <c r="AA21" s="778">
        <v>0</v>
      </c>
      <c r="AB21" s="779">
        <v>0</v>
      </c>
      <c r="AC21" s="779">
        <v>0</v>
      </c>
      <c r="AD21" s="779">
        <v>1</v>
      </c>
      <c r="AE21" s="779">
        <v>0</v>
      </c>
      <c r="AF21" s="779">
        <v>0</v>
      </c>
      <c r="AG21" s="779">
        <v>0</v>
      </c>
      <c r="AH21" s="779">
        <v>0</v>
      </c>
      <c r="AI21" s="779">
        <v>0</v>
      </c>
      <c r="AJ21" s="598">
        <f t="shared" si="0"/>
        <v>1</v>
      </c>
    </row>
    <row r="22" spans="2:36">
      <c r="B22" s="599" t="s">
        <v>32</v>
      </c>
      <c r="C22" s="749" t="s">
        <v>727</v>
      </c>
      <c r="D22" s="751" t="s">
        <v>433</v>
      </c>
      <c r="E22" s="752">
        <v>9000</v>
      </c>
      <c r="F22" s="586" t="s">
        <v>255</v>
      </c>
      <c r="G22" s="588">
        <f>IF(ROUNDUP('4.1-Settings Database'!$M$14*'4.1-Settings Database'!$J$28/'2.2-Equipment input'!E22,0)&lt;3,3,ROUNDUP('4.1-Settings Database'!$M$14*'4.1-Settings Database'!$J$28/'2.2-Equipment input'!E22,0))</f>
        <v>3</v>
      </c>
      <c r="H22" s="760"/>
      <c r="I22" s="762"/>
      <c r="J22" s="586" t="str">
        <f>IF($D22=INDEX(Yes_No_Choice[],1),INDEX(Equipment_Utitliy_Specs_Units[],MATCH($I$5,Equipment_Utility_Spec_List,0),2),"")</f>
        <v/>
      </c>
      <c r="K22" s="751"/>
      <c r="L22" s="586" t="str">
        <f>IF($D22=INDEX(Yes_No_Choice[],1),INDEX(Equipment_Utitliy_Specs_Units[],MATCH($K$5,Equipment_Utility_Spec_List,0),2),"")</f>
        <v/>
      </c>
      <c r="M22" s="751"/>
      <c r="N22" s="586" t="str">
        <f>IF($D22=INDEX(Yes_No_Choice[],1),INDEX(Equipment_Utitliy_Specs_Units[],MATCH($M$5,Equipment_Utility_Spec_List,0),2),"")</f>
        <v/>
      </c>
      <c r="O22" s="762"/>
      <c r="P22" s="586" t="str">
        <f>IF($D22=INDEX(Yes_No_Choice[],1),INDEX(Equipment_Utitliy_Specs_Units[],MATCH($O$5,Equipment_Utility_Spec_List,0),2),"")</f>
        <v/>
      </c>
      <c r="Q22" s="735"/>
      <c r="R22" s="751" t="s">
        <v>432</v>
      </c>
      <c r="S22" s="767">
        <f>0.7*0.7</f>
        <v>0.48999999999999994</v>
      </c>
      <c r="T22" s="769">
        <v>350000</v>
      </c>
      <c r="U22" s="594">
        <f>IFERROR(T22/(INDEX(Settings_Currency_Table[],MATCH(General_Currency_Selection,Settings_Currency,0),2)),0)</f>
        <v>24.783638832988014</v>
      </c>
      <c r="V22" s="751">
        <v>1</v>
      </c>
      <c r="W22" s="594">
        <f>U22*'1.0-General input'!$E$87</f>
        <v>0</v>
      </c>
      <c r="X22" s="594">
        <f>IFERROR(('2.2-Equipment input'!$U22-W22)/V22,)</f>
        <v>24.783638832988014</v>
      </c>
      <c r="Y22" s="776"/>
      <c r="Z22" s="605">
        <f>IF(General_EquipmentQuant_Auto="Yes",'2.2-Equipment input'!G22,'2.2-Equipment input'!H22)</f>
        <v>3</v>
      </c>
      <c r="AA22" s="778">
        <v>0</v>
      </c>
      <c r="AB22" s="779">
        <v>0</v>
      </c>
      <c r="AC22" s="779">
        <v>0</v>
      </c>
      <c r="AD22" s="779">
        <v>1</v>
      </c>
      <c r="AE22" s="779">
        <v>0</v>
      </c>
      <c r="AF22" s="779">
        <v>0</v>
      </c>
      <c r="AG22" s="779">
        <v>0</v>
      </c>
      <c r="AH22" s="779">
        <v>0</v>
      </c>
      <c r="AI22" s="779">
        <v>0</v>
      </c>
      <c r="AJ22" s="598">
        <f t="shared" si="0"/>
        <v>1</v>
      </c>
    </row>
    <row r="23" spans="2:36">
      <c r="B23" s="584" t="s">
        <v>33</v>
      </c>
      <c r="C23" s="749" t="s">
        <v>663</v>
      </c>
      <c r="D23" s="751" t="s">
        <v>433</v>
      </c>
      <c r="E23" s="752">
        <v>1</v>
      </c>
      <c r="F23" s="586" t="s">
        <v>256</v>
      </c>
      <c r="G23" s="588">
        <f>ROUNDUP(G22/E23,0)</f>
        <v>3</v>
      </c>
      <c r="H23" s="760"/>
      <c r="I23" s="762"/>
      <c r="J23" s="586" t="str">
        <f>IF($D23=INDEX(Yes_No_Choice[],1),INDEX(Equipment_Utitliy_Specs_Units[],MATCH($I$5,Equipment_Utility_Spec_List,0),2),"")</f>
        <v/>
      </c>
      <c r="K23" s="751"/>
      <c r="L23" s="586" t="str">
        <f>IF($D23=INDEX(Yes_No_Choice[],1),INDEX(Equipment_Utitliy_Specs_Units[],MATCH($K$5,Equipment_Utility_Spec_List,0),2),"")</f>
        <v/>
      </c>
      <c r="M23" s="751"/>
      <c r="N23" s="586" t="str">
        <f>IF($D23=INDEX(Yes_No_Choice[],1),INDEX(Equipment_Utitliy_Specs_Units[],MATCH($M$5,Equipment_Utility_Spec_List,0),2),"")</f>
        <v/>
      </c>
      <c r="O23" s="762"/>
      <c r="P23" s="586" t="str">
        <f>IF($D23=INDEX(Yes_No_Choice[],1),INDEX(Equipment_Utitliy_Specs_Units[],MATCH($O$5,Equipment_Utility_Spec_List,0),2),"")</f>
        <v/>
      </c>
      <c r="Q23" s="735"/>
      <c r="R23" s="751" t="s">
        <v>433</v>
      </c>
      <c r="S23" s="767"/>
      <c r="T23" s="769">
        <v>2000</v>
      </c>
      <c r="U23" s="594">
        <f>IFERROR(T23/(INDEX(Settings_Currency_Table[],MATCH(General_Currency_Selection,Settings_Currency,0),2)),0)</f>
        <v>0.1416207933313601</v>
      </c>
      <c r="V23" s="751">
        <v>3</v>
      </c>
      <c r="W23" s="594">
        <f>U23*'1.0-General input'!$E$87</f>
        <v>0</v>
      </c>
      <c r="X23" s="594">
        <f>IFERROR(('2.2-Equipment input'!$U23-W23)/V23,)</f>
        <v>4.7206931110453369E-2</v>
      </c>
      <c r="Y23" s="776"/>
      <c r="Z23" s="605">
        <f>IF(General_EquipmentQuant_Auto="Yes",'2.2-Equipment input'!G23,'2.2-Equipment input'!H23)</f>
        <v>3</v>
      </c>
      <c r="AA23" s="778">
        <v>0</v>
      </c>
      <c r="AB23" s="779">
        <v>0</v>
      </c>
      <c r="AC23" s="779">
        <v>0</v>
      </c>
      <c r="AD23" s="779">
        <v>1</v>
      </c>
      <c r="AE23" s="779">
        <v>0</v>
      </c>
      <c r="AF23" s="779">
        <v>0</v>
      </c>
      <c r="AG23" s="779">
        <v>0</v>
      </c>
      <c r="AH23" s="779">
        <v>0</v>
      </c>
      <c r="AI23" s="779">
        <v>0</v>
      </c>
      <c r="AJ23" s="598">
        <f t="shared" si="0"/>
        <v>1</v>
      </c>
    </row>
    <row r="24" spans="2:36">
      <c r="B24" s="599" t="s">
        <v>34</v>
      </c>
      <c r="C24" s="749" t="s">
        <v>664</v>
      </c>
      <c r="D24" s="751" t="s">
        <v>433</v>
      </c>
      <c r="E24" s="752">
        <v>1</v>
      </c>
      <c r="F24" s="586" t="s">
        <v>665</v>
      </c>
      <c r="G24" s="588">
        <f>ROUNDUP(G22/E24,0)</f>
        <v>3</v>
      </c>
      <c r="H24" s="760"/>
      <c r="I24" s="762"/>
      <c r="J24" s="586" t="str">
        <f>IF($D24=INDEX(Yes_No_Choice[],1),INDEX(Equipment_Utitliy_Specs_Units[],MATCH($I$5,Equipment_Utility_Spec_List,0),2),"")</f>
        <v/>
      </c>
      <c r="K24" s="751"/>
      <c r="L24" s="586" t="str">
        <f>IF($D24=INDEX(Yes_No_Choice[],1),INDEX(Equipment_Utitliy_Specs_Units[],MATCH($K$5,Equipment_Utility_Spec_List,0),2),"")</f>
        <v/>
      </c>
      <c r="M24" s="751"/>
      <c r="N24" s="586" t="str">
        <f>IF($D24=INDEX(Yes_No_Choice[],1),INDEX(Equipment_Utitliy_Specs_Units[],MATCH($M$5,Equipment_Utility_Spec_List,0),2),"")</f>
        <v/>
      </c>
      <c r="O24" s="762"/>
      <c r="P24" s="586" t="str">
        <f>IF($D24=INDEX(Yes_No_Choice[],1),INDEX(Equipment_Utitliy_Specs_Units[],MATCH($O$5,Equipment_Utility_Spec_List,0),2),"")</f>
        <v/>
      </c>
      <c r="Q24" s="735"/>
      <c r="R24" s="751" t="s">
        <v>433</v>
      </c>
      <c r="S24" s="767"/>
      <c r="T24" s="769">
        <v>25000</v>
      </c>
      <c r="U24" s="594">
        <f>IFERROR(T24/(INDEX(Settings_Currency_Table[],MATCH(General_Currency_Selection,Settings_Currency,0),2)),0)</f>
        <v>1.7702599166420012</v>
      </c>
      <c r="V24" s="751">
        <v>3</v>
      </c>
      <c r="W24" s="594">
        <f>U24*'1.0-General input'!$E$87</f>
        <v>0</v>
      </c>
      <c r="X24" s="594">
        <f>IFERROR(('2.2-Equipment input'!$U24-W24)/V24,)</f>
        <v>0.59008663888066704</v>
      </c>
      <c r="Y24" s="776"/>
      <c r="Z24" s="605">
        <f>IF(General_EquipmentQuant_Auto="Yes",'2.2-Equipment input'!G24,'2.2-Equipment input'!H24)</f>
        <v>3</v>
      </c>
      <c r="AA24" s="778">
        <v>0</v>
      </c>
      <c r="AB24" s="779">
        <v>0</v>
      </c>
      <c r="AC24" s="779">
        <v>0</v>
      </c>
      <c r="AD24" s="779">
        <v>1</v>
      </c>
      <c r="AE24" s="779">
        <v>0</v>
      </c>
      <c r="AF24" s="779">
        <v>0</v>
      </c>
      <c r="AG24" s="779">
        <v>0</v>
      </c>
      <c r="AH24" s="779">
        <v>0</v>
      </c>
      <c r="AI24" s="779">
        <v>0</v>
      </c>
      <c r="AJ24" s="598">
        <f t="shared" si="0"/>
        <v>1</v>
      </c>
    </row>
    <row r="25" spans="2:36">
      <c r="B25" s="584" t="s">
        <v>35</v>
      </c>
      <c r="C25" s="749" t="s">
        <v>666</v>
      </c>
      <c r="D25" s="751" t="s">
        <v>432</v>
      </c>
      <c r="E25" s="752">
        <v>12</v>
      </c>
      <c r="F25" s="586" t="s">
        <v>257</v>
      </c>
      <c r="G25" s="588">
        <f>ROUNDUP(G20/E25,0)</f>
        <v>1</v>
      </c>
      <c r="H25" s="760"/>
      <c r="I25" s="762">
        <v>2</v>
      </c>
      <c r="J25" s="586" t="str">
        <f>IF($D25=INDEX(Yes_No_Choice[],1),INDEX(Equipment_Utitliy_Specs_Units[],MATCH($I$5,Equipment_Utility_Spec_List,0),2),"")</f>
        <v>h</v>
      </c>
      <c r="K25" s="751"/>
      <c r="L25" s="586" t="str">
        <f>IF($D25=INDEX(Yes_No_Choice[],1),INDEX(Equipment_Utitliy_Specs_Units[],MATCH($K$5,Equipment_Utility_Spec_List,0),2),"")</f>
        <v>m3/h</v>
      </c>
      <c r="M25" s="751">
        <v>0.5</v>
      </c>
      <c r="N25" s="586" t="str">
        <f>IF($D25=INDEX(Yes_No_Choice[],1),INDEX(Equipment_Utitliy_Specs_Units[],MATCH($M$5,Equipment_Utility_Spec_List,0),2),"")</f>
        <v>kW</v>
      </c>
      <c r="O25" s="762"/>
      <c r="P25" s="586" t="str">
        <f>IF($D25=INDEX(Yes_No_Choice[],1),INDEX(Equipment_Utitliy_Specs_Units[],MATCH($O$5,Equipment_Utility_Spec_List,0),2),"")</f>
        <v>kg/h</v>
      </c>
      <c r="Q25" s="735"/>
      <c r="R25" s="751" t="s">
        <v>432</v>
      </c>
      <c r="S25" s="767">
        <f>0.75*0.75</f>
        <v>0.5625</v>
      </c>
      <c r="T25" s="769">
        <v>900000</v>
      </c>
      <c r="U25" s="594">
        <f>IFERROR(T25/(INDEX(Settings_Currency_Table[],MATCH(General_Currency_Selection,Settings_Currency,0),2)),0)</f>
        <v>63.729356999112042</v>
      </c>
      <c r="V25" s="751">
        <v>5</v>
      </c>
      <c r="W25" s="594">
        <f>U25*'1.0-General input'!$E$87</f>
        <v>0</v>
      </c>
      <c r="X25" s="594">
        <f>IFERROR(('2.2-Equipment input'!$U25-W25)/V25,)</f>
        <v>12.745871399822409</v>
      </c>
      <c r="Y25" s="776"/>
      <c r="Z25" s="605">
        <f>IF(General_EquipmentQuant_Auto="Yes",'2.2-Equipment input'!G25,'2.2-Equipment input'!H25)</f>
        <v>1</v>
      </c>
      <c r="AA25" s="778">
        <v>0</v>
      </c>
      <c r="AB25" s="779">
        <v>0</v>
      </c>
      <c r="AC25" s="779">
        <v>0</v>
      </c>
      <c r="AD25" s="779">
        <v>1</v>
      </c>
      <c r="AE25" s="779">
        <v>0</v>
      </c>
      <c r="AF25" s="779">
        <v>0</v>
      </c>
      <c r="AG25" s="779">
        <v>0</v>
      </c>
      <c r="AH25" s="779">
        <v>0</v>
      </c>
      <c r="AI25" s="779">
        <v>0</v>
      </c>
      <c r="AJ25" s="598">
        <f t="shared" si="0"/>
        <v>1</v>
      </c>
    </row>
    <row r="26" spans="2:36">
      <c r="B26" s="599" t="s">
        <v>36</v>
      </c>
      <c r="C26" s="749" t="s">
        <v>11</v>
      </c>
      <c r="D26" s="751" t="s">
        <v>433</v>
      </c>
      <c r="E26" s="752">
        <v>3</v>
      </c>
      <c r="F26" s="586" t="s">
        <v>258</v>
      </c>
      <c r="G26" s="588">
        <f>ROUNDUP(G22/E26,0)</f>
        <v>1</v>
      </c>
      <c r="H26" s="760"/>
      <c r="I26" s="762"/>
      <c r="J26" s="586" t="str">
        <f>IF($D26=INDEX(Yes_No_Choice[],1),INDEX(Equipment_Utitliy_Specs_Units[],MATCH($I$5,Equipment_Utility_Spec_List,0),2),"")</f>
        <v/>
      </c>
      <c r="K26" s="751"/>
      <c r="L26" s="586" t="str">
        <f>IF($D26=INDEX(Yes_No_Choice[],1),INDEX(Equipment_Utitliy_Specs_Units[],MATCH($K$5,Equipment_Utility_Spec_List,0),2),"")</f>
        <v/>
      </c>
      <c r="M26" s="751"/>
      <c r="N26" s="586" t="str">
        <f>IF($D26=INDEX(Yes_No_Choice[],1),INDEX(Equipment_Utitliy_Specs_Units[],MATCH($M$5,Equipment_Utility_Spec_List,0),2),"")</f>
        <v/>
      </c>
      <c r="O26" s="762"/>
      <c r="P26" s="586" t="str">
        <f>IF($D26=INDEX(Yes_No_Choice[],1),INDEX(Equipment_Utitliy_Specs_Units[],MATCH($O$5,Equipment_Utility_Spec_List,0),2),"")</f>
        <v/>
      </c>
      <c r="Q26" s="735"/>
      <c r="R26" s="751" t="s">
        <v>433</v>
      </c>
      <c r="S26" s="767">
        <f>1.45*0.75</f>
        <v>1.0874999999999999</v>
      </c>
      <c r="T26" s="769">
        <v>2000000</v>
      </c>
      <c r="U26" s="594">
        <f>IFERROR(T26/(INDEX(Settings_Currency_Table[],MATCH(General_Currency_Selection,Settings_Currency,0),2)),0)</f>
        <v>141.62079333136009</v>
      </c>
      <c r="V26" s="751">
        <v>5</v>
      </c>
      <c r="W26" s="594">
        <f>U26*'1.0-General input'!$E$87</f>
        <v>0</v>
      </c>
      <c r="X26" s="594">
        <f>IFERROR(('2.2-Equipment input'!$U26-W26)/V26,)</f>
        <v>28.32415866627202</v>
      </c>
      <c r="Y26" s="776"/>
      <c r="Z26" s="605">
        <f>IF(General_EquipmentQuant_Auto="Yes",'2.2-Equipment input'!G26,'2.2-Equipment input'!H26)</f>
        <v>1</v>
      </c>
      <c r="AA26" s="778">
        <v>0</v>
      </c>
      <c r="AB26" s="779">
        <v>0</v>
      </c>
      <c r="AC26" s="779">
        <v>0</v>
      </c>
      <c r="AD26" s="779">
        <v>1</v>
      </c>
      <c r="AE26" s="779">
        <v>0</v>
      </c>
      <c r="AF26" s="779">
        <v>0</v>
      </c>
      <c r="AG26" s="779">
        <v>0</v>
      </c>
      <c r="AH26" s="779">
        <v>0</v>
      </c>
      <c r="AI26" s="779">
        <v>0</v>
      </c>
      <c r="AJ26" s="598">
        <f t="shared" si="0"/>
        <v>1</v>
      </c>
    </row>
    <row r="27" spans="2:36">
      <c r="B27" s="584" t="s">
        <v>37</v>
      </c>
      <c r="C27" s="749" t="s">
        <v>12</v>
      </c>
      <c r="D27" s="751" t="s">
        <v>433</v>
      </c>
      <c r="E27" s="751">
        <v>665000</v>
      </c>
      <c r="F27" s="586" t="s">
        <v>259</v>
      </c>
      <c r="G27" s="588">
        <f>ROUNDUP((General_Waste_toTreatment/'1.0-General input'!$E$100*1000*'4.1-Settings Database'!$J$18)/'2.2-Equipment input'!E27,0)</f>
        <v>1</v>
      </c>
      <c r="H27" s="760"/>
      <c r="I27" s="762"/>
      <c r="J27" s="586" t="str">
        <f>IF($D27=INDEX(Yes_No_Choice[],1),INDEX(Equipment_Utitliy_Specs_Units[],MATCH($I$5,Equipment_Utility_Spec_List,0),2),"")</f>
        <v/>
      </c>
      <c r="K27" s="751"/>
      <c r="L27" s="586" t="str">
        <f>IF($D27=INDEX(Yes_No_Choice[],1),INDEX(Equipment_Utitliy_Specs_Units[],MATCH($K$5,Equipment_Utility_Spec_List,0),2),"")</f>
        <v/>
      </c>
      <c r="M27" s="751"/>
      <c r="N27" s="586" t="str">
        <f>IF($D27=INDEX(Yes_No_Choice[],1),INDEX(Equipment_Utitliy_Specs_Units[],MATCH($M$5,Equipment_Utility_Spec_List,0),2),"")</f>
        <v/>
      </c>
      <c r="O27" s="762"/>
      <c r="P27" s="586" t="str">
        <f>IF($D27=INDEX(Yes_No_Choice[],1),INDEX(Equipment_Utitliy_Specs_Units[],MATCH($O$5,Equipment_Utility_Spec_List,0),2),"")</f>
        <v/>
      </c>
      <c r="Q27" s="735"/>
      <c r="R27" s="751" t="s">
        <v>433</v>
      </c>
      <c r="S27" s="767">
        <f>0.6*0.4</f>
        <v>0.24</v>
      </c>
      <c r="T27" s="769">
        <v>70000</v>
      </c>
      <c r="U27" s="594">
        <f>IFERROR(T27/(INDEX(Settings_Currency_Table[],MATCH(General_Currency_Selection,Settings_Currency,0),2)),0)</f>
        <v>4.9567277665976031</v>
      </c>
      <c r="V27" s="751">
        <v>5</v>
      </c>
      <c r="W27" s="594">
        <f>U27*'1.0-General input'!$E$87</f>
        <v>0</v>
      </c>
      <c r="X27" s="594">
        <f>IFERROR(('2.2-Equipment input'!$U27-W27)/V27,)</f>
        <v>0.99134555331952057</v>
      </c>
      <c r="Y27" s="776"/>
      <c r="Z27" s="605">
        <f>IF(General_EquipmentQuant_Auto="Yes",'2.2-Equipment input'!G27,'2.2-Equipment input'!H27)</f>
        <v>1</v>
      </c>
      <c r="AA27" s="778">
        <v>0</v>
      </c>
      <c r="AB27" s="779">
        <v>0</v>
      </c>
      <c r="AC27" s="779">
        <v>0</v>
      </c>
      <c r="AD27" s="779">
        <v>0</v>
      </c>
      <c r="AE27" s="779">
        <v>1</v>
      </c>
      <c r="AF27" s="779">
        <v>0</v>
      </c>
      <c r="AG27" s="779">
        <v>0</v>
      </c>
      <c r="AH27" s="779">
        <v>0</v>
      </c>
      <c r="AI27" s="779">
        <v>0</v>
      </c>
      <c r="AJ27" s="598">
        <f t="shared" si="0"/>
        <v>1</v>
      </c>
    </row>
    <row r="28" spans="2:36">
      <c r="B28" s="599" t="s">
        <v>38</v>
      </c>
      <c r="C28" s="749" t="s">
        <v>13</v>
      </c>
      <c r="D28" s="751" t="s">
        <v>433</v>
      </c>
      <c r="E28" s="752">
        <v>10</v>
      </c>
      <c r="F28" s="586" t="s">
        <v>260</v>
      </c>
      <c r="G28" s="588">
        <f>CEILING(G27/E28,1)</f>
        <v>1</v>
      </c>
      <c r="H28" s="760"/>
      <c r="I28" s="762"/>
      <c r="J28" s="586" t="str">
        <f>IF($D28=INDEX(Yes_No_Choice[],1),INDEX(Equipment_Utitliy_Specs_Units[],MATCH($I$5,Equipment_Utility_Spec_List,0),2),"")</f>
        <v/>
      </c>
      <c r="K28" s="751"/>
      <c r="L28" s="586" t="str">
        <f>IF($D28=INDEX(Yes_No_Choice[],1),INDEX(Equipment_Utitliy_Specs_Units[],MATCH($K$5,Equipment_Utility_Spec_List,0),2),"")</f>
        <v/>
      </c>
      <c r="M28" s="751"/>
      <c r="N28" s="586" t="str">
        <f>IF($D28=INDEX(Yes_No_Choice[],1),INDEX(Equipment_Utitliy_Specs_Units[],MATCH($M$5,Equipment_Utility_Spec_List,0),2),"")</f>
        <v/>
      </c>
      <c r="O28" s="762"/>
      <c r="P28" s="586" t="str">
        <f>IF($D28=INDEX(Yes_No_Choice[],1),INDEX(Equipment_Utitliy_Specs_Units[],MATCH($O$5,Equipment_Utility_Spec_List,0),2),"")</f>
        <v/>
      </c>
      <c r="Q28" s="735"/>
      <c r="R28" s="751" t="s">
        <v>432</v>
      </c>
      <c r="S28" s="767">
        <f>0.45*0.65</f>
        <v>0.29250000000000004</v>
      </c>
      <c r="T28" s="769">
        <v>2000000</v>
      </c>
      <c r="U28" s="594">
        <f>IFERROR(T28/(INDEX(Settings_Currency_Table[],MATCH(General_Currency_Selection,Settings_Currency,0),2)),0)</f>
        <v>141.62079333136009</v>
      </c>
      <c r="V28" s="751">
        <v>5</v>
      </c>
      <c r="W28" s="594">
        <f>U28*'1.0-General input'!$E$87</f>
        <v>0</v>
      </c>
      <c r="X28" s="594">
        <f>IFERROR(('2.2-Equipment input'!$U28-W28)/V28,)</f>
        <v>28.32415866627202</v>
      </c>
      <c r="Y28" s="776"/>
      <c r="Z28" s="605">
        <f>IF(General_EquipmentQuant_Auto="Yes",'2.2-Equipment input'!G28,'2.2-Equipment input'!H28)</f>
        <v>1</v>
      </c>
      <c r="AA28" s="778">
        <v>0</v>
      </c>
      <c r="AB28" s="779">
        <v>0</v>
      </c>
      <c r="AC28" s="779">
        <v>0</v>
      </c>
      <c r="AD28" s="779">
        <v>0</v>
      </c>
      <c r="AE28" s="779">
        <v>1</v>
      </c>
      <c r="AF28" s="779">
        <v>0</v>
      </c>
      <c r="AG28" s="779">
        <v>0</v>
      </c>
      <c r="AH28" s="779">
        <v>0</v>
      </c>
      <c r="AI28" s="779">
        <v>0</v>
      </c>
      <c r="AJ28" s="598">
        <f t="shared" si="0"/>
        <v>1</v>
      </c>
    </row>
    <row r="29" spans="2:36">
      <c r="B29" s="584" t="s">
        <v>39</v>
      </c>
      <c r="C29" s="749" t="s">
        <v>667</v>
      </c>
      <c r="D29" s="751" t="s">
        <v>433</v>
      </c>
      <c r="E29" s="752">
        <v>16</v>
      </c>
      <c r="F29" s="586" t="s">
        <v>261</v>
      </c>
      <c r="G29" s="588">
        <f>CEILING(G28/E29,1)</f>
        <v>1</v>
      </c>
      <c r="H29" s="760"/>
      <c r="I29" s="762"/>
      <c r="J29" s="586" t="str">
        <f>IF($D29=INDEX(Yes_No_Choice[],1),INDEX(Equipment_Utitliy_Specs_Units[],MATCH($I$5,Equipment_Utility_Spec_List,0),2),"")</f>
        <v/>
      </c>
      <c r="K29" s="751"/>
      <c r="L29" s="586" t="str">
        <f>IF($D29=INDEX(Yes_No_Choice[],1),INDEX(Equipment_Utitliy_Specs_Units[],MATCH($K$5,Equipment_Utility_Spec_List,0),2),"")</f>
        <v/>
      </c>
      <c r="M29" s="751"/>
      <c r="N29" s="586" t="str">
        <f>IF($D29=INDEX(Yes_No_Choice[],1),INDEX(Equipment_Utitliy_Specs_Units[],MATCH($M$5,Equipment_Utility_Spec_List,0),2),"")</f>
        <v/>
      </c>
      <c r="O29" s="762"/>
      <c r="P29" s="586" t="str">
        <f>IF($D29=INDEX(Yes_No_Choice[],1),INDEX(Equipment_Utitliy_Specs_Units[],MATCH($O$5,Equipment_Utility_Spec_List,0),2),"")</f>
        <v/>
      </c>
      <c r="Q29" s="735"/>
      <c r="R29" s="751" t="s">
        <v>433</v>
      </c>
      <c r="S29" s="767">
        <f>0.1*0.2</f>
        <v>2.0000000000000004E-2</v>
      </c>
      <c r="T29" s="769">
        <v>10000</v>
      </c>
      <c r="U29" s="594">
        <f>IFERROR(T29/(INDEX(Settings_Currency_Table[],MATCH(General_Currency_Selection,Settings_Currency,0),2)),0)</f>
        <v>0.70810396665680042</v>
      </c>
      <c r="V29" s="751">
        <v>5</v>
      </c>
      <c r="W29" s="594">
        <f>U29*'1.0-General input'!$E$87</f>
        <v>0</v>
      </c>
      <c r="X29" s="594">
        <f>IFERROR(('2.2-Equipment input'!$U29-W29)/V29,)</f>
        <v>0.14162079333136007</v>
      </c>
      <c r="Y29" s="776"/>
      <c r="Z29" s="605">
        <f>IF(General_EquipmentQuant_Auto="Yes",'2.2-Equipment input'!G29,'2.2-Equipment input'!H29)</f>
        <v>1</v>
      </c>
      <c r="AA29" s="778">
        <v>0</v>
      </c>
      <c r="AB29" s="779">
        <v>0</v>
      </c>
      <c r="AC29" s="779">
        <v>0</v>
      </c>
      <c r="AD29" s="779">
        <v>0.5</v>
      </c>
      <c r="AE29" s="779">
        <v>0.5</v>
      </c>
      <c r="AF29" s="779">
        <v>0</v>
      </c>
      <c r="AG29" s="779">
        <v>0</v>
      </c>
      <c r="AH29" s="779">
        <v>0</v>
      </c>
      <c r="AI29" s="779">
        <v>0</v>
      </c>
      <c r="AJ29" s="598">
        <f t="shared" si="0"/>
        <v>1</v>
      </c>
    </row>
    <row r="30" spans="2:36">
      <c r="B30" s="599" t="s">
        <v>40</v>
      </c>
      <c r="C30" s="749" t="s">
        <v>668</v>
      </c>
      <c r="D30" s="751" t="s">
        <v>433</v>
      </c>
      <c r="E30" s="752">
        <v>10</v>
      </c>
      <c r="F30" s="586" t="s">
        <v>669</v>
      </c>
      <c r="G30" s="588">
        <f>G22*E30</f>
        <v>30</v>
      </c>
      <c r="H30" s="760"/>
      <c r="I30" s="762"/>
      <c r="J30" s="586" t="str">
        <f>IF($D30=INDEX(Yes_No_Choice[],1),INDEX(Equipment_Utitliy_Specs_Units[],MATCH($I$5,Equipment_Utility_Spec_List,0),2),"")</f>
        <v/>
      </c>
      <c r="K30" s="751"/>
      <c r="L30" s="586" t="str">
        <f>IF($D30=INDEX(Yes_No_Choice[],1),INDEX(Equipment_Utitliy_Specs_Units[],MATCH($K$5,Equipment_Utility_Spec_List,0),2),"")</f>
        <v/>
      </c>
      <c r="M30" s="751"/>
      <c r="N30" s="586" t="str">
        <f>IF($D30=INDEX(Yes_No_Choice[],1),INDEX(Equipment_Utitliy_Specs_Units[],MATCH($M$5,Equipment_Utility_Spec_List,0),2),"")</f>
        <v/>
      </c>
      <c r="O30" s="762"/>
      <c r="P30" s="586" t="str">
        <f>IF($D30=INDEX(Yes_No_Choice[],1),INDEX(Equipment_Utitliy_Specs_Units[],MATCH($O$5,Equipment_Utility_Spec_List,0),2),"")</f>
        <v/>
      </c>
      <c r="Q30" s="735"/>
      <c r="R30" s="751" t="s">
        <v>433</v>
      </c>
      <c r="S30" s="767"/>
      <c r="T30" s="769">
        <v>10000</v>
      </c>
      <c r="U30" s="594">
        <f>IFERROR(T30/(INDEX(Settings_Currency_Table[],MATCH(General_Currency_Selection,Settings_Currency,0),2)),0)</f>
        <v>0.70810396665680042</v>
      </c>
      <c r="V30" s="751">
        <v>5</v>
      </c>
      <c r="W30" s="594">
        <f>U30*'1.0-General input'!$E$87</f>
        <v>0</v>
      </c>
      <c r="X30" s="594">
        <f>IFERROR(('2.2-Equipment input'!$U30-W30)/V30,)</f>
        <v>0.14162079333136007</v>
      </c>
      <c r="Y30" s="776"/>
      <c r="Z30" s="605">
        <f>IF(General_EquipmentQuant_Auto="Yes",'2.2-Equipment input'!G30,'2.2-Equipment input'!H30)</f>
        <v>30</v>
      </c>
      <c r="AA30" s="778">
        <v>0</v>
      </c>
      <c r="AB30" s="779">
        <v>0</v>
      </c>
      <c r="AC30" s="779">
        <v>0</v>
      </c>
      <c r="AD30" s="779">
        <v>0.5</v>
      </c>
      <c r="AE30" s="779">
        <v>0.5</v>
      </c>
      <c r="AF30" s="779">
        <v>0</v>
      </c>
      <c r="AG30" s="779">
        <v>0</v>
      </c>
      <c r="AH30" s="779">
        <v>0</v>
      </c>
      <c r="AI30" s="779">
        <v>0</v>
      </c>
      <c r="AJ30" s="598">
        <f t="shared" si="0"/>
        <v>1</v>
      </c>
    </row>
    <row r="31" spans="2:36">
      <c r="B31" s="584" t="s">
        <v>41</v>
      </c>
      <c r="C31" s="749" t="s">
        <v>14</v>
      </c>
      <c r="D31" s="751" t="s">
        <v>433</v>
      </c>
      <c r="E31" s="752">
        <v>1</v>
      </c>
      <c r="F31" s="586" t="s">
        <v>262</v>
      </c>
      <c r="G31" s="588">
        <f>ROUNDUP(G28/E31,0)</f>
        <v>1</v>
      </c>
      <c r="H31" s="760"/>
      <c r="I31" s="762"/>
      <c r="J31" s="586" t="str">
        <f>IF($D31=INDEX(Yes_No_Choice[],1),INDEX(Equipment_Utitliy_Specs_Units[],MATCH($I$5,Equipment_Utility_Spec_List,0),2),"")</f>
        <v/>
      </c>
      <c r="K31" s="751"/>
      <c r="L31" s="586" t="str">
        <f>IF($D31=INDEX(Yes_No_Choice[],1),INDEX(Equipment_Utitliy_Specs_Units[],MATCH($K$5,Equipment_Utility_Spec_List,0),2),"")</f>
        <v/>
      </c>
      <c r="M31" s="751"/>
      <c r="N31" s="586" t="str">
        <f>IF($D31=INDEX(Yes_No_Choice[],1),INDEX(Equipment_Utitliy_Specs_Units[],MATCH($M$5,Equipment_Utility_Spec_List,0),2),"")</f>
        <v/>
      </c>
      <c r="O31" s="762"/>
      <c r="P31" s="586" t="str">
        <f>IF($D31=INDEX(Yes_No_Choice[],1),INDEX(Equipment_Utitliy_Specs_Units[],MATCH($O$5,Equipment_Utility_Spec_List,0),2),"")</f>
        <v/>
      </c>
      <c r="Q31" s="735"/>
      <c r="R31" s="751" t="s">
        <v>432</v>
      </c>
      <c r="S31" s="767">
        <f>1.6*0.6</f>
        <v>0.96</v>
      </c>
      <c r="T31" s="769">
        <v>2500000</v>
      </c>
      <c r="U31" s="594">
        <f>IFERROR(T31/(INDEX(Settings_Currency_Table[],MATCH(General_Currency_Selection,Settings_Currency,0),2)),0)</f>
        <v>177.02599166420012</v>
      </c>
      <c r="V31" s="751">
        <v>5</v>
      </c>
      <c r="W31" s="594">
        <f>U31*'1.0-General input'!$E$87</f>
        <v>0</v>
      </c>
      <c r="X31" s="594">
        <f>IFERROR(('2.2-Equipment input'!$U31-W31)/V31,)</f>
        <v>35.405198332840023</v>
      </c>
      <c r="Y31" s="776"/>
      <c r="Z31" s="605">
        <f>IF(General_EquipmentQuant_Auto="Yes",'2.2-Equipment input'!G31,'2.2-Equipment input'!H31)</f>
        <v>1</v>
      </c>
      <c r="AA31" s="778">
        <v>0</v>
      </c>
      <c r="AB31" s="779">
        <v>0</v>
      </c>
      <c r="AC31" s="779">
        <v>0</v>
      </c>
      <c r="AD31" s="779">
        <v>0.5</v>
      </c>
      <c r="AE31" s="779">
        <v>0.5</v>
      </c>
      <c r="AF31" s="779">
        <v>0</v>
      </c>
      <c r="AG31" s="779">
        <v>0</v>
      </c>
      <c r="AH31" s="779">
        <v>0</v>
      </c>
      <c r="AI31" s="779">
        <v>0</v>
      </c>
      <c r="AJ31" s="598">
        <f t="shared" si="0"/>
        <v>1</v>
      </c>
    </row>
    <row r="32" spans="2:36">
      <c r="B32" s="599" t="s">
        <v>42</v>
      </c>
      <c r="C32" s="749" t="s">
        <v>15</v>
      </c>
      <c r="D32" s="751" t="s">
        <v>433</v>
      </c>
      <c r="E32" s="752">
        <v>10000</v>
      </c>
      <c r="F32" s="586" t="s">
        <v>263</v>
      </c>
      <c r="G32" s="588">
        <f>ROUNDUP('4.1-Settings Database'!$M$16*'4.1-Settings Database'!$J$24/'2.2-Equipment input'!E32,0)</f>
        <v>1</v>
      </c>
      <c r="H32" s="760"/>
      <c r="I32" s="762"/>
      <c r="J32" s="586" t="str">
        <f>IF($D32=INDEX(Yes_No_Choice[],1),INDEX(Equipment_Utitliy_Specs_Units[],MATCH($I$5,Equipment_Utility_Spec_List,0),2),"")</f>
        <v/>
      </c>
      <c r="K32" s="751"/>
      <c r="L32" s="586" t="str">
        <f>IF($D32=INDEX(Yes_No_Choice[],1),INDEX(Equipment_Utitliy_Specs_Units[],MATCH($K$5,Equipment_Utility_Spec_List,0),2),"")</f>
        <v/>
      </c>
      <c r="M32" s="751"/>
      <c r="N32" s="586" t="str">
        <f>IF($D32=INDEX(Yes_No_Choice[],1),INDEX(Equipment_Utitliy_Specs_Units[],MATCH($M$5,Equipment_Utility_Spec_List,0),2),"")</f>
        <v/>
      </c>
      <c r="O32" s="762"/>
      <c r="P32" s="586" t="str">
        <f>IF($D32=INDEX(Yes_No_Choice[],1),INDEX(Equipment_Utitliy_Specs_Units[],MATCH($O$5,Equipment_Utility_Spec_List,0),2),"")</f>
        <v/>
      </c>
      <c r="Q32" s="735"/>
      <c r="R32" s="751" t="s">
        <v>433</v>
      </c>
      <c r="S32" s="767"/>
      <c r="T32" s="769">
        <v>50000</v>
      </c>
      <c r="U32" s="594">
        <f>IFERROR(T32/(INDEX(Settings_Currency_Table[],MATCH(General_Currency_Selection,Settings_Currency,0),2)),0)</f>
        <v>3.5405198332840024</v>
      </c>
      <c r="V32" s="751">
        <v>5</v>
      </c>
      <c r="W32" s="594">
        <f>U32*'1.0-General input'!$E$87</f>
        <v>0</v>
      </c>
      <c r="X32" s="594">
        <f>IFERROR(('2.2-Equipment input'!$U32-W32)/V32,)</f>
        <v>0.70810396665680053</v>
      </c>
      <c r="Y32" s="776"/>
      <c r="Z32" s="605">
        <f>IF(General_EquipmentQuant_Auto="Yes",'2.2-Equipment input'!G32,'2.2-Equipment input'!H32)</f>
        <v>1</v>
      </c>
      <c r="AA32" s="778">
        <v>0</v>
      </c>
      <c r="AB32" s="779">
        <v>0</v>
      </c>
      <c r="AC32" s="779">
        <v>0</v>
      </c>
      <c r="AD32" s="779">
        <v>1</v>
      </c>
      <c r="AE32" s="779">
        <v>0</v>
      </c>
      <c r="AF32" s="779">
        <v>0</v>
      </c>
      <c r="AG32" s="779">
        <v>0</v>
      </c>
      <c r="AH32" s="779">
        <v>0</v>
      </c>
      <c r="AI32" s="779">
        <v>0</v>
      </c>
      <c r="AJ32" s="598">
        <f t="shared" si="0"/>
        <v>1</v>
      </c>
    </row>
    <row r="33" spans="2:36">
      <c r="B33" s="584" t="s">
        <v>43</v>
      </c>
      <c r="C33" s="749"/>
      <c r="D33" s="751" t="s">
        <v>433</v>
      </c>
      <c r="E33" s="751"/>
      <c r="F33" s="586"/>
      <c r="G33" s="588"/>
      <c r="H33" s="760"/>
      <c r="I33" s="762"/>
      <c r="J33" s="586" t="str">
        <f>IF($D33=INDEX(Yes_No_Choice[],1),INDEX(Equipment_Utitliy_Specs_Units[],MATCH($I$5,Equipment_Utility_Spec_List,0),2),"")</f>
        <v/>
      </c>
      <c r="K33" s="751"/>
      <c r="L33" s="586" t="str">
        <f>IF($D33=INDEX(Yes_No_Choice[],1),INDEX(Equipment_Utitliy_Specs_Units[],MATCH($K$5,Equipment_Utility_Spec_List,0),2),"")</f>
        <v/>
      </c>
      <c r="M33" s="751"/>
      <c r="N33" s="586" t="str">
        <f>IF($D33=INDEX(Yes_No_Choice[],1),INDEX(Equipment_Utitliy_Specs_Units[],MATCH($M$5,Equipment_Utility_Spec_List,0),2),"")</f>
        <v/>
      </c>
      <c r="O33" s="762"/>
      <c r="P33" s="586" t="str">
        <f>IF($D33=INDEX(Yes_No_Choice[],1),INDEX(Equipment_Utitliy_Specs_Units[],MATCH($O$5,Equipment_Utility_Spec_List,0),2),"")</f>
        <v/>
      </c>
      <c r="Q33" s="735"/>
      <c r="R33" s="751" t="s">
        <v>433</v>
      </c>
      <c r="S33" s="767"/>
      <c r="T33" s="769"/>
      <c r="U33" s="594">
        <f>IFERROR(T33/(INDEX(Settings_Currency_Table[],MATCH(General_Currency_Selection,Settings_Currency,0),2)),0)</f>
        <v>0</v>
      </c>
      <c r="V33" s="751"/>
      <c r="W33" s="594">
        <f>U33*'1.0-General input'!$E$87</f>
        <v>0</v>
      </c>
      <c r="X33" s="594">
        <f>IFERROR(('2.2-Equipment input'!$U33-W33)/V33,)</f>
        <v>0</v>
      </c>
      <c r="Y33" s="776"/>
      <c r="Z33" s="605">
        <f>IF(General_EquipmentQuant_Auto="Yes",'2.2-Equipment input'!G33,'2.2-Equipment input'!H33)</f>
        <v>0</v>
      </c>
      <c r="AA33" s="778">
        <v>0</v>
      </c>
      <c r="AB33" s="779">
        <v>0</v>
      </c>
      <c r="AC33" s="779">
        <v>0</v>
      </c>
      <c r="AD33" s="779">
        <v>0</v>
      </c>
      <c r="AE33" s="779">
        <v>0</v>
      </c>
      <c r="AF33" s="779">
        <v>0</v>
      </c>
      <c r="AG33" s="779">
        <v>0</v>
      </c>
      <c r="AH33" s="779">
        <v>0</v>
      </c>
      <c r="AI33" s="779">
        <v>0</v>
      </c>
      <c r="AJ33" s="598">
        <f t="shared" si="0"/>
        <v>0</v>
      </c>
    </row>
    <row r="34" spans="2:36">
      <c r="B34" s="599" t="s">
        <v>44</v>
      </c>
      <c r="C34" s="749" t="s">
        <v>670</v>
      </c>
      <c r="D34" s="751" t="s">
        <v>433</v>
      </c>
      <c r="E34" s="752">
        <v>1</v>
      </c>
      <c r="F34" s="586" t="s">
        <v>671</v>
      </c>
      <c r="G34" s="588">
        <f>ROUNDUP(G32/E34,0)</f>
        <v>1</v>
      </c>
      <c r="H34" s="760"/>
      <c r="I34" s="762"/>
      <c r="J34" s="586" t="str">
        <f>IF($D34=INDEX(Yes_No_Choice[],1),INDEX(Equipment_Utitliy_Specs_Units[],MATCH($I$5,Equipment_Utility_Spec_List,0),2),"")</f>
        <v/>
      </c>
      <c r="K34" s="751"/>
      <c r="L34" s="586" t="str">
        <f>IF($D34=INDEX(Yes_No_Choice[],1),INDEX(Equipment_Utitliy_Specs_Units[],MATCH($K$5,Equipment_Utility_Spec_List,0),2),"")</f>
        <v/>
      </c>
      <c r="M34" s="751"/>
      <c r="N34" s="586" t="str">
        <f>IF($D34=INDEX(Yes_No_Choice[],1),INDEX(Equipment_Utitliy_Specs_Units[],MATCH($M$5,Equipment_Utility_Spec_List,0),2),"")</f>
        <v/>
      </c>
      <c r="O34" s="762"/>
      <c r="P34" s="586" t="str">
        <f>IF($D34=INDEX(Yes_No_Choice[],1),INDEX(Equipment_Utitliy_Specs_Units[],MATCH($O$5,Equipment_Utility_Spec_List,0),2),"")</f>
        <v/>
      </c>
      <c r="Q34" s="735"/>
      <c r="R34" s="751" t="s">
        <v>433</v>
      </c>
      <c r="S34" s="767"/>
      <c r="T34" s="769">
        <v>75000</v>
      </c>
      <c r="U34" s="594">
        <f>IFERROR(T34/(INDEX(Settings_Currency_Table[],MATCH(General_Currency_Selection,Settings_Currency,0),2)),0)</f>
        <v>5.3107797499260032</v>
      </c>
      <c r="V34" s="751">
        <v>5</v>
      </c>
      <c r="W34" s="594">
        <f>U34*'1.0-General input'!$E$87</f>
        <v>0</v>
      </c>
      <c r="X34" s="594">
        <f>IFERROR(('2.2-Equipment input'!$U34-W34)/V34,)</f>
        <v>1.0621559499852007</v>
      </c>
      <c r="Y34" s="776"/>
      <c r="Z34" s="605">
        <f>IF(General_EquipmentQuant_Auto="Yes",'2.2-Equipment input'!G34,'2.2-Equipment input'!H34)</f>
        <v>1</v>
      </c>
      <c r="AA34" s="778">
        <v>0</v>
      </c>
      <c r="AB34" s="779">
        <v>0</v>
      </c>
      <c r="AC34" s="779">
        <v>0</v>
      </c>
      <c r="AD34" s="779">
        <v>1</v>
      </c>
      <c r="AE34" s="779">
        <v>0</v>
      </c>
      <c r="AF34" s="779">
        <v>0</v>
      </c>
      <c r="AG34" s="779">
        <v>0</v>
      </c>
      <c r="AH34" s="779">
        <v>0</v>
      </c>
      <c r="AI34" s="779">
        <v>0</v>
      </c>
      <c r="AJ34" s="598">
        <f t="shared" si="0"/>
        <v>1</v>
      </c>
    </row>
    <row r="35" spans="2:36">
      <c r="B35" s="584" t="s">
        <v>45</v>
      </c>
      <c r="C35" s="749" t="s">
        <v>16</v>
      </c>
      <c r="D35" s="751" t="s">
        <v>433</v>
      </c>
      <c r="E35" s="752">
        <v>6</v>
      </c>
      <c r="F35" s="586" t="s">
        <v>264</v>
      </c>
      <c r="G35" s="588">
        <f>ROUNDUP(G32/E35,0)</f>
        <v>1</v>
      </c>
      <c r="H35" s="760"/>
      <c r="I35" s="762"/>
      <c r="J35" s="586" t="str">
        <f>IF($D35=INDEX(Yes_No_Choice[],1),INDEX(Equipment_Utitliy_Specs_Units[],MATCH($I$5,Equipment_Utility_Spec_List,0),2),"")</f>
        <v/>
      </c>
      <c r="K35" s="751"/>
      <c r="L35" s="586" t="str">
        <f>IF($D35=INDEX(Yes_No_Choice[],1),INDEX(Equipment_Utitliy_Specs_Units[],MATCH($K$5,Equipment_Utility_Spec_List,0),2),"")</f>
        <v/>
      </c>
      <c r="M35" s="751"/>
      <c r="N35" s="586" t="str">
        <f>IF($D35=INDEX(Yes_No_Choice[],1),INDEX(Equipment_Utitliy_Specs_Units[],MATCH($M$5,Equipment_Utility_Spec_List,0),2),"")</f>
        <v/>
      </c>
      <c r="O35" s="762"/>
      <c r="P35" s="586" t="str">
        <f>IF($D35=INDEX(Yes_No_Choice[],1),INDEX(Equipment_Utitliy_Specs_Units[],MATCH($O$5,Equipment_Utility_Spec_List,0),2),"")</f>
        <v/>
      </c>
      <c r="Q35" s="735"/>
      <c r="R35" s="751" t="s">
        <v>433</v>
      </c>
      <c r="S35" s="767"/>
      <c r="T35" s="769">
        <v>1500000</v>
      </c>
      <c r="U35" s="594">
        <f>IFERROR(T35/(INDEX(Settings_Currency_Table[],MATCH(General_Currency_Selection,Settings_Currency,0),2)),0)</f>
        <v>106.21559499852006</v>
      </c>
      <c r="V35" s="751">
        <v>5</v>
      </c>
      <c r="W35" s="594">
        <f>U35*'1.0-General input'!$E$87</f>
        <v>0</v>
      </c>
      <c r="X35" s="594">
        <f>IFERROR(('2.2-Equipment input'!$U35-W35)/V35,)</f>
        <v>21.243118999704013</v>
      </c>
      <c r="Y35" s="776"/>
      <c r="Z35" s="605">
        <f>IF(General_EquipmentQuant_Auto="Yes",'2.2-Equipment input'!G35,'2.2-Equipment input'!H35)</f>
        <v>1</v>
      </c>
      <c r="AA35" s="778">
        <v>0</v>
      </c>
      <c r="AB35" s="779">
        <v>0</v>
      </c>
      <c r="AC35" s="779">
        <v>0</v>
      </c>
      <c r="AD35" s="779">
        <v>1</v>
      </c>
      <c r="AE35" s="779">
        <v>0</v>
      </c>
      <c r="AF35" s="779">
        <v>0</v>
      </c>
      <c r="AG35" s="779">
        <v>0</v>
      </c>
      <c r="AH35" s="779">
        <v>0</v>
      </c>
      <c r="AI35" s="779">
        <v>0</v>
      </c>
      <c r="AJ35" s="598">
        <f t="shared" si="0"/>
        <v>1</v>
      </c>
    </row>
    <row r="36" spans="2:36">
      <c r="B36" s="599" t="s">
        <v>46</v>
      </c>
      <c r="C36" s="749" t="s">
        <v>125</v>
      </c>
      <c r="D36" s="751" t="s">
        <v>432</v>
      </c>
      <c r="E36" s="752">
        <v>2000</v>
      </c>
      <c r="F36" s="586" t="s">
        <v>635</v>
      </c>
      <c r="G36" s="588">
        <f>ROUNDUP('1.0-General input'!$E$18*1000/Staff_Days_Operation/E36,0)</f>
        <v>1</v>
      </c>
      <c r="H36" s="760"/>
      <c r="I36" s="762">
        <v>0</v>
      </c>
      <c r="J36" s="586" t="str">
        <f>IF($D36=INDEX(Yes_No_Choice[],1),INDEX(Equipment_Utitliy_Specs_Units[],MATCH($I$5,Equipment_Utility_Spec_List,0),2),"")</f>
        <v>h</v>
      </c>
      <c r="K36" s="751"/>
      <c r="L36" s="586" t="str">
        <f>IF($D36=INDEX(Yes_No_Choice[],1),INDEX(Equipment_Utitliy_Specs_Units[],MATCH($K$5,Equipment_Utility_Spec_List,0),2),"")</f>
        <v>m3/h</v>
      </c>
      <c r="M36" s="751"/>
      <c r="N36" s="586" t="str">
        <f>IF($D36=INDEX(Yes_No_Choice[],1),INDEX(Equipment_Utitliy_Specs_Units[],MATCH($M$5,Equipment_Utility_Spec_List,0),2),"")</f>
        <v>kW</v>
      </c>
      <c r="O36" s="762"/>
      <c r="P36" s="586" t="str">
        <f>IF($D36=INDEX(Yes_No_Choice[],1),INDEX(Equipment_Utitliy_Specs_Units[],MATCH($O$5,Equipment_Utility_Spec_List,0),2),"")</f>
        <v>kg/h</v>
      </c>
      <c r="Q36" s="735"/>
      <c r="R36" s="751" t="s">
        <v>433</v>
      </c>
      <c r="S36" s="767">
        <f>0.5*0.8</f>
        <v>0.4</v>
      </c>
      <c r="T36" s="769">
        <v>2500000</v>
      </c>
      <c r="U36" s="594">
        <f>IFERROR(T36/(INDEX(Settings_Currency_Table[],MATCH(General_Currency_Selection,Settings_Currency,0),2)),0)</f>
        <v>177.02599166420012</v>
      </c>
      <c r="V36" s="751">
        <v>5</v>
      </c>
      <c r="W36" s="594">
        <f>U36*'1.0-General input'!$E$87</f>
        <v>0</v>
      </c>
      <c r="X36" s="594">
        <f>IFERROR(('2.2-Equipment input'!$U36-W36)/V36,)</f>
        <v>35.405198332840023</v>
      </c>
      <c r="Y36" s="776"/>
      <c r="Z36" s="605">
        <f>IF(General_EquipmentQuant_Auto="Yes",'2.2-Equipment input'!G36,'2.2-Equipment input'!H36)</f>
        <v>1</v>
      </c>
      <c r="AA36" s="778">
        <v>0</v>
      </c>
      <c r="AB36" s="779">
        <v>0.32</v>
      </c>
      <c r="AC36" s="779">
        <v>0.31</v>
      </c>
      <c r="AD36" s="779">
        <v>0</v>
      </c>
      <c r="AE36" s="779">
        <v>0</v>
      </c>
      <c r="AF36" s="779">
        <v>0</v>
      </c>
      <c r="AG36" s="779">
        <v>0.32</v>
      </c>
      <c r="AH36" s="779">
        <v>0</v>
      </c>
      <c r="AI36" s="779">
        <v>0</v>
      </c>
      <c r="AJ36" s="598">
        <f t="shared" si="0"/>
        <v>0.95</v>
      </c>
    </row>
    <row r="37" spans="2:36">
      <c r="B37" s="584" t="s">
        <v>52</v>
      </c>
      <c r="C37" s="749"/>
      <c r="D37" s="751" t="s">
        <v>433</v>
      </c>
      <c r="E37" s="752"/>
      <c r="F37" s="586"/>
      <c r="G37" s="588"/>
      <c r="H37" s="760"/>
      <c r="I37" s="762"/>
      <c r="J37" s="586" t="str">
        <f>IF($D37=INDEX(Yes_No_Choice[],1),INDEX(Equipment_Utitliy_Specs_Units[],MATCH($I$5,Equipment_Utility_Spec_List,0),2),"")</f>
        <v/>
      </c>
      <c r="K37" s="751"/>
      <c r="L37" s="586" t="str">
        <f>IF($D37=INDEX(Yes_No_Choice[],1),INDEX(Equipment_Utitliy_Specs_Units[],MATCH($K$5,Equipment_Utility_Spec_List,0),2),"")</f>
        <v/>
      </c>
      <c r="M37" s="751"/>
      <c r="N37" s="586" t="str">
        <f>IF($D37=INDEX(Yes_No_Choice[],1),INDEX(Equipment_Utitliy_Specs_Units[],MATCH($M$5,Equipment_Utility_Spec_List,0),2),"")</f>
        <v/>
      </c>
      <c r="O37" s="762"/>
      <c r="P37" s="586" t="str">
        <f>IF($D37=INDEX(Yes_No_Choice[],1),INDEX(Equipment_Utitliy_Specs_Units[],MATCH($O$5,Equipment_Utility_Spec_List,0),2),"")</f>
        <v/>
      </c>
      <c r="Q37" s="735"/>
      <c r="R37" s="751" t="s">
        <v>433</v>
      </c>
      <c r="S37" s="767"/>
      <c r="T37" s="769"/>
      <c r="U37" s="594">
        <f>IFERROR(T37/(INDEX(Settings_Currency_Table[],MATCH(General_Currency_Selection,Settings_Currency,0),2)),0)</f>
        <v>0</v>
      </c>
      <c r="V37" s="751"/>
      <c r="W37" s="594">
        <f>U37*'1.0-General input'!$E$87</f>
        <v>0</v>
      </c>
      <c r="X37" s="594">
        <f>IFERROR(('2.2-Equipment input'!$U37-W37)/V37,)</f>
        <v>0</v>
      </c>
      <c r="Y37" s="776"/>
      <c r="Z37" s="605">
        <f>IF(General_EquipmentQuant_Auto="Yes",'2.2-Equipment input'!G37,'2.2-Equipment input'!H37)</f>
        <v>0</v>
      </c>
      <c r="AA37" s="778">
        <v>0</v>
      </c>
      <c r="AB37" s="779">
        <v>0</v>
      </c>
      <c r="AC37" s="779">
        <v>0</v>
      </c>
      <c r="AD37" s="779">
        <v>0</v>
      </c>
      <c r="AE37" s="779">
        <v>0</v>
      </c>
      <c r="AF37" s="779">
        <v>0</v>
      </c>
      <c r="AG37" s="779">
        <v>0</v>
      </c>
      <c r="AH37" s="779">
        <v>0</v>
      </c>
      <c r="AI37" s="779">
        <v>0</v>
      </c>
      <c r="AJ37" s="598">
        <f t="shared" si="0"/>
        <v>0</v>
      </c>
    </row>
    <row r="38" spans="2:36">
      <c r="B38" s="599" t="s">
        <v>53</v>
      </c>
      <c r="C38" s="749" t="s">
        <v>672</v>
      </c>
      <c r="D38" s="751" t="s">
        <v>432</v>
      </c>
      <c r="E38" s="752">
        <v>2000</v>
      </c>
      <c r="F38" s="586" t="s">
        <v>635</v>
      </c>
      <c r="G38" s="588">
        <f>ROUNDUP('1.0-General input'!$E$18*1000/Staff_Days_Operation/E38,0)</f>
        <v>1</v>
      </c>
      <c r="H38" s="760"/>
      <c r="I38" s="762">
        <v>0</v>
      </c>
      <c r="J38" s="586" t="str">
        <f>IF($D38=INDEX(Yes_No_Choice[],1),INDEX(Equipment_Utitliy_Specs_Units[],MATCH($I$5,Equipment_Utility_Spec_List,0),2),"")</f>
        <v>h</v>
      </c>
      <c r="K38" s="751"/>
      <c r="L38" s="586" t="str">
        <f>IF($D38=INDEX(Yes_No_Choice[],1),INDEX(Equipment_Utitliy_Specs_Units[],MATCH($K$5,Equipment_Utility_Spec_List,0),2),"")</f>
        <v>m3/h</v>
      </c>
      <c r="M38" s="751"/>
      <c r="N38" s="586" t="str">
        <f>IF($D38=INDEX(Yes_No_Choice[],1),INDEX(Equipment_Utitliy_Specs_Units[],MATCH($M$5,Equipment_Utility_Spec_List,0),2),"")</f>
        <v>kW</v>
      </c>
      <c r="O38" s="762"/>
      <c r="P38" s="586" t="str">
        <f>IF($D38=INDEX(Yes_No_Choice[],1),INDEX(Equipment_Utitliy_Specs_Units[],MATCH($O$5,Equipment_Utility_Spec_List,0),2),"")</f>
        <v>kg/h</v>
      </c>
      <c r="Q38" s="735"/>
      <c r="R38" s="751" t="s">
        <v>433</v>
      </c>
      <c r="S38" s="767">
        <f>0.3*0.3</f>
        <v>0.09</v>
      </c>
      <c r="T38" s="769">
        <v>5000000</v>
      </c>
      <c r="U38" s="594">
        <f>IFERROR(T38/(INDEX(Settings_Currency_Table[],MATCH(General_Currency_Selection,Settings_Currency,0),2)),0)</f>
        <v>354.05198332840024</v>
      </c>
      <c r="V38" s="751">
        <v>5</v>
      </c>
      <c r="W38" s="594">
        <f>U38*'1.0-General input'!$E$87</f>
        <v>0</v>
      </c>
      <c r="X38" s="594">
        <f>IFERROR(('2.2-Equipment input'!$U38-W38)/V38,)</f>
        <v>70.810396665680045</v>
      </c>
      <c r="Y38" s="776"/>
      <c r="Z38" s="605">
        <f>IF(General_EquipmentQuant_Auto="Yes",'2.2-Equipment input'!G38,'2.2-Equipment input'!H38)</f>
        <v>1</v>
      </c>
      <c r="AA38" s="778">
        <v>0</v>
      </c>
      <c r="AB38" s="779">
        <v>0.25</v>
      </c>
      <c r="AC38" s="779">
        <v>0.25</v>
      </c>
      <c r="AD38" s="779">
        <v>0.15</v>
      </c>
      <c r="AE38" s="779">
        <v>0.15</v>
      </c>
      <c r="AF38" s="779">
        <v>0</v>
      </c>
      <c r="AG38" s="779">
        <v>0.25</v>
      </c>
      <c r="AH38" s="779">
        <v>0</v>
      </c>
      <c r="AI38" s="779">
        <v>0</v>
      </c>
      <c r="AJ38" s="598">
        <f t="shared" si="0"/>
        <v>1.05</v>
      </c>
    </row>
    <row r="39" spans="2:36">
      <c r="B39" s="584" t="s">
        <v>54</v>
      </c>
      <c r="C39" s="749" t="s">
        <v>673</v>
      </c>
      <c r="D39" s="751" t="s">
        <v>432</v>
      </c>
      <c r="E39" s="752">
        <v>2000</v>
      </c>
      <c r="F39" s="586" t="s">
        <v>635</v>
      </c>
      <c r="G39" s="588">
        <f>ROUNDUP('1.0-General input'!$E$18*1000/Staff_Days_Operation/E39,0)</f>
        <v>1</v>
      </c>
      <c r="H39" s="760"/>
      <c r="I39" s="762">
        <v>0</v>
      </c>
      <c r="J39" s="586" t="str">
        <f>IF($D39=INDEX(Yes_No_Choice[],1),INDEX(Equipment_Utitliy_Specs_Units[],MATCH($I$5,Equipment_Utility_Spec_List,0),2),"")</f>
        <v>h</v>
      </c>
      <c r="K39" s="751"/>
      <c r="L39" s="586" t="str">
        <f>IF($D39=INDEX(Yes_No_Choice[],1),INDEX(Equipment_Utitliy_Specs_Units[],MATCH($K$5,Equipment_Utility_Spec_List,0),2),"")</f>
        <v>m3/h</v>
      </c>
      <c r="M39" s="751"/>
      <c r="N39" s="586" t="str">
        <f>IF($D39=INDEX(Yes_No_Choice[],1),INDEX(Equipment_Utitliy_Specs_Units[],MATCH($M$5,Equipment_Utility_Spec_List,0),2),"")</f>
        <v>kW</v>
      </c>
      <c r="O39" s="762"/>
      <c r="P39" s="586" t="str">
        <f>IF($D39=INDEX(Yes_No_Choice[],1),INDEX(Equipment_Utitliy_Specs_Units[],MATCH($O$5,Equipment_Utility_Spec_List,0),2),"")</f>
        <v>kg/h</v>
      </c>
      <c r="Q39" s="735"/>
      <c r="R39" s="751" t="s">
        <v>433</v>
      </c>
      <c r="S39" s="767">
        <f>0.25*0.15</f>
        <v>3.7499999999999999E-2</v>
      </c>
      <c r="T39" s="769">
        <v>3000000</v>
      </c>
      <c r="U39" s="594">
        <f>IFERROR(T39/(INDEX(Settings_Currency_Table[],MATCH(General_Currency_Selection,Settings_Currency,0),2)),0)</f>
        <v>212.43118999704012</v>
      </c>
      <c r="V39" s="751">
        <v>5</v>
      </c>
      <c r="W39" s="594">
        <f>U39*'1.0-General input'!$E$87</f>
        <v>0</v>
      </c>
      <c r="X39" s="594">
        <f>IFERROR(('2.2-Equipment input'!$U39-W39)/V39,)</f>
        <v>42.486237999408026</v>
      </c>
      <c r="Y39" s="776"/>
      <c r="Z39" s="605">
        <f>IF(General_EquipmentQuant_Auto="Yes",'2.2-Equipment input'!G39,'2.2-Equipment input'!H39)</f>
        <v>1</v>
      </c>
      <c r="AA39" s="778">
        <v>0</v>
      </c>
      <c r="AB39" s="779">
        <v>0</v>
      </c>
      <c r="AC39" s="779">
        <v>0</v>
      </c>
      <c r="AD39" s="779">
        <v>0.5</v>
      </c>
      <c r="AE39" s="779">
        <v>0.5</v>
      </c>
      <c r="AF39" s="779">
        <v>0</v>
      </c>
      <c r="AG39" s="779">
        <v>0</v>
      </c>
      <c r="AH39" s="779">
        <v>0</v>
      </c>
      <c r="AI39" s="779">
        <v>0</v>
      </c>
      <c r="AJ39" s="598">
        <f t="shared" si="0"/>
        <v>1</v>
      </c>
    </row>
    <row r="40" spans="2:36">
      <c r="B40" s="599" t="s">
        <v>55</v>
      </c>
      <c r="C40" s="749" t="s">
        <v>126</v>
      </c>
      <c r="D40" s="751" t="s">
        <v>432</v>
      </c>
      <c r="E40" s="752">
        <v>16</v>
      </c>
      <c r="F40" s="586" t="s">
        <v>674</v>
      </c>
      <c r="G40" s="588">
        <f>ROUNDUP(G22/E40,0)</f>
        <v>1</v>
      </c>
      <c r="H40" s="760"/>
      <c r="I40" s="762">
        <f>IFERROR(G22/4,0)</f>
        <v>0.75</v>
      </c>
      <c r="J40" s="586" t="str">
        <f>IF($D40=INDEX(Yes_No_Choice[],1),INDEX(Equipment_Utitliy_Specs_Units[],MATCH($I$5,Equipment_Utility_Spec_List,0),2),"")</f>
        <v>h</v>
      </c>
      <c r="K40" s="751"/>
      <c r="L40" s="586" t="str">
        <f>IF($D40=INDEX(Yes_No_Choice[],1),INDEX(Equipment_Utitliy_Specs_Units[],MATCH($K$5,Equipment_Utility_Spec_List,0),2),"")</f>
        <v>m3/h</v>
      </c>
      <c r="M40" s="751">
        <v>1.7</v>
      </c>
      <c r="N40" s="586" t="str">
        <f>IF($D40=INDEX(Yes_No_Choice[],1),INDEX(Equipment_Utitliy_Specs_Units[],MATCH($M$5,Equipment_Utility_Spec_List,0),2),"")</f>
        <v>kW</v>
      </c>
      <c r="O40" s="762"/>
      <c r="P40" s="586" t="str">
        <f>IF($D40=INDEX(Yes_No_Choice[],1),INDEX(Equipment_Utitliy_Specs_Units[],MATCH($O$5,Equipment_Utility_Spec_List,0),2),"")</f>
        <v>kg/h</v>
      </c>
      <c r="Q40" s="735"/>
      <c r="R40" s="751" t="s">
        <v>433</v>
      </c>
      <c r="S40" s="767"/>
      <c r="T40" s="769">
        <v>2600000</v>
      </c>
      <c r="U40" s="594">
        <f>IFERROR(T40/(INDEX(Settings_Currency_Table[],MATCH(General_Currency_Selection,Settings_Currency,0),2)),0)</f>
        <v>184.10703133076811</v>
      </c>
      <c r="V40" s="751">
        <v>3</v>
      </c>
      <c r="W40" s="594">
        <f>U40*'1.0-General input'!$E$87</f>
        <v>0</v>
      </c>
      <c r="X40" s="594">
        <f>IFERROR(('2.2-Equipment input'!$U40-W40)/V40,)</f>
        <v>61.369010443589367</v>
      </c>
      <c r="Y40" s="776"/>
      <c r="Z40" s="605">
        <f>IF(General_EquipmentQuant_Auto="Yes",'2.2-Equipment input'!G40,'2.2-Equipment input'!H40)</f>
        <v>1</v>
      </c>
      <c r="AA40" s="778">
        <v>0</v>
      </c>
      <c r="AB40" s="779">
        <v>0</v>
      </c>
      <c r="AC40" s="779">
        <v>0</v>
      </c>
      <c r="AD40" s="779">
        <v>1</v>
      </c>
      <c r="AE40" s="779">
        <v>0</v>
      </c>
      <c r="AF40" s="779">
        <v>0</v>
      </c>
      <c r="AG40" s="779">
        <v>0</v>
      </c>
      <c r="AH40" s="779">
        <v>0</v>
      </c>
      <c r="AI40" s="779">
        <v>0</v>
      </c>
      <c r="AJ40" s="598">
        <f t="shared" si="0"/>
        <v>1</v>
      </c>
    </row>
    <row r="41" spans="2:36">
      <c r="B41" s="584" t="s">
        <v>56</v>
      </c>
      <c r="C41" s="749" t="s">
        <v>208</v>
      </c>
      <c r="D41" s="751" t="s">
        <v>432</v>
      </c>
      <c r="E41" s="752">
        <v>512</v>
      </c>
      <c r="F41" s="586" t="s">
        <v>636</v>
      </c>
      <c r="G41" s="588">
        <f>ROUNDUP(G19/E41,0)</f>
        <v>1</v>
      </c>
      <c r="H41" s="760"/>
      <c r="I41" s="764">
        <f>IFERROR($G$9/E41/8*G41,0)</f>
        <v>3.90625E-3</v>
      </c>
      <c r="J41" s="586" t="str">
        <f>IF($D41=INDEX(Yes_No_Choice[],1),INDEX(Equipment_Utitliy_Specs_Units[],MATCH($I$5,Equipment_Utility_Spec_List,0),2),"")</f>
        <v>h</v>
      </c>
      <c r="K41" s="751"/>
      <c r="L41" s="586" t="str">
        <f>IF($D41=INDEX(Yes_No_Choice[],1),INDEX(Equipment_Utitliy_Specs_Units[],MATCH($K$5,Equipment_Utility_Spec_List,0),2),"")</f>
        <v>m3/h</v>
      </c>
      <c r="M41" s="751">
        <v>5.5</v>
      </c>
      <c r="N41" s="586" t="str">
        <f>IF($D41=INDEX(Yes_No_Choice[],1),INDEX(Equipment_Utitliy_Specs_Units[],MATCH($M$5,Equipment_Utility_Spec_List,0),2),"")</f>
        <v>kW</v>
      </c>
      <c r="O41" s="762"/>
      <c r="P41" s="586" t="str">
        <f>IF($D41=INDEX(Yes_No_Choice[],1),INDEX(Equipment_Utitliy_Specs_Units[],MATCH($O$5,Equipment_Utility_Spec_List,0),2),"")</f>
        <v>kg/h</v>
      </c>
      <c r="Q41" s="735"/>
      <c r="R41" s="751" t="s">
        <v>432</v>
      </c>
      <c r="S41" s="767">
        <f>2*2</f>
        <v>4</v>
      </c>
      <c r="T41" s="769">
        <v>8000000</v>
      </c>
      <c r="U41" s="594">
        <f>IFERROR(T41/(INDEX(Settings_Currency_Table[],MATCH(General_Currency_Selection,Settings_Currency,0),2)),0)</f>
        <v>566.48317332544036</v>
      </c>
      <c r="V41" s="751">
        <v>5</v>
      </c>
      <c r="W41" s="594">
        <f>U41*'1.0-General input'!$E$87</f>
        <v>0</v>
      </c>
      <c r="X41" s="594">
        <f>IFERROR(('2.2-Equipment input'!$U41-W41)/V41,)</f>
        <v>113.29663466508808</v>
      </c>
      <c r="Y41" s="776"/>
      <c r="Z41" s="605">
        <f>IF(General_EquipmentQuant_Auto="Yes",'2.2-Equipment input'!G41,'2.2-Equipment input'!H41)</f>
        <v>1</v>
      </c>
      <c r="AA41" s="778">
        <v>0</v>
      </c>
      <c r="AB41" s="779">
        <v>0</v>
      </c>
      <c r="AC41" s="779">
        <v>0</v>
      </c>
      <c r="AD41" s="779">
        <v>0.5</v>
      </c>
      <c r="AE41" s="779">
        <v>0.5</v>
      </c>
      <c r="AF41" s="779">
        <v>0</v>
      </c>
      <c r="AG41" s="779">
        <v>0</v>
      </c>
      <c r="AH41" s="779">
        <v>0</v>
      </c>
      <c r="AI41" s="779">
        <v>0</v>
      </c>
      <c r="AJ41" s="598">
        <f t="shared" ref="AJ41:AJ70" si="1">SUM(AA41:AI41)</f>
        <v>1</v>
      </c>
    </row>
    <row r="42" spans="2:36">
      <c r="B42" s="599" t="s">
        <v>57</v>
      </c>
      <c r="C42" s="749" t="s">
        <v>599</v>
      </c>
      <c r="D42" s="751" t="s">
        <v>432</v>
      </c>
      <c r="E42" s="752">
        <v>6</v>
      </c>
      <c r="F42" s="592" t="s">
        <v>682</v>
      </c>
      <c r="G42" s="588">
        <f>'5.3-Unit SG&amp;A'!D38/E42</f>
        <v>5.2875000000000014</v>
      </c>
      <c r="H42" s="760"/>
      <c r="I42" s="762">
        <v>4</v>
      </c>
      <c r="J42" s="586" t="str">
        <f>IF($D42=INDEX(Yes_No_Choice[],1),INDEX(Equipment_Utitliy_Specs_Units[],MATCH($I$5,Equipment_Utility_Spec_List,0),2),"")</f>
        <v>h</v>
      </c>
      <c r="K42" s="751"/>
      <c r="L42" s="586" t="str">
        <f>IF($D42=INDEX(Yes_No_Choice[],1),INDEX(Equipment_Utitliy_Specs_Units[],MATCH($K$5,Equipment_Utility_Spec_List,0),2),"")</f>
        <v>m3/h</v>
      </c>
      <c r="M42" s="751">
        <v>0.24</v>
      </c>
      <c r="N42" s="586" t="str">
        <f>IF($D42=INDEX(Yes_No_Choice[],1),INDEX(Equipment_Utitliy_Specs_Units[],MATCH($M$5,Equipment_Utility_Spec_List,0),2),"")</f>
        <v>kW</v>
      </c>
      <c r="O42" s="762"/>
      <c r="P42" s="586" t="str">
        <f>IF($D42=INDEX(Yes_No_Choice[],1),INDEX(Equipment_Utitliy_Specs_Units[],MATCH($O$5,Equipment_Utility_Spec_List,0),2),"")</f>
        <v>kg/h</v>
      </c>
      <c r="Q42" s="735"/>
      <c r="R42" s="751" t="s">
        <v>433</v>
      </c>
      <c r="S42" s="767"/>
      <c r="T42" s="769"/>
      <c r="U42" s="594">
        <f>IFERROR(T42/(INDEX(Settings_Currency_Table[],MATCH(General_Currency_Selection,Settings_Currency,0),2)),0)</f>
        <v>0</v>
      </c>
      <c r="V42" s="751"/>
      <c r="W42" s="594">
        <f>U42*'1.0-General input'!$E$87</f>
        <v>0</v>
      </c>
      <c r="X42" s="594">
        <f>IFERROR(('2.2-Equipment input'!$U42-W42)/V42,)</f>
        <v>0</v>
      </c>
      <c r="Y42" s="776"/>
      <c r="Z42" s="605">
        <f>IF(General_EquipmentQuant_Auto="Yes",'2.2-Equipment input'!G42,'2.2-Equipment input'!H42)</f>
        <v>5.2875000000000014</v>
      </c>
      <c r="AA42" s="778">
        <v>0</v>
      </c>
      <c r="AB42" s="779">
        <v>0</v>
      </c>
      <c r="AC42" s="779">
        <v>0</v>
      </c>
      <c r="AD42" s="779">
        <v>0.5</v>
      </c>
      <c r="AE42" s="779">
        <v>0.5</v>
      </c>
      <c r="AF42" s="779">
        <v>0</v>
      </c>
      <c r="AG42" s="779">
        <v>0</v>
      </c>
      <c r="AH42" s="779">
        <v>0</v>
      </c>
      <c r="AI42" s="779">
        <v>0</v>
      </c>
      <c r="AJ42" s="598">
        <f t="shared" si="1"/>
        <v>1</v>
      </c>
    </row>
    <row r="43" spans="2:36">
      <c r="B43" s="584" t="s">
        <v>58</v>
      </c>
      <c r="C43" s="750"/>
      <c r="D43" s="751" t="s">
        <v>433</v>
      </c>
      <c r="E43" s="752"/>
      <c r="F43" s="751"/>
      <c r="G43" s="588"/>
      <c r="H43" s="760"/>
      <c r="I43" s="762"/>
      <c r="J43" s="586" t="str">
        <f>IF($D43=INDEX(Yes_No_Choice[],1),INDEX(Equipment_Utitliy_Specs_Units[],MATCH($I$5,Equipment_Utility_Spec_List,0),2),"")</f>
        <v/>
      </c>
      <c r="K43" s="751"/>
      <c r="L43" s="586" t="str">
        <f>IF($D43=INDEX(Yes_No_Choice[],1),INDEX(Equipment_Utitliy_Specs_Units[],MATCH($K$5,Equipment_Utility_Spec_List,0),2),"")</f>
        <v/>
      </c>
      <c r="M43" s="751"/>
      <c r="N43" s="586" t="str">
        <f>IF($D43=INDEX(Yes_No_Choice[],1),INDEX(Equipment_Utitliy_Specs_Units[],MATCH($M$5,Equipment_Utility_Spec_List,0),2),"")</f>
        <v/>
      </c>
      <c r="O43" s="762"/>
      <c r="P43" s="586" t="str">
        <f>IF($D43=INDEX(Yes_No_Choice[],1),INDEX(Equipment_Utitliy_Specs_Units[],MATCH($O$5,Equipment_Utility_Spec_List,0),2),"")</f>
        <v/>
      </c>
      <c r="Q43" s="735"/>
      <c r="R43" s="751" t="s">
        <v>433</v>
      </c>
      <c r="S43" s="752"/>
      <c r="T43" s="769"/>
      <c r="U43" s="594">
        <f>IFERROR(T43/(INDEX(Settings_Currency_Table[],MATCH(General_Currency_Selection,Settings_Currency,0),2)),0)</f>
        <v>0</v>
      </c>
      <c r="V43" s="751"/>
      <c r="W43" s="594">
        <f>U43*'1.0-General input'!$E$87</f>
        <v>0</v>
      </c>
      <c r="X43" s="594">
        <f>IFERROR(('2.2-Equipment input'!$U43-W43)/V43,)</f>
        <v>0</v>
      </c>
      <c r="Y43" s="776"/>
      <c r="Z43" s="605">
        <v>0</v>
      </c>
      <c r="AA43" s="778">
        <v>0</v>
      </c>
      <c r="AB43" s="779">
        <v>0</v>
      </c>
      <c r="AC43" s="779">
        <v>0</v>
      </c>
      <c r="AD43" s="779">
        <v>0</v>
      </c>
      <c r="AE43" s="779">
        <v>0</v>
      </c>
      <c r="AF43" s="779">
        <v>0</v>
      </c>
      <c r="AG43" s="779">
        <v>0</v>
      </c>
      <c r="AH43" s="779">
        <v>0</v>
      </c>
      <c r="AI43" s="779">
        <v>0</v>
      </c>
      <c r="AJ43" s="598">
        <f t="shared" si="1"/>
        <v>0</v>
      </c>
    </row>
    <row r="44" spans="2:36">
      <c r="B44" s="599" t="s">
        <v>59</v>
      </c>
      <c r="C44" s="753"/>
      <c r="D44" s="751" t="s">
        <v>433</v>
      </c>
      <c r="E44" s="754"/>
      <c r="F44" s="751"/>
      <c r="G44" s="588"/>
      <c r="H44" s="760"/>
      <c r="I44" s="764"/>
      <c r="J44" s="586" t="str">
        <f>IF($D44=INDEX(Yes_No_Choice[],1),INDEX(Equipment_Utitliy_Specs_Units[],MATCH($I$5,Equipment_Utility_Spec_List,0),2),"")</f>
        <v/>
      </c>
      <c r="K44" s="751"/>
      <c r="L44" s="586" t="str">
        <f>IF($D44=INDEX(Yes_No_Choice[],1),INDEX(Equipment_Utitliy_Specs_Units[],MATCH($K$5,Equipment_Utility_Spec_List,0),2),"")</f>
        <v/>
      </c>
      <c r="M44" s="751"/>
      <c r="N44" s="586" t="str">
        <f>IF($D44=INDEX(Yes_No_Choice[],1),INDEX(Equipment_Utitliy_Specs_Units[],MATCH($M$5,Equipment_Utility_Spec_List,0),2),"")</f>
        <v/>
      </c>
      <c r="O44" s="766"/>
      <c r="P44" s="704" t="str">
        <f>IF($D44=INDEX(Yes_No_Choice[],1),INDEX(Equipment_Utitliy_Specs_Units[],MATCH($O$5,Equipment_Utility_Spec_List,0),2),"")</f>
        <v/>
      </c>
      <c r="Q44" s="735"/>
      <c r="R44" s="751" t="s">
        <v>432</v>
      </c>
      <c r="S44" s="752">
        <f>1*1</f>
        <v>1</v>
      </c>
      <c r="T44" s="769">
        <v>684000</v>
      </c>
      <c r="U44" s="594">
        <f>IFERROR(T44/(INDEX(Settings_Currency_Table[],MATCH(General_Currency_Selection,Settings_Currency,0),2)),0)</f>
        <v>48.434311319325154</v>
      </c>
      <c r="V44" s="751">
        <v>2</v>
      </c>
      <c r="W44" s="594">
        <f>U44*'1.0-General input'!$E$87</f>
        <v>0</v>
      </c>
      <c r="X44" s="594">
        <f>IFERROR(('2.2-Equipment input'!$U44-W44)/V44,)</f>
        <v>24.217155659662577</v>
      </c>
      <c r="Y44" s="776"/>
      <c r="Z44" s="605">
        <f>IF(General_EquipmentQuant_Auto="Yes",'2.2-Equipment input'!G44,'2.2-Equipment input'!H44)</f>
        <v>0</v>
      </c>
      <c r="AA44" s="778">
        <v>0</v>
      </c>
      <c r="AB44" s="779">
        <v>0</v>
      </c>
      <c r="AC44" s="779">
        <v>0</v>
      </c>
      <c r="AD44" s="779">
        <v>0</v>
      </c>
      <c r="AE44" s="779">
        <v>0</v>
      </c>
      <c r="AF44" s="779">
        <v>0</v>
      </c>
      <c r="AG44" s="779">
        <v>1</v>
      </c>
      <c r="AH44" s="779">
        <v>0</v>
      </c>
      <c r="AI44" s="779">
        <v>0</v>
      </c>
      <c r="AJ44" s="598">
        <f t="shared" si="1"/>
        <v>1</v>
      </c>
    </row>
    <row r="45" spans="2:36">
      <c r="B45" s="584" t="s">
        <v>124</v>
      </c>
      <c r="C45" s="755"/>
      <c r="D45" s="751" t="s">
        <v>433</v>
      </c>
      <c r="E45" s="751"/>
      <c r="F45" s="751"/>
      <c r="G45" s="588"/>
      <c r="H45" s="760"/>
      <c r="I45" s="764"/>
      <c r="J45" s="586" t="str">
        <f>IF($D45=INDEX(Yes_No_Choice[],1),INDEX(Equipment_Utitliy_Specs_Units[],MATCH($I$5,Equipment_Utility_Spec_List,0),2),"")</f>
        <v/>
      </c>
      <c r="K45" s="751"/>
      <c r="L45" s="586" t="str">
        <f>IF($D45=INDEX(Yes_No_Choice[],1),INDEX(Equipment_Utitliy_Specs_Units[],MATCH($K$5,Equipment_Utility_Spec_List,0),2),"")</f>
        <v/>
      </c>
      <c r="M45" s="751"/>
      <c r="N45" s="586" t="str">
        <f>IF($D45=INDEX(Yes_No_Choice[],1),INDEX(Equipment_Utitliy_Specs_Units[],MATCH($M$5,Equipment_Utility_Spec_List,0),2),"")</f>
        <v/>
      </c>
      <c r="O45" s="751"/>
      <c r="P45" s="586" t="str">
        <f>IF($D45=INDEX(Yes_No_Choice[],1),INDEX(Equipment_Utitliy_Specs_Units[],MATCH($O$5,Equipment_Utility_Spec_List,0),2),"")</f>
        <v/>
      </c>
      <c r="Q45" s="735"/>
      <c r="R45" s="751" t="s">
        <v>432</v>
      </c>
      <c r="S45" s="767">
        <f>1.92*1.32</f>
        <v>2.5344000000000002</v>
      </c>
      <c r="T45" s="770">
        <v>185000000</v>
      </c>
      <c r="U45" s="594">
        <f>IFERROR(T45/(INDEX(Settings_Currency_Table[],MATCH(General_Currency_Selection,Settings_Currency,0),2)),0)</f>
        <v>13099.923383150808</v>
      </c>
      <c r="V45" s="751">
        <v>5</v>
      </c>
      <c r="W45" s="594">
        <f>U45*'1.0-General input'!$E$87</f>
        <v>0</v>
      </c>
      <c r="X45" s="594">
        <f>IFERROR(('2.2-Equipment input'!$U45-W45)/V45,)</f>
        <v>2619.9846766301616</v>
      </c>
      <c r="Y45" s="777"/>
      <c r="Z45" s="605">
        <f>IF(General_EquipmentQuant_Auto="Yes",'2.2-Equipment input'!G45,'2.2-Equipment input'!H45)</f>
        <v>0</v>
      </c>
      <c r="AA45" s="778">
        <v>0</v>
      </c>
      <c r="AB45" s="779">
        <v>0</v>
      </c>
      <c r="AC45" s="779">
        <v>0</v>
      </c>
      <c r="AD45" s="779">
        <v>0</v>
      </c>
      <c r="AE45" s="779">
        <v>0</v>
      </c>
      <c r="AF45" s="779">
        <v>0</v>
      </c>
      <c r="AG45" s="779">
        <v>1</v>
      </c>
      <c r="AH45" s="779">
        <v>0</v>
      </c>
      <c r="AI45" s="779">
        <v>0</v>
      </c>
      <c r="AJ45" s="598">
        <f t="shared" si="1"/>
        <v>1</v>
      </c>
    </row>
    <row r="46" spans="2:36">
      <c r="B46" s="599" t="s">
        <v>441</v>
      </c>
      <c r="C46" s="755"/>
      <c r="D46" s="751" t="s">
        <v>433</v>
      </c>
      <c r="E46" s="751"/>
      <c r="F46" s="751"/>
      <c r="G46" s="588"/>
      <c r="H46" s="760"/>
      <c r="I46" s="764"/>
      <c r="J46" s="586" t="str">
        <f>IF($D46=INDEX(Yes_No_Choice[],1),INDEX(Equipment_Utitliy_Specs_Units[],MATCH($I$5,Equipment_Utility_Spec_List,0),2),"")</f>
        <v/>
      </c>
      <c r="K46" s="751"/>
      <c r="L46" s="586" t="str">
        <f>IF($D46=INDEX(Yes_No_Choice[],1),INDEX(Equipment_Utitliy_Specs_Units[],MATCH($K$5,Equipment_Utility_Spec_List,0),2),"")</f>
        <v/>
      </c>
      <c r="M46" s="751"/>
      <c r="N46" s="586" t="str">
        <f>IF($D46=INDEX(Yes_No_Choice[],1),INDEX(Equipment_Utitliy_Specs_Units[],MATCH($M$5,Equipment_Utility_Spec_List,0),2),"")</f>
        <v/>
      </c>
      <c r="O46" s="751"/>
      <c r="P46" s="586" t="str">
        <f>IF($D46=INDEX(Yes_No_Choice[],1),INDEX(Equipment_Utitliy_Specs_Units[],MATCH($O$5,Equipment_Utility_Spec_List,0),2),"")</f>
        <v/>
      </c>
      <c r="Q46" s="735"/>
      <c r="R46" s="751" t="s">
        <v>432</v>
      </c>
      <c r="S46" s="752">
        <f>1.5*1.3</f>
        <v>1.9500000000000002</v>
      </c>
      <c r="T46" s="770">
        <v>42000000</v>
      </c>
      <c r="U46" s="594">
        <f>IFERROR(T46/(INDEX(Settings_Currency_Table[],MATCH(General_Currency_Selection,Settings_Currency,0),2)),0)</f>
        <v>2974.0366599585618</v>
      </c>
      <c r="V46" s="751">
        <v>5</v>
      </c>
      <c r="W46" s="594">
        <f>U46*'1.0-General input'!$E$87</f>
        <v>0</v>
      </c>
      <c r="X46" s="594">
        <f>IFERROR(('2.2-Equipment input'!$U46-W46)/V46,)</f>
        <v>594.80733199171232</v>
      </c>
      <c r="Y46" s="776"/>
      <c r="Z46" s="605">
        <f>IF(General_EquipmentQuant_Auto="Yes",'2.2-Equipment input'!G46,'2.2-Equipment input'!H46)</f>
        <v>0</v>
      </c>
      <c r="AA46" s="778">
        <v>0</v>
      </c>
      <c r="AB46" s="779">
        <v>0</v>
      </c>
      <c r="AC46" s="779">
        <v>0</v>
      </c>
      <c r="AD46" s="779">
        <v>0</v>
      </c>
      <c r="AE46" s="779">
        <v>0</v>
      </c>
      <c r="AF46" s="779">
        <v>0</v>
      </c>
      <c r="AG46" s="779">
        <v>1</v>
      </c>
      <c r="AH46" s="779">
        <v>0</v>
      </c>
      <c r="AI46" s="779">
        <v>0</v>
      </c>
      <c r="AJ46" s="598">
        <f t="shared" si="1"/>
        <v>1</v>
      </c>
    </row>
    <row r="47" spans="2:36">
      <c r="B47" s="584" t="s">
        <v>442</v>
      </c>
      <c r="C47" s="755"/>
      <c r="D47" s="751" t="s">
        <v>433</v>
      </c>
      <c r="E47" s="751"/>
      <c r="F47" s="751"/>
      <c r="G47" s="588"/>
      <c r="H47" s="760"/>
      <c r="I47" s="765"/>
      <c r="J47" s="586" t="str">
        <f>IF($D47=INDEX(Yes_No_Choice[],1),INDEX(Equipment_Utitliy_Specs_Units[],MATCH($I$5,Equipment_Utility_Spec_List,0),2),"")</f>
        <v/>
      </c>
      <c r="K47" s="751"/>
      <c r="L47" s="586" t="str">
        <f>IF($D47=INDEX(Yes_No_Choice[],1),INDEX(Equipment_Utitliy_Specs_Units[],MATCH($K$5,Equipment_Utility_Spec_List,0),2),"")</f>
        <v/>
      </c>
      <c r="M47" s="751"/>
      <c r="N47" s="586" t="str">
        <f>IF($D47=INDEX(Yes_No_Choice[],1),INDEX(Equipment_Utitliy_Specs_Units[],MATCH($M$5,Equipment_Utility_Spec_List,0),2),"")</f>
        <v/>
      </c>
      <c r="O47" s="751"/>
      <c r="P47" s="586" t="str">
        <f>IF($D47=INDEX(Yes_No_Choice[],1),INDEX(Equipment_Utitliy_Specs_Units[],MATCH($O$5,Equipment_Utility_Spec_List,0),2),"")</f>
        <v/>
      </c>
      <c r="Q47" s="735"/>
      <c r="R47" s="751" t="s">
        <v>432</v>
      </c>
      <c r="S47" s="752">
        <f>0.58*0.52</f>
        <v>0.30159999999999998</v>
      </c>
      <c r="T47" s="770">
        <v>4700000</v>
      </c>
      <c r="U47" s="594">
        <f>IFERROR(T47/(INDEX(Settings_Currency_Table[],MATCH(General_Currency_Selection,Settings_Currency,0),2)),0)</f>
        <v>332.80886432869619</v>
      </c>
      <c r="V47" s="751">
        <v>5</v>
      </c>
      <c r="W47" s="594">
        <f>U47*'1.0-General input'!$E$87</f>
        <v>0</v>
      </c>
      <c r="X47" s="594">
        <f>IFERROR(('2.2-Equipment input'!$U47-W47)/V47,)</f>
        <v>66.561772865739243</v>
      </c>
      <c r="Y47" s="776"/>
      <c r="Z47" s="605">
        <f>IF(General_EquipmentQuant_Auto="Yes",'2.2-Equipment input'!G47,'2.2-Equipment input'!H47)</f>
        <v>0</v>
      </c>
      <c r="AA47" s="778">
        <v>0</v>
      </c>
      <c r="AB47" s="779">
        <v>0</v>
      </c>
      <c r="AC47" s="779">
        <v>0</v>
      </c>
      <c r="AD47" s="779">
        <v>0</v>
      </c>
      <c r="AE47" s="779">
        <v>0</v>
      </c>
      <c r="AF47" s="779">
        <v>0</v>
      </c>
      <c r="AG47" s="779">
        <v>1</v>
      </c>
      <c r="AH47" s="779">
        <v>0</v>
      </c>
      <c r="AI47" s="779">
        <v>0</v>
      </c>
      <c r="AJ47" s="598">
        <f t="shared" si="1"/>
        <v>1</v>
      </c>
    </row>
    <row r="48" spans="2:36">
      <c r="B48" s="599" t="s">
        <v>443</v>
      </c>
      <c r="C48" s="755"/>
      <c r="D48" s="751" t="s">
        <v>433</v>
      </c>
      <c r="E48" s="751"/>
      <c r="F48" s="751"/>
      <c r="G48" s="588"/>
      <c r="H48" s="760"/>
      <c r="I48" s="764"/>
      <c r="J48" s="586" t="str">
        <f>IF($D48=INDEX(Yes_No_Choice[],1),INDEX(Equipment_Utitliy_Specs_Units[],MATCH($I$5,Equipment_Utility_Spec_List,0),2),"")</f>
        <v/>
      </c>
      <c r="K48" s="751"/>
      <c r="L48" s="586" t="str">
        <f>IF($D48=INDEX(Yes_No_Choice[],1),INDEX(Equipment_Utitliy_Specs_Units[],MATCH($K$5,Equipment_Utility_Spec_List,0),2),"")</f>
        <v/>
      </c>
      <c r="M48" s="751"/>
      <c r="N48" s="586" t="str">
        <f>IF($D48=INDEX(Yes_No_Choice[],1),INDEX(Equipment_Utitliy_Specs_Units[],MATCH($M$5,Equipment_Utility_Spec_List,0),2),"")</f>
        <v/>
      </c>
      <c r="O48" s="751"/>
      <c r="P48" s="586" t="str">
        <f>IF($D48=INDEX(Yes_No_Choice[],1),INDEX(Equipment_Utitliy_Specs_Units[],MATCH($O$5,Equipment_Utility_Spec_List,0),2),"")</f>
        <v/>
      </c>
      <c r="Q48" s="735"/>
      <c r="R48" s="751" t="s">
        <v>432</v>
      </c>
      <c r="S48" s="752">
        <f>3*2</f>
        <v>6</v>
      </c>
      <c r="T48" s="770">
        <v>20000000</v>
      </c>
      <c r="U48" s="594">
        <f>IFERROR(T48/(INDEX(Settings_Currency_Table[],MATCH(General_Currency_Selection,Settings_Currency,0),2)),0)</f>
        <v>1416.207933313601</v>
      </c>
      <c r="V48" s="751">
        <v>5</v>
      </c>
      <c r="W48" s="594">
        <f>U48*'1.0-General input'!$E$87</f>
        <v>0</v>
      </c>
      <c r="X48" s="594">
        <f>IFERROR(('2.2-Equipment input'!$U48-W48)/V48,)</f>
        <v>283.24158666272018</v>
      </c>
      <c r="Y48" s="776"/>
      <c r="Z48" s="605">
        <f>IF(General_EquipmentQuant_Auto="Yes",'2.2-Equipment input'!G48,'2.2-Equipment input'!H48)</f>
        <v>0</v>
      </c>
      <c r="AA48" s="778">
        <v>0</v>
      </c>
      <c r="AB48" s="779">
        <v>0</v>
      </c>
      <c r="AC48" s="779">
        <v>0</v>
      </c>
      <c r="AD48" s="779">
        <v>0</v>
      </c>
      <c r="AE48" s="779">
        <v>0</v>
      </c>
      <c r="AF48" s="779">
        <v>0</v>
      </c>
      <c r="AG48" s="779">
        <v>1</v>
      </c>
      <c r="AH48" s="779">
        <v>0</v>
      </c>
      <c r="AI48" s="779">
        <v>0</v>
      </c>
      <c r="AJ48" s="598">
        <f t="shared" si="1"/>
        <v>1</v>
      </c>
    </row>
    <row r="49" spans="2:36" ht="15" customHeight="1">
      <c r="B49" s="584" t="s">
        <v>444</v>
      </c>
      <c r="C49" s="755"/>
      <c r="D49" s="751" t="s">
        <v>433</v>
      </c>
      <c r="E49" s="751"/>
      <c r="F49" s="751"/>
      <c r="G49" s="588"/>
      <c r="H49" s="760"/>
      <c r="I49" s="751"/>
      <c r="J49" s="586" t="str">
        <f>IF($D49=INDEX(Yes_No_Choice[],1),INDEX(Equipment_Utitliy_Specs_Units[],MATCH($I$5,Equipment_Utility_Spec_List,0),2),"")</f>
        <v/>
      </c>
      <c r="K49" s="751"/>
      <c r="L49" s="586" t="str">
        <f>IF($D49=INDEX(Yes_No_Choice[],1),INDEX(Equipment_Utitliy_Specs_Units[],MATCH($K$5,Equipment_Utility_Spec_List,0),2),"")</f>
        <v/>
      </c>
      <c r="M49" s="751"/>
      <c r="N49" s="586" t="str">
        <f>IF($D49=INDEX(Yes_No_Choice[],1),INDEX(Equipment_Utitliy_Specs_Units[],MATCH($M$5,Equipment_Utility_Spec_List,0),2),"")</f>
        <v/>
      </c>
      <c r="O49" s="751"/>
      <c r="P49" s="586" t="str">
        <f>IF($D49=INDEX(Yes_No_Choice[],1),INDEX(Equipment_Utitliy_Specs_Units[],MATCH($O$5,Equipment_Utility_Spec_List,0),2),"")</f>
        <v/>
      </c>
      <c r="Q49" s="735"/>
      <c r="R49" s="751" t="s">
        <v>433</v>
      </c>
      <c r="S49" s="752"/>
      <c r="T49" s="770">
        <v>8500000</v>
      </c>
      <c r="U49" s="594">
        <f>IFERROR(T49/(INDEX(Settings_Currency_Table[],MATCH(General_Currency_Selection,Settings_Currency,0),2)),0)</f>
        <v>601.88837165828033</v>
      </c>
      <c r="V49" s="751">
        <v>10</v>
      </c>
      <c r="W49" s="594">
        <f>U49*'1.0-General input'!$E$87</f>
        <v>0</v>
      </c>
      <c r="X49" s="594">
        <f>IFERROR(('2.2-Equipment input'!$U49-W49)/V49,)</f>
        <v>60.188837165828033</v>
      </c>
      <c r="Y49" s="776"/>
      <c r="Z49" s="605">
        <f>IF(General_EquipmentQuant_Auto="Yes",'2.2-Equipment input'!G49,'2.2-Equipment input'!H49)</f>
        <v>0</v>
      </c>
      <c r="AA49" s="778">
        <v>0</v>
      </c>
      <c r="AB49" s="779">
        <v>0</v>
      </c>
      <c r="AC49" s="779">
        <v>0</v>
      </c>
      <c r="AD49" s="779">
        <v>0</v>
      </c>
      <c r="AE49" s="779">
        <v>0</v>
      </c>
      <c r="AF49" s="779">
        <v>0</v>
      </c>
      <c r="AG49" s="779">
        <v>1</v>
      </c>
      <c r="AH49" s="779">
        <v>0</v>
      </c>
      <c r="AI49" s="779">
        <v>0</v>
      </c>
      <c r="AJ49" s="598">
        <f t="shared" si="1"/>
        <v>1</v>
      </c>
    </row>
    <row r="50" spans="2:36">
      <c r="B50" s="599" t="s">
        <v>445</v>
      </c>
      <c r="C50" s="755"/>
      <c r="D50" s="751" t="s">
        <v>433</v>
      </c>
      <c r="E50" s="751"/>
      <c r="F50" s="751"/>
      <c r="G50" s="588"/>
      <c r="H50" s="760"/>
      <c r="I50" s="751"/>
      <c r="J50" s="586" t="str">
        <f>IF($D50=INDEX(Yes_No_Choice[],1),INDEX(Equipment_Utitliy_Specs_Units[],MATCH($I$5,Equipment_Utility_Spec_List,0),2),"")</f>
        <v/>
      </c>
      <c r="K50" s="751"/>
      <c r="L50" s="586" t="str">
        <f>IF($D50=INDEX(Yes_No_Choice[],1),INDEX(Equipment_Utitliy_Specs_Units[],MATCH($K$5,Equipment_Utility_Spec_List,0),2),"")</f>
        <v/>
      </c>
      <c r="M50" s="751"/>
      <c r="N50" s="586" t="str">
        <f>IF($D50=INDEX(Yes_No_Choice[],1),INDEX(Equipment_Utitliy_Specs_Units[],MATCH($M$5,Equipment_Utility_Spec_List,0),2),"")</f>
        <v/>
      </c>
      <c r="O50" s="751"/>
      <c r="P50" s="586" t="str">
        <f>IF($D50=INDEX(Yes_No_Choice[],1),INDEX(Equipment_Utitliy_Specs_Units[],MATCH($O$5,Equipment_Utility_Spec_List,0),2),"")</f>
        <v/>
      </c>
      <c r="Q50" s="735"/>
      <c r="R50" s="751" t="s">
        <v>433</v>
      </c>
      <c r="S50" s="752"/>
      <c r="T50" s="770">
        <v>6250000</v>
      </c>
      <c r="U50" s="594">
        <f>IFERROR(T50/(INDEX(Settings_Currency_Table[],MATCH(General_Currency_Selection,Settings_Currency,0),2)),0)</f>
        <v>442.56497916050029</v>
      </c>
      <c r="V50" s="751">
        <v>5</v>
      </c>
      <c r="W50" s="594">
        <f>U50*'1.0-General input'!$E$87</f>
        <v>0</v>
      </c>
      <c r="X50" s="594">
        <f>IFERROR(('2.2-Equipment input'!$U50-W50)/V50,)</f>
        <v>88.51299583210006</v>
      </c>
      <c r="Y50" s="776"/>
      <c r="Z50" s="605">
        <f>IF(General_EquipmentQuant_Auto="Yes",'2.2-Equipment input'!G50,'2.2-Equipment input'!H50)</f>
        <v>0</v>
      </c>
      <c r="AA50" s="778">
        <v>0</v>
      </c>
      <c r="AB50" s="779">
        <v>0</v>
      </c>
      <c r="AC50" s="779">
        <v>0</v>
      </c>
      <c r="AD50" s="779">
        <v>0</v>
      </c>
      <c r="AE50" s="779">
        <v>0</v>
      </c>
      <c r="AF50" s="779">
        <v>0</v>
      </c>
      <c r="AG50" s="779">
        <v>1</v>
      </c>
      <c r="AH50" s="779">
        <v>0</v>
      </c>
      <c r="AI50" s="779">
        <v>0</v>
      </c>
      <c r="AJ50" s="598">
        <f t="shared" si="1"/>
        <v>1</v>
      </c>
    </row>
    <row r="51" spans="2:36">
      <c r="B51" s="584" t="s">
        <v>446</v>
      </c>
      <c r="C51" s="755"/>
      <c r="D51" s="751" t="s">
        <v>433</v>
      </c>
      <c r="E51" s="751"/>
      <c r="F51" s="751"/>
      <c r="G51" s="588"/>
      <c r="H51" s="760"/>
      <c r="I51" s="751"/>
      <c r="J51" s="586" t="str">
        <f>IF($D51=INDEX(Yes_No_Choice[],1),INDEX(Equipment_Utitliy_Specs_Units[],MATCH($I$5,Equipment_Utility_Spec_List,0),2),"")</f>
        <v/>
      </c>
      <c r="K51" s="751"/>
      <c r="L51" s="586" t="str">
        <f>IF($D51=INDEX(Yes_No_Choice[],1),INDEX(Equipment_Utitliy_Specs_Units[],MATCH($K$5,Equipment_Utility_Spec_List,0),2),"")</f>
        <v/>
      </c>
      <c r="M51" s="751"/>
      <c r="N51" s="586" t="str">
        <f>IF($D51=INDEX(Yes_No_Choice[],1),INDEX(Equipment_Utitliy_Specs_Units[],MATCH($M$5,Equipment_Utility_Spec_List,0),2),"")</f>
        <v/>
      </c>
      <c r="O51" s="751"/>
      <c r="P51" s="586" t="str">
        <f>IF($D51=INDEX(Yes_No_Choice[],1),INDEX(Equipment_Utitliy_Specs_Units[],MATCH($O$5,Equipment_Utility_Spec_List,0),2),"")</f>
        <v/>
      </c>
      <c r="Q51" s="735"/>
      <c r="R51" s="751" t="s">
        <v>433</v>
      </c>
      <c r="S51" s="752"/>
      <c r="T51" s="770">
        <v>2799000</v>
      </c>
      <c r="U51" s="594">
        <f>IFERROR(T51/(INDEX(Settings_Currency_Table[],MATCH(General_Currency_Selection,Settings_Currency,0),2)),0)</f>
        <v>198.19830026723844</v>
      </c>
      <c r="V51" s="751">
        <v>5</v>
      </c>
      <c r="W51" s="594">
        <f>U51*'1.0-General input'!$E$87</f>
        <v>0</v>
      </c>
      <c r="X51" s="594">
        <f>IFERROR(('2.2-Equipment input'!$U51-W51)/V51,)</f>
        <v>39.639660053447685</v>
      </c>
      <c r="Y51" s="776"/>
      <c r="Z51" s="605">
        <f>IF(General_EquipmentQuant_Auto="Yes",'2.2-Equipment input'!G51,'2.2-Equipment input'!H51)</f>
        <v>0</v>
      </c>
      <c r="AA51" s="778">
        <v>0</v>
      </c>
      <c r="AB51" s="779">
        <v>0</v>
      </c>
      <c r="AC51" s="779">
        <v>0</v>
      </c>
      <c r="AD51" s="779">
        <v>0</v>
      </c>
      <c r="AE51" s="779">
        <v>0</v>
      </c>
      <c r="AF51" s="779">
        <v>0</v>
      </c>
      <c r="AG51" s="779">
        <v>1</v>
      </c>
      <c r="AH51" s="779">
        <v>0</v>
      </c>
      <c r="AI51" s="779">
        <v>0</v>
      </c>
      <c r="AJ51" s="598">
        <f t="shared" si="1"/>
        <v>1</v>
      </c>
    </row>
    <row r="52" spans="2:36">
      <c r="B52" s="599" t="s">
        <v>447</v>
      </c>
      <c r="C52" s="755"/>
      <c r="D52" s="751" t="s">
        <v>433</v>
      </c>
      <c r="E52" s="751"/>
      <c r="F52" s="751"/>
      <c r="G52" s="588"/>
      <c r="H52" s="760"/>
      <c r="I52" s="751"/>
      <c r="J52" s="586" t="str">
        <f>IF($D52=INDEX(Yes_No_Choice[],1),INDEX(Equipment_Utitliy_Specs_Units[],MATCH($I$5,Equipment_Utility_Spec_List,0),2),"")</f>
        <v/>
      </c>
      <c r="K52" s="751"/>
      <c r="L52" s="586" t="str">
        <f>IF($D52=INDEX(Yes_No_Choice[],1),INDEX(Equipment_Utitliy_Specs_Units[],MATCH($K$5,Equipment_Utility_Spec_List,0),2),"")</f>
        <v/>
      </c>
      <c r="M52" s="751"/>
      <c r="N52" s="586" t="str">
        <f>IF($D52=INDEX(Yes_No_Choice[],1),INDEX(Equipment_Utitliy_Specs_Units[],MATCH($M$5,Equipment_Utility_Spec_List,0),2),"")</f>
        <v/>
      </c>
      <c r="O52" s="767"/>
      <c r="P52" s="586" t="str">
        <f>IF($D52=INDEX(Yes_No_Choice[],1),INDEX(Equipment_Utitliy_Specs_Units[],MATCH($O$5,Equipment_Utility_Spec_List,0),2),"")</f>
        <v/>
      </c>
      <c r="Q52" s="735"/>
      <c r="R52" s="751" t="s">
        <v>433</v>
      </c>
      <c r="S52" s="752"/>
      <c r="T52" s="770">
        <v>600000</v>
      </c>
      <c r="U52" s="594">
        <f>IFERROR(T52/(INDEX(Settings_Currency_Table[],MATCH(General_Currency_Selection,Settings_Currency,0),2)),0)</f>
        <v>42.486237999408026</v>
      </c>
      <c r="V52" s="751">
        <v>2</v>
      </c>
      <c r="W52" s="594">
        <f>U52*'1.0-General input'!$E$87</f>
        <v>0</v>
      </c>
      <c r="X52" s="594">
        <f>IFERROR(('2.2-Equipment input'!$U52-W52)/V52,)</f>
        <v>21.243118999704013</v>
      </c>
      <c r="Y52" s="776"/>
      <c r="Z52" s="605">
        <f>IF(General_EquipmentQuant_Auto="Yes",'2.2-Equipment input'!G52,'2.2-Equipment input'!H52)</f>
        <v>0</v>
      </c>
      <c r="AA52" s="778">
        <v>0</v>
      </c>
      <c r="AB52" s="779">
        <v>0</v>
      </c>
      <c r="AC52" s="779">
        <v>0</v>
      </c>
      <c r="AD52" s="779">
        <v>0</v>
      </c>
      <c r="AE52" s="779">
        <v>0</v>
      </c>
      <c r="AF52" s="779">
        <v>0</v>
      </c>
      <c r="AG52" s="779">
        <v>1</v>
      </c>
      <c r="AH52" s="779">
        <v>0</v>
      </c>
      <c r="AI52" s="779">
        <v>0</v>
      </c>
      <c r="AJ52" s="598">
        <f t="shared" si="1"/>
        <v>1</v>
      </c>
    </row>
    <row r="53" spans="2:36">
      <c r="B53" s="584" t="s">
        <v>448</v>
      </c>
      <c r="C53" s="755"/>
      <c r="D53" s="751" t="s">
        <v>433</v>
      </c>
      <c r="E53" s="751"/>
      <c r="F53" s="751"/>
      <c r="G53" s="588"/>
      <c r="H53" s="760"/>
      <c r="I53" s="751"/>
      <c r="J53" s="586" t="str">
        <f>IF($D53=INDEX(Yes_No_Choice[],1),INDEX(Equipment_Utitliy_Specs_Units[],MATCH($I$5,Equipment_Utility_Spec_List,0),2),"")</f>
        <v/>
      </c>
      <c r="K53" s="751"/>
      <c r="L53" s="586" t="str">
        <f>IF($D53=INDEX(Yes_No_Choice[],1),INDEX(Equipment_Utitliy_Specs_Units[],MATCH($K$5,Equipment_Utility_Spec_List,0),2),"")</f>
        <v/>
      </c>
      <c r="M53" s="751"/>
      <c r="N53" s="586" t="str">
        <f>IF($D53=INDEX(Yes_No_Choice[],1),INDEX(Equipment_Utitliy_Specs_Units[],MATCH($M$5,Equipment_Utility_Spec_List,0),2),"")</f>
        <v/>
      </c>
      <c r="O53" s="751"/>
      <c r="P53" s="586" t="str">
        <f>IF($D53=INDEX(Yes_No_Choice[],1),INDEX(Equipment_Utitliy_Specs_Units[],MATCH($O$5,Equipment_Utility_Spec_List,0),2),"")</f>
        <v/>
      </c>
      <c r="Q53" s="735"/>
      <c r="R53" s="751" t="s">
        <v>432</v>
      </c>
      <c r="S53" s="752"/>
      <c r="T53" s="770"/>
      <c r="U53" s="594">
        <f>IFERROR(T53/(INDEX(Settings_Currency_Table[],MATCH(General_Currency_Selection,Settings_Currency,0),2)),0)</f>
        <v>0</v>
      </c>
      <c r="V53" s="751"/>
      <c r="W53" s="594">
        <f>U53*'1.0-General input'!$E$87</f>
        <v>0</v>
      </c>
      <c r="X53" s="594">
        <f>IFERROR(('2.2-Equipment input'!$U53-W53)/V53,)</f>
        <v>0</v>
      </c>
      <c r="Y53" s="776"/>
      <c r="Z53" s="605">
        <f>IF(General_EquipmentQuant_Auto="Yes",'2.2-Equipment input'!G53,'2.2-Equipment input'!H53)</f>
        <v>0</v>
      </c>
      <c r="AA53" s="778">
        <v>0</v>
      </c>
      <c r="AB53" s="779">
        <v>0</v>
      </c>
      <c r="AC53" s="779">
        <v>0</v>
      </c>
      <c r="AD53" s="779">
        <v>0</v>
      </c>
      <c r="AE53" s="779">
        <v>0</v>
      </c>
      <c r="AF53" s="779">
        <v>0</v>
      </c>
      <c r="AG53" s="779">
        <v>0</v>
      </c>
      <c r="AH53" s="779">
        <v>0</v>
      </c>
      <c r="AI53" s="779">
        <v>0</v>
      </c>
      <c r="AJ53" s="598">
        <f t="shared" si="1"/>
        <v>0</v>
      </c>
    </row>
    <row r="54" spans="2:36">
      <c r="B54" s="599" t="s">
        <v>449</v>
      </c>
      <c r="C54" s="755"/>
      <c r="D54" s="751" t="s">
        <v>433</v>
      </c>
      <c r="E54" s="751"/>
      <c r="F54" s="751"/>
      <c r="G54" s="588"/>
      <c r="H54" s="760"/>
      <c r="I54" s="751"/>
      <c r="J54" s="586"/>
      <c r="K54" s="751"/>
      <c r="L54" s="586"/>
      <c r="M54" s="751"/>
      <c r="N54" s="586"/>
      <c r="O54" s="751"/>
      <c r="P54" s="586"/>
      <c r="Q54" s="735"/>
      <c r="R54" s="751" t="s">
        <v>433</v>
      </c>
      <c r="S54" s="752"/>
      <c r="T54" s="770"/>
      <c r="U54" s="594">
        <f>IFERROR(T54/(INDEX(Settings_Currency_Table[],MATCH(General_Currency_Selection,Settings_Currency,0),2)),0)</f>
        <v>0</v>
      </c>
      <c r="V54" s="751"/>
      <c r="W54" s="594">
        <f>U54*'1.0-General input'!$E$87</f>
        <v>0</v>
      </c>
      <c r="X54" s="594">
        <f>IFERROR(('2.2-Equipment input'!$U54-W54)/V54,)</f>
        <v>0</v>
      </c>
      <c r="Y54" s="776"/>
      <c r="Z54" s="605">
        <f>IF(General_EquipmentQuant_Auto="Yes",'2.2-Equipment input'!G54,'2.2-Equipment input'!H54)</f>
        <v>0</v>
      </c>
      <c r="AA54" s="778">
        <v>0</v>
      </c>
      <c r="AB54" s="779">
        <v>0</v>
      </c>
      <c r="AC54" s="779">
        <v>0</v>
      </c>
      <c r="AD54" s="779">
        <v>0</v>
      </c>
      <c r="AE54" s="779">
        <v>0</v>
      </c>
      <c r="AF54" s="779">
        <v>0</v>
      </c>
      <c r="AG54" s="779">
        <v>0</v>
      </c>
      <c r="AH54" s="779">
        <v>0</v>
      </c>
      <c r="AI54" s="779">
        <v>0</v>
      </c>
      <c r="AJ54" s="598">
        <f t="shared" si="1"/>
        <v>0</v>
      </c>
    </row>
    <row r="55" spans="2:36">
      <c r="B55" s="584" t="s">
        <v>450</v>
      </c>
      <c r="C55" s="755"/>
      <c r="D55" s="751" t="s">
        <v>433</v>
      </c>
      <c r="E55" s="751"/>
      <c r="F55" s="751"/>
      <c r="G55" s="588"/>
      <c r="H55" s="760"/>
      <c r="I55" s="751"/>
      <c r="J55" s="586"/>
      <c r="K55" s="751"/>
      <c r="L55" s="586"/>
      <c r="M55" s="751"/>
      <c r="N55" s="586"/>
      <c r="O55" s="751"/>
      <c r="P55" s="586"/>
      <c r="Q55" s="735"/>
      <c r="R55" s="751" t="s">
        <v>433</v>
      </c>
      <c r="S55" s="752"/>
      <c r="T55" s="770"/>
      <c r="U55" s="594">
        <f>IFERROR(T55/(INDEX(Settings_Currency_Table[],MATCH(General_Currency_Selection,Settings_Currency,0),2)),0)</f>
        <v>0</v>
      </c>
      <c r="V55" s="751"/>
      <c r="W55" s="594">
        <f>U55*'1.0-General input'!$E$87</f>
        <v>0</v>
      </c>
      <c r="X55" s="594">
        <f>IFERROR(('2.2-Equipment input'!$U55-W55)/V55,)</f>
        <v>0</v>
      </c>
      <c r="Y55" s="776"/>
      <c r="Z55" s="605">
        <f>IF(General_EquipmentQuant_Auto="Yes",'2.2-Equipment input'!G55,'2.2-Equipment input'!H55)</f>
        <v>0</v>
      </c>
      <c r="AA55" s="778"/>
      <c r="AB55" s="779"/>
      <c r="AC55" s="779"/>
      <c r="AD55" s="779"/>
      <c r="AE55" s="779"/>
      <c r="AF55" s="779"/>
      <c r="AG55" s="779"/>
      <c r="AH55" s="779"/>
      <c r="AI55" s="779"/>
      <c r="AJ55" s="598">
        <f t="shared" si="1"/>
        <v>0</v>
      </c>
    </row>
    <row r="56" spans="2:36">
      <c r="B56" s="599" t="s">
        <v>451</v>
      </c>
      <c r="C56" s="755"/>
      <c r="D56" s="751" t="s">
        <v>433</v>
      </c>
      <c r="E56" s="751"/>
      <c r="F56" s="751"/>
      <c r="G56" s="588"/>
      <c r="H56" s="760"/>
      <c r="I56" s="751"/>
      <c r="J56" s="586"/>
      <c r="K56" s="751"/>
      <c r="L56" s="586"/>
      <c r="M56" s="751"/>
      <c r="N56" s="586"/>
      <c r="O56" s="751"/>
      <c r="P56" s="586"/>
      <c r="Q56" s="735"/>
      <c r="R56" s="751" t="s">
        <v>433</v>
      </c>
      <c r="S56" s="752"/>
      <c r="T56" s="770"/>
      <c r="U56" s="594">
        <f>IFERROR(T56/(INDEX(Settings_Currency_Table[],MATCH(General_Currency_Selection,Settings_Currency,0),2)),0)</f>
        <v>0</v>
      </c>
      <c r="V56" s="751"/>
      <c r="W56" s="594">
        <f>U56*'1.0-General input'!$E$87</f>
        <v>0</v>
      </c>
      <c r="X56" s="594">
        <f>IFERROR(('2.2-Equipment input'!$U56-W56)/V56,)</f>
        <v>0</v>
      </c>
      <c r="Y56" s="776"/>
      <c r="Z56" s="605">
        <f>IF(General_EquipmentQuant_Auto="Yes",'2.2-Equipment input'!G56,'2.2-Equipment input'!H56)</f>
        <v>0</v>
      </c>
      <c r="AA56" s="778"/>
      <c r="AB56" s="779"/>
      <c r="AC56" s="779"/>
      <c r="AD56" s="779"/>
      <c r="AE56" s="779"/>
      <c r="AF56" s="779"/>
      <c r="AG56" s="779"/>
      <c r="AH56" s="779"/>
      <c r="AI56" s="779"/>
      <c r="AJ56" s="598">
        <f t="shared" si="1"/>
        <v>0</v>
      </c>
    </row>
    <row r="57" spans="2:36">
      <c r="B57" s="584" t="s">
        <v>452</v>
      </c>
      <c r="C57" s="755"/>
      <c r="D57" s="751" t="s">
        <v>433</v>
      </c>
      <c r="E57" s="751"/>
      <c r="F57" s="751"/>
      <c r="G57" s="588"/>
      <c r="H57" s="760"/>
      <c r="I57" s="751"/>
      <c r="J57" s="586"/>
      <c r="K57" s="751"/>
      <c r="L57" s="586"/>
      <c r="M57" s="751"/>
      <c r="N57" s="586"/>
      <c r="O57" s="751"/>
      <c r="P57" s="586"/>
      <c r="Q57" s="735"/>
      <c r="R57" s="751" t="s">
        <v>433</v>
      </c>
      <c r="S57" s="752"/>
      <c r="T57" s="770"/>
      <c r="U57" s="594">
        <f>IFERROR(T57/(INDEX(Settings_Currency_Table[],MATCH(General_Currency_Selection,Settings_Currency,0),2)),0)</f>
        <v>0</v>
      </c>
      <c r="V57" s="751"/>
      <c r="W57" s="594">
        <f>U57*'1.0-General input'!$E$87</f>
        <v>0</v>
      </c>
      <c r="X57" s="594">
        <f>IFERROR(('2.2-Equipment input'!$U57-W57)/V57,)</f>
        <v>0</v>
      </c>
      <c r="Y57" s="776"/>
      <c r="Z57" s="605">
        <f>IF(General_EquipmentQuant_Auto="Yes",'2.2-Equipment input'!G57,'2.2-Equipment input'!H57)</f>
        <v>0</v>
      </c>
      <c r="AA57" s="778"/>
      <c r="AB57" s="779"/>
      <c r="AC57" s="779"/>
      <c r="AD57" s="779"/>
      <c r="AE57" s="779"/>
      <c r="AF57" s="779"/>
      <c r="AG57" s="779"/>
      <c r="AH57" s="779"/>
      <c r="AI57" s="779"/>
      <c r="AJ57" s="598">
        <f t="shared" si="1"/>
        <v>0</v>
      </c>
    </row>
    <row r="58" spans="2:36">
      <c r="B58" s="599" t="s">
        <v>453</v>
      </c>
      <c r="C58" s="755"/>
      <c r="D58" s="751" t="s">
        <v>433</v>
      </c>
      <c r="E58" s="751"/>
      <c r="F58" s="751"/>
      <c r="G58" s="588"/>
      <c r="H58" s="760"/>
      <c r="I58" s="751"/>
      <c r="J58" s="586"/>
      <c r="K58" s="751"/>
      <c r="L58" s="586"/>
      <c r="M58" s="751"/>
      <c r="N58" s="586"/>
      <c r="O58" s="751"/>
      <c r="P58" s="586"/>
      <c r="Q58" s="735"/>
      <c r="R58" s="751" t="s">
        <v>433</v>
      </c>
      <c r="S58" s="752"/>
      <c r="T58" s="770"/>
      <c r="U58" s="594">
        <f>IFERROR(T58/(INDEX(Settings_Currency_Table[],MATCH(General_Currency_Selection,Settings_Currency,0),2)),0)</f>
        <v>0</v>
      </c>
      <c r="V58" s="751"/>
      <c r="W58" s="594">
        <f>U58*'1.0-General input'!$E$87</f>
        <v>0</v>
      </c>
      <c r="X58" s="594">
        <f>IFERROR(('2.2-Equipment input'!$U58-W58)/V58,)</f>
        <v>0</v>
      </c>
      <c r="Y58" s="776"/>
      <c r="Z58" s="605">
        <f>IF(General_EquipmentQuant_Auto="Yes",'2.2-Equipment input'!G58,'2.2-Equipment input'!H58)</f>
        <v>0</v>
      </c>
      <c r="AA58" s="778"/>
      <c r="AB58" s="779"/>
      <c r="AC58" s="779"/>
      <c r="AD58" s="779"/>
      <c r="AE58" s="779"/>
      <c r="AF58" s="779"/>
      <c r="AG58" s="779"/>
      <c r="AH58" s="779"/>
      <c r="AI58" s="779"/>
      <c r="AJ58" s="598">
        <f t="shared" si="1"/>
        <v>0</v>
      </c>
    </row>
    <row r="59" spans="2:36">
      <c r="B59" s="584" t="s">
        <v>454</v>
      </c>
      <c r="C59" s="755"/>
      <c r="D59" s="751" t="s">
        <v>433</v>
      </c>
      <c r="E59" s="751"/>
      <c r="F59" s="751"/>
      <c r="G59" s="588"/>
      <c r="H59" s="760"/>
      <c r="I59" s="751"/>
      <c r="J59" s="586"/>
      <c r="K59" s="751"/>
      <c r="L59" s="586"/>
      <c r="M59" s="751"/>
      <c r="N59" s="586"/>
      <c r="O59" s="751"/>
      <c r="P59" s="586"/>
      <c r="Q59" s="735"/>
      <c r="R59" s="751" t="s">
        <v>433</v>
      </c>
      <c r="S59" s="752"/>
      <c r="T59" s="770"/>
      <c r="U59" s="594">
        <f>IFERROR(T59/(INDEX(Settings_Currency_Table[],MATCH(General_Currency_Selection,Settings_Currency,0),2)),0)</f>
        <v>0</v>
      </c>
      <c r="V59" s="751"/>
      <c r="W59" s="594">
        <f>U59*'1.0-General input'!$E$87</f>
        <v>0</v>
      </c>
      <c r="X59" s="594">
        <f>IFERROR(('2.2-Equipment input'!$U59-W59)/V59,)</f>
        <v>0</v>
      </c>
      <c r="Y59" s="776"/>
      <c r="Z59" s="605">
        <f>IF(General_EquipmentQuant_Auto="Yes",'2.2-Equipment input'!G59,'2.2-Equipment input'!H59)</f>
        <v>0</v>
      </c>
      <c r="AA59" s="778"/>
      <c r="AB59" s="779"/>
      <c r="AC59" s="779"/>
      <c r="AD59" s="779"/>
      <c r="AE59" s="779"/>
      <c r="AF59" s="779"/>
      <c r="AG59" s="779"/>
      <c r="AH59" s="779"/>
      <c r="AI59" s="779"/>
      <c r="AJ59" s="598">
        <f t="shared" si="1"/>
        <v>0</v>
      </c>
    </row>
    <row r="60" spans="2:36">
      <c r="B60" s="599" t="s">
        <v>455</v>
      </c>
      <c r="C60" s="755"/>
      <c r="D60" s="751" t="s">
        <v>433</v>
      </c>
      <c r="E60" s="751"/>
      <c r="F60" s="751"/>
      <c r="G60" s="588"/>
      <c r="H60" s="760"/>
      <c r="I60" s="751"/>
      <c r="J60" s="586"/>
      <c r="K60" s="751"/>
      <c r="L60" s="586"/>
      <c r="M60" s="751"/>
      <c r="N60" s="586"/>
      <c r="O60" s="751"/>
      <c r="P60" s="586"/>
      <c r="Q60" s="735"/>
      <c r="R60" s="751" t="s">
        <v>433</v>
      </c>
      <c r="S60" s="752"/>
      <c r="T60" s="770"/>
      <c r="U60" s="594">
        <f>IFERROR(T60/(INDEX(Settings_Currency_Table[],MATCH(General_Currency_Selection,Settings_Currency,0),2)),0)</f>
        <v>0</v>
      </c>
      <c r="V60" s="751"/>
      <c r="W60" s="594">
        <f>U60*'1.0-General input'!$E$87</f>
        <v>0</v>
      </c>
      <c r="X60" s="594">
        <f>IFERROR(('2.2-Equipment input'!$U60-W60)/V60,)</f>
        <v>0</v>
      </c>
      <c r="Y60" s="776"/>
      <c r="Z60" s="605">
        <f>IF(General_EquipmentQuant_Auto="Yes",'2.2-Equipment input'!G60,'2.2-Equipment input'!H60)</f>
        <v>0</v>
      </c>
      <c r="AA60" s="778"/>
      <c r="AB60" s="779"/>
      <c r="AC60" s="779"/>
      <c r="AD60" s="779"/>
      <c r="AE60" s="779"/>
      <c r="AF60" s="779"/>
      <c r="AG60" s="779"/>
      <c r="AH60" s="779"/>
      <c r="AI60" s="779"/>
      <c r="AJ60" s="598">
        <f t="shared" si="1"/>
        <v>0</v>
      </c>
    </row>
    <row r="61" spans="2:36">
      <c r="B61" s="584" t="s">
        <v>456</v>
      </c>
      <c r="C61" s="755"/>
      <c r="D61" s="751" t="s">
        <v>433</v>
      </c>
      <c r="E61" s="751"/>
      <c r="F61" s="751"/>
      <c r="G61" s="588"/>
      <c r="H61" s="760"/>
      <c r="I61" s="751"/>
      <c r="J61" s="586"/>
      <c r="K61" s="751"/>
      <c r="L61" s="586"/>
      <c r="M61" s="751"/>
      <c r="N61" s="586"/>
      <c r="O61" s="767"/>
      <c r="P61" s="586"/>
      <c r="Q61" s="735"/>
      <c r="R61" s="751" t="s">
        <v>433</v>
      </c>
      <c r="S61" s="752"/>
      <c r="T61" s="770"/>
      <c r="U61" s="594">
        <f>IFERROR(T61/(INDEX(Settings_Currency_Table[],MATCH(General_Currency_Selection,Settings_Currency,0),2)),0)</f>
        <v>0</v>
      </c>
      <c r="V61" s="751"/>
      <c r="W61" s="594">
        <f>U61*'1.0-General input'!$E$87</f>
        <v>0</v>
      </c>
      <c r="X61" s="594">
        <f>IFERROR(('2.2-Equipment input'!$U61-W61)/V61,)</f>
        <v>0</v>
      </c>
      <c r="Y61" s="776"/>
      <c r="Z61" s="605">
        <f>IF(General_EquipmentQuant_Auto="Yes",'2.2-Equipment input'!G61,'2.2-Equipment input'!H61)</f>
        <v>0</v>
      </c>
      <c r="AA61" s="778"/>
      <c r="AB61" s="779"/>
      <c r="AC61" s="779"/>
      <c r="AD61" s="779"/>
      <c r="AE61" s="779"/>
      <c r="AF61" s="779"/>
      <c r="AG61" s="779"/>
      <c r="AH61" s="779"/>
      <c r="AI61" s="779"/>
      <c r="AJ61" s="598">
        <f t="shared" si="1"/>
        <v>0</v>
      </c>
    </row>
    <row r="62" spans="2:36">
      <c r="B62" s="599" t="s">
        <v>457</v>
      </c>
      <c r="C62" s="755"/>
      <c r="D62" s="751" t="s">
        <v>433</v>
      </c>
      <c r="E62" s="751"/>
      <c r="F62" s="751"/>
      <c r="G62" s="588"/>
      <c r="H62" s="760"/>
      <c r="I62" s="751"/>
      <c r="J62" s="586"/>
      <c r="K62" s="751"/>
      <c r="L62" s="586"/>
      <c r="M62" s="751"/>
      <c r="N62" s="586"/>
      <c r="O62" s="751"/>
      <c r="P62" s="586"/>
      <c r="Q62" s="735"/>
      <c r="R62" s="751" t="s">
        <v>433</v>
      </c>
      <c r="S62" s="752"/>
      <c r="T62" s="770"/>
      <c r="U62" s="594">
        <f>IFERROR(T62/(INDEX(Settings_Currency_Table[],MATCH(General_Currency_Selection,Settings_Currency,0),2)),0)</f>
        <v>0</v>
      </c>
      <c r="V62" s="751"/>
      <c r="W62" s="594">
        <f>U62*'1.0-General input'!$E$87</f>
        <v>0</v>
      </c>
      <c r="X62" s="594">
        <f>IFERROR(('2.2-Equipment input'!$U62-W62)/V62,)</f>
        <v>0</v>
      </c>
      <c r="Y62" s="776"/>
      <c r="Z62" s="605">
        <f>IF(General_EquipmentQuant_Auto="Yes",'2.2-Equipment input'!G62,'2.2-Equipment input'!H62)</f>
        <v>0</v>
      </c>
      <c r="AA62" s="778"/>
      <c r="AB62" s="779"/>
      <c r="AC62" s="779"/>
      <c r="AD62" s="779"/>
      <c r="AE62" s="779"/>
      <c r="AF62" s="779"/>
      <c r="AG62" s="779"/>
      <c r="AH62" s="779"/>
      <c r="AI62" s="779"/>
      <c r="AJ62" s="598">
        <f t="shared" si="1"/>
        <v>0</v>
      </c>
    </row>
    <row r="63" spans="2:36">
      <c r="B63" s="584" t="s">
        <v>458</v>
      </c>
      <c r="C63" s="755"/>
      <c r="D63" s="751" t="s">
        <v>433</v>
      </c>
      <c r="E63" s="751"/>
      <c r="F63" s="751"/>
      <c r="G63" s="588"/>
      <c r="H63" s="760"/>
      <c r="I63" s="751"/>
      <c r="J63" s="586"/>
      <c r="K63" s="751"/>
      <c r="L63" s="586"/>
      <c r="M63" s="751"/>
      <c r="N63" s="586"/>
      <c r="O63" s="751"/>
      <c r="P63" s="586"/>
      <c r="Q63" s="735"/>
      <c r="R63" s="751" t="s">
        <v>433</v>
      </c>
      <c r="S63" s="752"/>
      <c r="T63" s="770"/>
      <c r="U63" s="594">
        <f>IFERROR(T63/(INDEX(Settings_Currency_Table[],MATCH(General_Currency_Selection,Settings_Currency,0),2)),0)</f>
        <v>0</v>
      </c>
      <c r="V63" s="751"/>
      <c r="W63" s="594">
        <f>U63*'1.0-General input'!$E$87</f>
        <v>0</v>
      </c>
      <c r="X63" s="594">
        <f>IFERROR(('2.2-Equipment input'!$U63-W63)/V63,)</f>
        <v>0</v>
      </c>
      <c r="Y63" s="776"/>
      <c r="Z63" s="605">
        <f>IF(General_EquipmentQuant_Auto="Yes",'2.2-Equipment input'!G63,'2.2-Equipment input'!H63)</f>
        <v>0</v>
      </c>
      <c r="AA63" s="778"/>
      <c r="AB63" s="779"/>
      <c r="AC63" s="779"/>
      <c r="AD63" s="779"/>
      <c r="AE63" s="779"/>
      <c r="AF63" s="779"/>
      <c r="AG63" s="779"/>
      <c r="AH63" s="779"/>
      <c r="AI63" s="779"/>
      <c r="AJ63" s="598">
        <f t="shared" si="1"/>
        <v>0</v>
      </c>
    </row>
    <row r="64" spans="2:36">
      <c r="B64" s="599" t="s">
        <v>459</v>
      </c>
      <c r="C64" s="755"/>
      <c r="D64" s="751" t="s">
        <v>433</v>
      </c>
      <c r="E64" s="752"/>
      <c r="F64" s="751"/>
      <c r="G64" s="588"/>
      <c r="H64" s="760"/>
      <c r="I64" s="751"/>
      <c r="J64" s="586" t="str">
        <f>IF($D64=INDEX(Yes_No_Choice[],1),INDEX(Equipment_Utitliy_Specs_Units[],MATCH($I$5,Equipment_Utility_Spec_List,0),2),"")</f>
        <v/>
      </c>
      <c r="K64" s="751"/>
      <c r="L64" s="586" t="str">
        <f>IF($D64=INDEX(Yes_No_Choice[],1),INDEX(Equipment_Utitliy_Specs_Units[],MATCH($K$5,Equipment_Utility_Spec_List,0),2),"")</f>
        <v/>
      </c>
      <c r="M64" s="751"/>
      <c r="N64" s="586" t="str">
        <f>IF($D64=INDEX(Yes_No_Choice[],1),INDEX(Equipment_Utitliy_Specs_Units[],MATCH($M$5,Equipment_Utility_Spec_List,0),2),"")</f>
        <v/>
      </c>
      <c r="O64" s="751"/>
      <c r="P64" s="586" t="str">
        <f>IF($D64=INDEX(Yes_No_Choice[],1),INDEX(Equipment_Utitliy_Specs_Units[],MATCH($O$5,Equipment_Utility_Spec_List,0),2),"")</f>
        <v/>
      </c>
      <c r="Q64" s="735"/>
      <c r="R64" s="751" t="s">
        <v>433</v>
      </c>
      <c r="S64" s="752"/>
      <c r="T64" s="770"/>
      <c r="U64" s="594">
        <f>IFERROR(T64/(INDEX(Settings_Currency_Table[],MATCH(General_Currency_Selection,Settings_Currency,0),2)),0)</f>
        <v>0</v>
      </c>
      <c r="V64" s="751"/>
      <c r="W64" s="594">
        <f>U64*'1.0-General input'!$E$87</f>
        <v>0</v>
      </c>
      <c r="X64" s="594">
        <f>IFERROR(('2.2-Equipment input'!$U64-W64)/V64,)</f>
        <v>0</v>
      </c>
      <c r="Y64" s="776"/>
      <c r="Z64" s="605">
        <f>IF(General_EquipmentQuant_Auto="Yes",'2.2-Equipment input'!G64,'2.2-Equipment input'!H64)</f>
        <v>0</v>
      </c>
      <c r="AA64" s="778"/>
      <c r="AB64" s="779"/>
      <c r="AC64" s="779"/>
      <c r="AD64" s="779"/>
      <c r="AE64" s="779"/>
      <c r="AF64" s="779"/>
      <c r="AG64" s="779"/>
      <c r="AH64" s="779"/>
      <c r="AI64" s="779"/>
      <c r="AJ64" s="598">
        <f t="shared" si="1"/>
        <v>0</v>
      </c>
    </row>
    <row r="65" spans="2:36">
      <c r="B65" s="584" t="s">
        <v>460</v>
      </c>
      <c r="C65" s="755"/>
      <c r="D65" s="751" t="s">
        <v>433</v>
      </c>
      <c r="E65" s="752"/>
      <c r="F65" s="751"/>
      <c r="G65" s="588"/>
      <c r="H65" s="760"/>
      <c r="I65" s="751"/>
      <c r="J65" s="586" t="str">
        <f>IF($D65=INDEX(Yes_No_Choice[],1),INDEX(Equipment_Utitliy_Specs_Units[],MATCH($I$5,Equipment_Utility_Spec_List,0),2),"")</f>
        <v/>
      </c>
      <c r="K65" s="751"/>
      <c r="L65" s="586" t="str">
        <f>IF($D65=INDEX(Yes_No_Choice[],1),INDEX(Equipment_Utitliy_Specs_Units[],MATCH($K$5,Equipment_Utility_Spec_List,0),2),"")</f>
        <v/>
      </c>
      <c r="M65" s="751"/>
      <c r="N65" s="586" t="str">
        <f>IF($D65=INDEX(Yes_No_Choice[],1),INDEX(Equipment_Utitliy_Specs_Units[],MATCH($M$5,Equipment_Utility_Spec_List,0),2),"")</f>
        <v/>
      </c>
      <c r="O65" s="751"/>
      <c r="P65" s="586" t="str">
        <f>IF($D65=INDEX(Yes_No_Choice[],1),INDEX(Equipment_Utitliy_Specs_Units[],MATCH($O$5,Equipment_Utility_Spec_List,0),2),"")</f>
        <v/>
      </c>
      <c r="Q65" s="735"/>
      <c r="R65" s="751" t="s">
        <v>433</v>
      </c>
      <c r="S65" s="752"/>
      <c r="T65" s="770"/>
      <c r="U65" s="594">
        <f>IFERROR(T65/(INDEX(Settings_Currency_Table[],MATCH(General_Currency_Selection,Settings_Currency,0),2)),0)</f>
        <v>0</v>
      </c>
      <c r="V65" s="751"/>
      <c r="W65" s="594">
        <f>U65*'1.0-General input'!$E$87</f>
        <v>0</v>
      </c>
      <c r="X65" s="594">
        <f>IFERROR(('2.2-Equipment input'!$U65-W65)/V65,)</f>
        <v>0</v>
      </c>
      <c r="Y65" s="776"/>
      <c r="Z65" s="605">
        <f>IF(General_EquipmentQuant_Auto="Yes",'2.2-Equipment input'!G65,'2.2-Equipment input'!H65)</f>
        <v>0</v>
      </c>
      <c r="AA65" s="778"/>
      <c r="AB65" s="779"/>
      <c r="AC65" s="779"/>
      <c r="AD65" s="779"/>
      <c r="AE65" s="779"/>
      <c r="AF65" s="779"/>
      <c r="AG65" s="779"/>
      <c r="AH65" s="779"/>
      <c r="AI65" s="779"/>
      <c r="AJ65" s="598">
        <f t="shared" si="1"/>
        <v>0</v>
      </c>
    </row>
    <row r="66" spans="2:36">
      <c r="B66" s="599" t="s">
        <v>461</v>
      </c>
      <c r="C66" s="755"/>
      <c r="D66" s="751" t="s">
        <v>433</v>
      </c>
      <c r="E66" s="752"/>
      <c r="F66" s="751"/>
      <c r="G66" s="588"/>
      <c r="H66" s="760"/>
      <c r="I66" s="751"/>
      <c r="J66" s="586" t="str">
        <f>IF($D66=INDEX(Yes_No_Choice[],1),INDEX(Equipment_Utitliy_Specs_Units[],MATCH($I$5,Equipment_Utility_Spec_List,0),2),"")</f>
        <v/>
      </c>
      <c r="K66" s="751"/>
      <c r="L66" s="586" t="str">
        <f>IF($D66=INDEX(Yes_No_Choice[],1),INDEX(Equipment_Utitliy_Specs_Units[],MATCH($K$5,Equipment_Utility_Spec_List,0),2),"")</f>
        <v/>
      </c>
      <c r="M66" s="751"/>
      <c r="N66" s="586" t="str">
        <f>IF($D66=INDEX(Yes_No_Choice[],1),INDEX(Equipment_Utitliy_Specs_Units[],MATCH($M$5,Equipment_Utility_Spec_List,0),2),"")</f>
        <v/>
      </c>
      <c r="O66" s="751"/>
      <c r="P66" s="586" t="str">
        <f>IF($D66=INDEX(Yes_No_Choice[],1),INDEX(Equipment_Utitliy_Specs_Units[],MATCH($O$5,Equipment_Utility_Spec_List,0),2),"")</f>
        <v/>
      </c>
      <c r="Q66" s="735"/>
      <c r="R66" s="751" t="s">
        <v>433</v>
      </c>
      <c r="S66" s="752"/>
      <c r="T66" s="770"/>
      <c r="U66" s="594">
        <f>IFERROR(T66/(INDEX(Settings_Currency_Table[],MATCH(General_Currency_Selection,Settings_Currency,0),2)),0)</f>
        <v>0</v>
      </c>
      <c r="V66" s="751"/>
      <c r="W66" s="594">
        <f>U66*'1.0-General input'!$E$87</f>
        <v>0</v>
      </c>
      <c r="X66" s="594">
        <f>IFERROR(('2.2-Equipment input'!$U66-W66)/V66,)</f>
        <v>0</v>
      </c>
      <c r="Y66" s="776"/>
      <c r="Z66" s="605">
        <f>IF(General_EquipmentQuant_Auto="Yes",'2.2-Equipment input'!G66,'2.2-Equipment input'!H66)</f>
        <v>0</v>
      </c>
      <c r="AA66" s="778"/>
      <c r="AB66" s="779"/>
      <c r="AC66" s="779"/>
      <c r="AD66" s="779"/>
      <c r="AE66" s="779"/>
      <c r="AF66" s="779"/>
      <c r="AG66" s="779"/>
      <c r="AH66" s="779"/>
      <c r="AI66" s="779"/>
      <c r="AJ66" s="598">
        <f t="shared" si="1"/>
        <v>0</v>
      </c>
    </row>
    <row r="67" spans="2:36">
      <c r="B67" s="584" t="s">
        <v>462</v>
      </c>
      <c r="C67" s="755"/>
      <c r="D67" s="751" t="s">
        <v>433</v>
      </c>
      <c r="E67" s="752"/>
      <c r="F67" s="751"/>
      <c r="G67" s="588"/>
      <c r="H67" s="760"/>
      <c r="I67" s="751"/>
      <c r="J67" s="586" t="str">
        <f>IF($D67=INDEX(Yes_No_Choice[],1),INDEX(Equipment_Utitliy_Specs_Units[],MATCH($I$5,Equipment_Utility_Spec_List,0),2),"")</f>
        <v/>
      </c>
      <c r="K67" s="751"/>
      <c r="L67" s="586" t="str">
        <f>IF($D67=INDEX(Yes_No_Choice[],1),INDEX(Equipment_Utitliy_Specs_Units[],MATCH($K$5,Equipment_Utility_Spec_List,0),2),"")</f>
        <v/>
      </c>
      <c r="M67" s="751"/>
      <c r="N67" s="586" t="str">
        <f>IF($D67=INDEX(Yes_No_Choice[],1),INDEX(Equipment_Utitliy_Specs_Units[],MATCH($M$5,Equipment_Utility_Spec_List,0),2),"")</f>
        <v/>
      </c>
      <c r="O67" s="751"/>
      <c r="P67" s="586" t="str">
        <f>IF($D67=INDEX(Yes_No_Choice[],1),INDEX(Equipment_Utitliy_Specs_Units[],MATCH($O$5,Equipment_Utility_Spec_List,0),2),"")</f>
        <v/>
      </c>
      <c r="Q67" s="735"/>
      <c r="R67" s="751" t="s">
        <v>433</v>
      </c>
      <c r="S67" s="752"/>
      <c r="T67" s="770"/>
      <c r="U67" s="594">
        <f>IFERROR(T67/(INDEX(Settings_Currency_Table[],MATCH(General_Currency_Selection,Settings_Currency,0),2)),0)</f>
        <v>0</v>
      </c>
      <c r="V67" s="751"/>
      <c r="W67" s="594">
        <f>U67*'1.0-General input'!$E$87</f>
        <v>0</v>
      </c>
      <c r="X67" s="594">
        <f>IFERROR(('2.2-Equipment input'!$U67-W67)/V67,)</f>
        <v>0</v>
      </c>
      <c r="Y67" s="776"/>
      <c r="Z67" s="605">
        <f>IF(General_EquipmentQuant_Auto="Yes",'2.2-Equipment input'!G67,'2.2-Equipment input'!H67)</f>
        <v>0</v>
      </c>
      <c r="AA67" s="778"/>
      <c r="AB67" s="779"/>
      <c r="AC67" s="779"/>
      <c r="AD67" s="779"/>
      <c r="AE67" s="779"/>
      <c r="AF67" s="779"/>
      <c r="AG67" s="779"/>
      <c r="AH67" s="779"/>
      <c r="AI67" s="779"/>
      <c r="AJ67" s="598">
        <f t="shared" si="1"/>
        <v>0</v>
      </c>
    </row>
    <row r="68" spans="2:36">
      <c r="B68" s="599" t="s">
        <v>463</v>
      </c>
      <c r="C68" s="755"/>
      <c r="D68" s="751" t="s">
        <v>433</v>
      </c>
      <c r="E68" s="752"/>
      <c r="F68" s="751"/>
      <c r="G68" s="588"/>
      <c r="H68" s="760"/>
      <c r="I68" s="751"/>
      <c r="J68" s="586" t="str">
        <f>IF($D68=INDEX(Yes_No_Choice[],1),INDEX(Equipment_Utitliy_Specs_Units[],MATCH($I$5,Equipment_Utility_Spec_List,0),2),"")</f>
        <v/>
      </c>
      <c r="K68" s="751"/>
      <c r="L68" s="586" t="str">
        <f>IF($D68=INDEX(Yes_No_Choice[],1),INDEX(Equipment_Utitliy_Specs_Units[],MATCH($K$5,Equipment_Utility_Spec_List,0),2),"")</f>
        <v/>
      </c>
      <c r="M68" s="751"/>
      <c r="N68" s="586" t="str">
        <f>IF($D68=INDEX(Yes_No_Choice[],1),INDEX(Equipment_Utitliy_Specs_Units[],MATCH($M$5,Equipment_Utility_Spec_List,0),2),"")</f>
        <v/>
      </c>
      <c r="O68" s="751"/>
      <c r="P68" s="586" t="str">
        <f>IF($D68=INDEX(Yes_No_Choice[],1),INDEX(Equipment_Utitliy_Specs_Units[],MATCH($O$5,Equipment_Utility_Spec_List,0),2),"")</f>
        <v/>
      </c>
      <c r="Q68" s="735"/>
      <c r="R68" s="751" t="s">
        <v>433</v>
      </c>
      <c r="S68" s="752"/>
      <c r="T68" s="770"/>
      <c r="U68" s="594">
        <f>IFERROR(T68/(INDEX(Settings_Currency_Table[],MATCH(General_Currency_Selection,Settings_Currency,0),2)),0)</f>
        <v>0</v>
      </c>
      <c r="V68" s="751"/>
      <c r="W68" s="594">
        <f>U68*'1.0-General input'!$E$87</f>
        <v>0</v>
      </c>
      <c r="X68" s="594">
        <f>IFERROR(('2.2-Equipment input'!$U68-W68)/V68,)</f>
        <v>0</v>
      </c>
      <c r="Y68" s="776"/>
      <c r="Z68" s="605">
        <f>IF(General_EquipmentQuant_Auto="Yes",'2.2-Equipment input'!G68,'2.2-Equipment input'!H68)</f>
        <v>0</v>
      </c>
      <c r="AA68" s="778"/>
      <c r="AB68" s="779"/>
      <c r="AC68" s="779"/>
      <c r="AD68" s="779"/>
      <c r="AE68" s="779"/>
      <c r="AF68" s="779"/>
      <c r="AG68" s="779"/>
      <c r="AH68" s="779"/>
      <c r="AI68" s="779"/>
      <c r="AJ68" s="598">
        <f t="shared" si="1"/>
        <v>0</v>
      </c>
    </row>
    <row r="69" spans="2:36">
      <c r="B69" s="584" t="s">
        <v>464</v>
      </c>
      <c r="C69" s="755"/>
      <c r="D69" s="751" t="s">
        <v>433</v>
      </c>
      <c r="E69" s="752"/>
      <c r="F69" s="751"/>
      <c r="G69" s="588"/>
      <c r="H69" s="760"/>
      <c r="I69" s="751"/>
      <c r="J69" s="586" t="str">
        <f>IF($D69=INDEX(Yes_No_Choice[],1),INDEX(Equipment_Utitliy_Specs_Units[],MATCH($I$5,Equipment_Utility_Spec_List,0),2),"")</f>
        <v/>
      </c>
      <c r="K69" s="751"/>
      <c r="L69" s="586" t="str">
        <f>IF($D69=INDEX(Yes_No_Choice[],1),INDEX(Equipment_Utitliy_Specs_Units[],MATCH($K$5,Equipment_Utility_Spec_List,0),2),"")</f>
        <v/>
      </c>
      <c r="M69" s="751"/>
      <c r="N69" s="586" t="str">
        <f>IF($D69=INDEX(Yes_No_Choice[],1),INDEX(Equipment_Utitliy_Specs_Units[],MATCH($M$5,Equipment_Utility_Spec_List,0),2),"")</f>
        <v/>
      </c>
      <c r="O69" s="751"/>
      <c r="P69" s="586" t="str">
        <f>IF($D69=INDEX(Yes_No_Choice[],1),INDEX(Equipment_Utitliy_Specs_Units[],MATCH($O$5,Equipment_Utility_Spec_List,0),2),"")</f>
        <v/>
      </c>
      <c r="Q69" s="735"/>
      <c r="R69" s="751" t="s">
        <v>433</v>
      </c>
      <c r="S69" s="752"/>
      <c r="T69" s="770"/>
      <c r="U69" s="594">
        <f>IFERROR(T69/(INDEX(Settings_Currency_Table[],MATCH(General_Currency_Selection,Settings_Currency,0),2)),0)</f>
        <v>0</v>
      </c>
      <c r="V69" s="751"/>
      <c r="W69" s="594">
        <f>U69*'1.0-General input'!$E$87</f>
        <v>0</v>
      </c>
      <c r="X69" s="594">
        <f>IFERROR(('2.2-Equipment input'!$U69-W69)/V69,)</f>
        <v>0</v>
      </c>
      <c r="Y69" s="776"/>
      <c r="Z69" s="605">
        <f>IF(General_EquipmentQuant_Auto="Yes",'2.2-Equipment input'!G69,'2.2-Equipment input'!H69)</f>
        <v>0</v>
      </c>
      <c r="AA69" s="778"/>
      <c r="AB69" s="779"/>
      <c r="AC69" s="779"/>
      <c r="AD69" s="779"/>
      <c r="AE69" s="779"/>
      <c r="AF69" s="779"/>
      <c r="AG69" s="779"/>
      <c r="AH69" s="779"/>
      <c r="AI69" s="779"/>
      <c r="AJ69" s="598">
        <f t="shared" si="1"/>
        <v>0</v>
      </c>
    </row>
    <row r="70" spans="2:36">
      <c r="B70" s="599" t="s">
        <v>465</v>
      </c>
      <c r="C70" s="755"/>
      <c r="D70" s="751" t="s">
        <v>433</v>
      </c>
      <c r="E70" s="752"/>
      <c r="F70" s="751"/>
      <c r="G70" s="588"/>
      <c r="H70" s="760"/>
      <c r="I70" s="751"/>
      <c r="J70" s="586" t="str">
        <f>IF($D70=INDEX(Yes_No_Choice[],1),INDEX(Equipment_Utitliy_Specs_Units[],MATCH($I$5,Equipment_Utility_Spec_List,0),2),"")</f>
        <v/>
      </c>
      <c r="K70" s="751"/>
      <c r="L70" s="586" t="str">
        <f>IF($D70=INDEX(Yes_No_Choice[],1),INDEX(Equipment_Utitliy_Specs_Units[],MATCH($K$5,Equipment_Utility_Spec_List,0),2),"")</f>
        <v/>
      </c>
      <c r="M70" s="751"/>
      <c r="N70" s="586" t="str">
        <f>IF($D70=INDEX(Yes_No_Choice[],1),INDEX(Equipment_Utitliy_Specs_Units[],MATCH($M$5,Equipment_Utility_Spec_List,0),2),"")</f>
        <v/>
      </c>
      <c r="O70" s="751"/>
      <c r="P70" s="586" t="str">
        <f>IF($D70=INDEX(Yes_No_Choice[],1),INDEX(Equipment_Utitliy_Specs_Units[],MATCH($O$5,Equipment_Utility_Spec_List,0),2),"")</f>
        <v/>
      </c>
      <c r="Q70" s="735"/>
      <c r="R70" s="751" t="s">
        <v>433</v>
      </c>
      <c r="S70" s="752"/>
      <c r="T70" s="770"/>
      <c r="U70" s="594">
        <f>IFERROR(T70/(INDEX(Settings_Currency_Table[],MATCH(General_Currency_Selection,Settings_Currency,0),2)),0)</f>
        <v>0</v>
      </c>
      <c r="V70" s="751"/>
      <c r="W70" s="594">
        <f>U70*'1.0-General input'!$E$87</f>
        <v>0</v>
      </c>
      <c r="X70" s="594">
        <f>IFERROR(('2.2-Equipment input'!$U70-W70)/V70,)</f>
        <v>0</v>
      </c>
      <c r="Y70" s="776"/>
      <c r="Z70" s="605">
        <f>IF(General_EquipmentQuant_Auto="Yes",'2.2-Equipment input'!G70,'2.2-Equipment input'!H70)</f>
        <v>0</v>
      </c>
      <c r="AA70" s="778"/>
      <c r="AB70" s="779"/>
      <c r="AC70" s="779"/>
      <c r="AD70" s="779"/>
      <c r="AE70" s="779"/>
      <c r="AF70" s="779"/>
      <c r="AG70" s="779"/>
      <c r="AH70" s="779"/>
      <c r="AI70" s="779"/>
      <c r="AJ70" s="598">
        <f t="shared" si="1"/>
        <v>0</v>
      </c>
    </row>
    <row r="71" spans="2:36">
      <c r="B71" s="584" t="s">
        <v>466</v>
      </c>
      <c r="C71" s="755"/>
      <c r="D71" s="751" t="s">
        <v>433</v>
      </c>
      <c r="E71" s="752"/>
      <c r="F71" s="751"/>
      <c r="G71" s="588"/>
      <c r="H71" s="760"/>
      <c r="I71" s="751"/>
      <c r="J71" s="586" t="str">
        <f>IF($D71=INDEX(Yes_No_Choice[],1),INDEX(Equipment_Utitliy_Specs_Units[],MATCH($I$5,Equipment_Utility_Spec_List,0),2),"")</f>
        <v/>
      </c>
      <c r="K71" s="751"/>
      <c r="L71" s="586" t="str">
        <f>IF($D71=INDEX(Yes_No_Choice[],1),INDEX(Equipment_Utitliy_Specs_Units[],MATCH($K$5,Equipment_Utility_Spec_List,0),2),"")</f>
        <v/>
      </c>
      <c r="M71" s="751"/>
      <c r="N71" s="586" t="str">
        <f>IF($D71=INDEX(Yes_No_Choice[],1),INDEX(Equipment_Utitliy_Specs_Units[],MATCH($M$5,Equipment_Utility_Spec_List,0),2),"")</f>
        <v/>
      </c>
      <c r="O71" s="751"/>
      <c r="P71" s="586" t="str">
        <f>IF($D71=INDEX(Yes_No_Choice[],1),INDEX(Equipment_Utitliy_Specs_Units[],MATCH($O$5,Equipment_Utility_Spec_List,0),2),"")</f>
        <v/>
      </c>
      <c r="Q71" s="735"/>
      <c r="R71" s="751" t="s">
        <v>433</v>
      </c>
      <c r="S71" s="752"/>
      <c r="T71" s="770"/>
      <c r="U71" s="594">
        <f>IFERROR(T71/(INDEX(Settings_Currency_Table[],MATCH(General_Currency_Selection,Settings_Currency,0),2)),0)</f>
        <v>0</v>
      </c>
      <c r="V71" s="751"/>
      <c r="W71" s="594">
        <f>U71*'1.0-General input'!$E$87</f>
        <v>0</v>
      </c>
      <c r="X71" s="594">
        <f>IFERROR(('2.2-Equipment input'!$U71-W71)/V71,)</f>
        <v>0</v>
      </c>
      <c r="Y71" s="776"/>
      <c r="Z71" s="605">
        <f>IF(General_EquipmentQuant_Auto="Yes",'2.2-Equipment input'!G71,'2.2-Equipment input'!H71)</f>
        <v>0</v>
      </c>
      <c r="AA71" s="778"/>
      <c r="AB71" s="779"/>
      <c r="AC71" s="779"/>
      <c r="AD71" s="779"/>
      <c r="AE71" s="779"/>
      <c r="AF71" s="779"/>
      <c r="AG71" s="779"/>
      <c r="AH71" s="779"/>
      <c r="AI71" s="779"/>
      <c r="AJ71" s="598">
        <f t="shared" ref="AJ71:AJ102" si="2">SUM(AA71:AI71)</f>
        <v>0</v>
      </c>
    </row>
    <row r="72" spans="2:36">
      <c r="B72" s="599" t="s">
        <v>467</v>
      </c>
      <c r="C72" s="755"/>
      <c r="D72" s="751" t="s">
        <v>433</v>
      </c>
      <c r="E72" s="752"/>
      <c r="F72" s="751"/>
      <c r="G72" s="588"/>
      <c r="H72" s="760"/>
      <c r="I72" s="751"/>
      <c r="J72" s="586" t="str">
        <f>IF($D72=INDEX(Yes_No_Choice[],1),INDEX(Equipment_Utitliy_Specs_Units[],MATCH($I$5,Equipment_Utility_Spec_List,0),2),"")</f>
        <v/>
      </c>
      <c r="K72" s="751"/>
      <c r="L72" s="586" t="str">
        <f>IF($D72=INDEX(Yes_No_Choice[],1),INDEX(Equipment_Utitliy_Specs_Units[],MATCH($K$5,Equipment_Utility_Spec_List,0),2),"")</f>
        <v/>
      </c>
      <c r="M72" s="751"/>
      <c r="N72" s="586" t="str">
        <f>IF($D72=INDEX(Yes_No_Choice[],1),INDEX(Equipment_Utitliy_Specs_Units[],MATCH($M$5,Equipment_Utility_Spec_List,0),2),"")</f>
        <v/>
      </c>
      <c r="O72" s="751"/>
      <c r="P72" s="586" t="str">
        <f>IF($D72=INDEX(Yes_No_Choice[],1),INDEX(Equipment_Utitliy_Specs_Units[],MATCH($O$5,Equipment_Utility_Spec_List,0),2),"")</f>
        <v/>
      </c>
      <c r="Q72" s="735"/>
      <c r="R72" s="751" t="s">
        <v>433</v>
      </c>
      <c r="S72" s="752"/>
      <c r="T72" s="770"/>
      <c r="U72" s="594">
        <f>IFERROR(T72/(INDEX(Settings_Currency_Table[],MATCH(General_Currency_Selection,Settings_Currency,0),2)),0)</f>
        <v>0</v>
      </c>
      <c r="V72" s="751"/>
      <c r="W72" s="594">
        <f>U72*'1.0-General input'!$E$87</f>
        <v>0</v>
      </c>
      <c r="X72" s="594">
        <f>IFERROR(('2.2-Equipment input'!$U72-W72)/V72,)</f>
        <v>0</v>
      </c>
      <c r="Y72" s="776"/>
      <c r="Z72" s="605">
        <f>IF(General_EquipmentQuant_Auto="Yes",'2.2-Equipment input'!G72,'2.2-Equipment input'!H72)</f>
        <v>0</v>
      </c>
      <c r="AA72" s="778"/>
      <c r="AB72" s="779"/>
      <c r="AC72" s="779"/>
      <c r="AD72" s="779"/>
      <c r="AE72" s="779"/>
      <c r="AF72" s="779"/>
      <c r="AG72" s="779"/>
      <c r="AH72" s="779"/>
      <c r="AI72" s="779"/>
      <c r="AJ72" s="598">
        <f t="shared" si="2"/>
        <v>0</v>
      </c>
    </row>
    <row r="73" spans="2:36">
      <c r="B73" s="584" t="s">
        <v>468</v>
      </c>
      <c r="C73" s="755"/>
      <c r="D73" s="751" t="s">
        <v>433</v>
      </c>
      <c r="E73" s="752"/>
      <c r="F73" s="751"/>
      <c r="G73" s="588"/>
      <c r="H73" s="760"/>
      <c r="I73" s="751"/>
      <c r="J73" s="586" t="str">
        <f>IF($D73=INDEX(Yes_No_Choice[],1),INDEX(Equipment_Utitliy_Specs_Units[],MATCH($I$5,Equipment_Utility_Spec_List,0),2),"")</f>
        <v/>
      </c>
      <c r="K73" s="751"/>
      <c r="L73" s="586" t="str">
        <f>IF($D73=INDEX(Yes_No_Choice[],1),INDEX(Equipment_Utitliy_Specs_Units[],MATCH($K$5,Equipment_Utility_Spec_List,0),2),"")</f>
        <v/>
      </c>
      <c r="M73" s="751"/>
      <c r="N73" s="586" t="str">
        <f>IF($D73=INDEX(Yes_No_Choice[],1),INDEX(Equipment_Utitliy_Specs_Units[],MATCH($M$5,Equipment_Utility_Spec_List,0),2),"")</f>
        <v/>
      </c>
      <c r="O73" s="751"/>
      <c r="P73" s="586" t="str">
        <f>IF($D73=INDEX(Yes_No_Choice[],1),INDEX(Equipment_Utitliy_Specs_Units[],MATCH($O$5,Equipment_Utility_Spec_List,0),2),"")</f>
        <v/>
      </c>
      <c r="Q73" s="735"/>
      <c r="R73" s="751" t="s">
        <v>433</v>
      </c>
      <c r="S73" s="752"/>
      <c r="T73" s="770"/>
      <c r="U73" s="594">
        <f>IFERROR(T73/(INDEX(Settings_Currency_Table[],MATCH(General_Currency_Selection,Settings_Currency,0),2)),0)</f>
        <v>0</v>
      </c>
      <c r="V73" s="751"/>
      <c r="W73" s="594">
        <f>U73*'1.0-General input'!$E$87</f>
        <v>0</v>
      </c>
      <c r="X73" s="594">
        <f>IFERROR(('2.2-Equipment input'!$U73-W73)/V73,)</f>
        <v>0</v>
      </c>
      <c r="Y73" s="776"/>
      <c r="Z73" s="605">
        <f>IF(General_EquipmentQuant_Auto="Yes",'2.2-Equipment input'!G73,'2.2-Equipment input'!H73)</f>
        <v>0</v>
      </c>
      <c r="AA73" s="778"/>
      <c r="AB73" s="779"/>
      <c r="AC73" s="779"/>
      <c r="AD73" s="779"/>
      <c r="AE73" s="779"/>
      <c r="AF73" s="779"/>
      <c r="AG73" s="779"/>
      <c r="AH73" s="779"/>
      <c r="AI73" s="779"/>
      <c r="AJ73" s="598">
        <f t="shared" si="2"/>
        <v>0</v>
      </c>
    </row>
    <row r="74" spans="2:36">
      <c r="B74" s="599" t="s">
        <v>469</v>
      </c>
      <c r="C74" s="755"/>
      <c r="D74" s="751" t="s">
        <v>433</v>
      </c>
      <c r="E74" s="752"/>
      <c r="F74" s="751"/>
      <c r="G74" s="588"/>
      <c r="H74" s="760"/>
      <c r="I74" s="751"/>
      <c r="J74" s="586" t="str">
        <f>IF($D74=INDEX(Yes_No_Choice[],1),INDEX(Equipment_Utitliy_Specs_Units[],MATCH($I$5,Equipment_Utility_Spec_List,0),2),"")</f>
        <v/>
      </c>
      <c r="K74" s="751"/>
      <c r="L74" s="586" t="str">
        <f>IF($D74=INDEX(Yes_No_Choice[],1),INDEX(Equipment_Utitliy_Specs_Units[],MATCH($K$5,Equipment_Utility_Spec_List,0),2),"")</f>
        <v/>
      </c>
      <c r="M74" s="751"/>
      <c r="N74" s="586" t="str">
        <f>IF($D74=INDEX(Yes_No_Choice[],1),INDEX(Equipment_Utitliy_Specs_Units[],MATCH($M$5,Equipment_Utility_Spec_List,0),2),"")</f>
        <v/>
      </c>
      <c r="O74" s="751"/>
      <c r="P74" s="586" t="str">
        <f>IF($D74=INDEX(Yes_No_Choice[],1),INDEX(Equipment_Utitliy_Specs_Units[],MATCH($O$5,Equipment_Utility_Spec_List,0),2),"")</f>
        <v/>
      </c>
      <c r="Q74" s="735"/>
      <c r="R74" s="751" t="s">
        <v>433</v>
      </c>
      <c r="S74" s="752"/>
      <c r="T74" s="770"/>
      <c r="U74" s="594">
        <f>IFERROR(T74/(INDEX(Settings_Currency_Table[],MATCH(General_Currency_Selection,Settings_Currency,0),2)),0)</f>
        <v>0</v>
      </c>
      <c r="V74" s="751"/>
      <c r="W74" s="594">
        <f>U74*'1.0-General input'!$E$87</f>
        <v>0</v>
      </c>
      <c r="X74" s="594">
        <f>IFERROR(('2.2-Equipment input'!$U74-W74)/V74,)</f>
        <v>0</v>
      </c>
      <c r="Y74" s="776"/>
      <c r="Z74" s="605">
        <f>IF(General_EquipmentQuant_Auto="Yes",'2.2-Equipment input'!G74,'2.2-Equipment input'!H74)</f>
        <v>0</v>
      </c>
      <c r="AA74" s="778"/>
      <c r="AB74" s="779"/>
      <c r="AC74" s="779"/>
      <c r="AD74" s="779"/>
      <c r="AE74" s="779"/>
      <c r="AF74" s="779"/>
      <c r="AG74" s="779"/>
      <c r="AH74" s="779"/>
      <c r="AI74" s="779"/>
      <c r="AJ74" s="598">
        <f t="shared" si="2"/>
        <v>0</v>
      </c>
    </row>
    <row r="75" spans="2:36">
      <c r="B75" s="584" t="s">
        <v>470</v>
      </c>
      <c r="C75" s="755"/>
      <c r="D75" s="751" t="s">
        <v>433</v>
      </c>
      <c r="E75" s="752"/>
      <c r="F75" s="751"/>
      <c r="G75" s="588"/>
      <c r="H75" s="760"/>
      <c r="I75" s="751"/>
      <c r="J75" s="586" t="str">
        <f>IF($D75=INDEX(Yes_No_Choice[],1),INDEX(Equipment_Utitliy_Specs_Units[],MATCH($I$5,Equipment_Utility_Spec_List,0),2),"")</f>
        <v/>
      </c>
      <c r="K75" s="751"/>
      <c r="L75" s="586" t="str">
        <f>IF($D75=INDEX(Yes_No_Choice[],1),INDEX(Equipment_Utitliy_Specs_Units[],MATCH($K$5,Equipment_Utility_Spec_List,0),2),"")</f>
        <v/>
      </c>
      <c r="M75" s="751"/>
      <c r="N75" s="586" t="str">
        <f>IF($D75=INDEX(Yes_No_Choice[],1),INDEX(Equipment_Utitliy_Specs_Units[],MATCH($M$5,Equipment_Utility_Spec_List,0),2),"")</f>
        <v/>
      </c>
      <c r="O75" s="751"/>
      <c r="P75" s="586" t="str">
        <f>IF($D75=INDEX(Yes_No_Choice[],1),INDEX(Equipment_Utitliy_Specs_Units[],MATCH($O$5,Equipment_Utility_Spec_List,0),2),"")</f>
        <v/>
      </c>
      <c r="Q75" s="735"/>
      <c r="R75" s="751" t="s">
        <v>433</v>
      </c>
      <c r="S75" s="752"/>
      <c r="T75" s="770"/>
      <c r="U75" s="594">
        <f>IFERROR(T75/(INDEX(Settings_Currency_Table[],MATCH(General_Currency_Selection,Settings_Currency,0),2)),0)</f>
        <v>0</v>
      </c>
      <c r="V75" s="751"/>
      <c r="W75" s="594">
        <f>U75*'1.0-General input'!$E$87</f>
        <v>0</v>
      </c>
      <c r="X75" s="594">
        <f>IFERROR(('2.2-Equipment input'!$U75-W75)/V75,)</f>
        <v>0</v>
      </c>
      <c r="Y75" s="776"/>
      <c r="Z75" s="605">
        <f>IF(General_EquipmentQuant_Auto="Yes",'2.2-Equipment input'!G75,'2.2-Equipment input'!H75)</f>
        <v>0</v>
      </c>
      <c r="AA75" s="778"/>
      <c r="AB75" s="779"/>
      <c r="AC75" s="779"/>
      <c r="AD75" s="779"/>
      <c r="AE75" s="779"/>
      <c r="AF75" s="779"/>
      <c r="AG75" s="779"/>
      <c r="AH75" s="779"/>
      <c r="AI75" s="779"/>
      <c r="AJ75" s="598">
        <f t="shared" si="2"/>
        <v>0</v>
      </c>
    </row>
    <row r="76" spans="2:36">
      <c r="B76" s="599" t="s">
        <v>471</v>
      </c>
      <c r="C76" s="755"/>
      <c r="D76" s="751" t="s">
        <v>433</v>
      </c>
      <c r="E76" s="752"/>
      <c r="F76" s="751"/>
      <c r="G76" s="588"/>
      <c r="H76" s="760"/>
      <c r="I76" s="751"/>
      <c r="J76" s="586" t="str">
        <f>IF($D76=INDEX(Yes_No_Choice[],1),INDEX(Equipment_Utitliy_Specs_Units[],MATCH($I$5,Equipment_Utility_Spec_List,0),2),"")</f>
        <v/>
      </c>
      <c r="K76" s="751"/>
      <c r="L76" s="586" t="str">
        <f>IF($D76=INDEX(Yes_No_Choice[],1),INDEX(Equipment_Utitliy_Specs_Units[],MATCH($K$5,Equipment_Utility_Spec_List,0),2),"")</f>
        <v/>
      </c>
      <c r="M76" s="751"/>
      <c r="N76" s="586" t="str">
        <f>IF($D76=INDEX(Yes_No_Choice[],1),INDEX(Equipment_Utitliy_Specs_Units[],MATCH($M$5,Equipment_Utility_Spec_List,0),2),"")</f>
        <v/>
      </c>
      <c r="O76" s="751"/>
      <c r="P76" s="586" t="str">
        <f>IF($D76=INDEX(Yes_No_Choice[],1),INDEX(Equipment_Utitliy_Specs_Units[],MATCH($O$5,Equipment_Utility_Spec_List,0),2),"")</f>
        <v/>
      </c>
      <c r="Q76" s="735"/>
      <c r="R76" s="751" t="s">
        <v>433</v>
      </c>
      <c r="S76" s="752"/>
      <c r="T76" s="770"/>
      <c r="U76" s="594">
        <f>IFERROR(T76/(INDEX(Settings_Currency_Table[],MATCH(General_Currency_Selection,Settings_Currency,0),2)),0)</f>
        <v>0</v>
      </c>
      <c r="V76" s="751"/>
      <c r="W76" s="594">
        <f>U76*'1.0-General input'!$E$87</f>
        <v>0</v>
      </c>
      <c r="X76" s="594">
        <f>IFERROR(('2.2-Equipment input'!$U76-W76)/V76,)</f>
        <v>0</v>
      </c>
      <c r="Y76" s="776"/>
      <c r="Z76" s="605">
        <f>IF(General_EquipmentQuant_Auto="Yes",'2.2-Equipment input'!G76,'2.2-Equipment input'!H76)</f>
        <v>0</v>
      </c>
      <c r="AA76" s="778"/>
      <c r="AB76" s="779"/>
      <c r="AC76" s="779"/>
      <c r="AD76" s="779"/>
      <c r="AE76" s="779"/>
      <c r="AF76" s="779"/>
      <c r="AG76" s="779"/>
      <c r="AH76" s="779"/>
      <c r="AI76" s="779"/>
      <c r="AJ76" s="598">
        <f t="shared" si="2"/>
        <v>0</v>
      </c>
    </row>
    <row r="77" spans="2:36">
      <c r="B77" s="584" t="s">
        <v>472</v>
      </c>
      <c r="C77" s="755"/>
      <c r="D77" s="751" t="s">
        <v>433</v>
      </c>
      <c r="E77" s="752"/>
      <c r="F77" s="751"/>
      <c r="G77" s="588"/>
      <c r="H77" s="760"/>
      <c r="I77" s="751"/>
      <c r="J77" s="586" t="str">
        <f>IF($D77=INDEX(Yes_No_Choice[],1),INDEX(Equipment_Utitliy_Specs_Units[],MATCH($I$5,Equipment_Utility_Spec_List,0),2),"")</f>
        <v/>
      </c>
      <c r="K77" s="751"/>
      <c r="L77" s="586" t="str">
        <f>IF($D77=INDEX(Yes_No_Choice[],1),INDEX(Equipment_Utitliy_Specs_Units[],MATCH($K$5,Equipment_Utility_Spec_List,0),2),"")</f>
        <v/>
      </c>
      <c r="M77" s="751"/>
      <c r="N77" s="586" t="str">
        <f>IF($D77=INDEX(Yes_No_Choice[],1),INDEX(Equipment_Utitliy_Specs_Units[],MATCH($M$5,Equipment_Utility_Spec_List,0),2),"")</f>
        <v/>
      </c>
      <c r="O77" s="751"/>
      <c r="P77" s="586" t="str">
        <f>IF($D77=INDEX(Yes_No_Choice[],1),INDEX(Equipment_Utitliy_Specs_Units[],MATCH($O$5,Equipment_Utility_Spec_List,0),2),"")</f>
        <v/>
      </c>
      <c r="Q77" s="735"/>
      <c r="R77" s="751" t="s">
        <v>433</v>
      </c>
      <c r="S77" s="752"/>
      <c r="T77" s="770"/>
      <c r="U77" s="594">
        <f>IFERROR(T77/(INDEX(Settings_Currency_Table[],MATCH(General_Currency_Selection,Settings_Currency,0),2)),0)</f>
        <v>0</v>
      </c>
      <c r="V77" s="751"/>
      <c r="W77" s="594">
        <f>U77*'1.0-General input'!$E$87</f>
        <v>0</v>
      </c>
      <c r="X77" s="594">
        <f>IFERROR(('2.2-Equipment input'!$U77-W77)/V77,)</f>
        <v>0</v>
      </c>
      <c r="Y77" s="776"/>
      <c r="Z77" s="605">
        <f>IF(General_EquipmentQuant_Auto="Yes",'2.2-Equipment input'!G77,'2.2-Equipment input'!H77)</f>
        <v>0</v>
      </c>
      <c r="AA77" s="778"/>
      <c r="AB77" s="779"/>
      <c r="AC77" s="779"/>
      <c r="AD77" s="779"/>
      <c r="AE77" s="779"/>
      <c r="AF77" s="779"/>
      <c r="AG77" s="779"/>
      <c r="AH77" s="779"/>
      <c r="AI77" s="779"/>
      <c r="AJ77" s="598">
        <f t="shared" si="2"/>
        <v>0</v>
      </c>
    </row>
    <row r="78" spans="2:36">
      <c r="B78" s="599" t="s">
        <v>473</v>
      </c>
      <c r="C78" s="755"/>
      <c r="D78" s="751" t="s">
        <v>433</v>
      </c>
      <c r="E78" s="752"/>
      <c r="F78" s="751"/>
      <c r="G78" s="588"/>
      <c r="H78" s="760"/>
      <c r="I78" s="751"/>
      <c r="J78" s="586" t="str">
        <f>IF($D78=INDEX(Yes_No_Choice[],1),INDEX(Equipment_Utitliy_Specs_Units[],MATCH($I$5,Equipment_Utility_Spec_List,0),2),"")</f>
        <v/>
      </c>
      <c r="K78" s="751"/>
      <c r="L78" s="586" t="str">
        <f>IF($D78=INDEX(Yes_No_Choice[],1),INDEX(Equipment_Utitliy_Specs_Units[],MATCH($K$5,Equipment_Utility_Spec_List,0),2),"")</f>
        <v/>
      </c>
      <c r="M78" s="751"/>
      <c r="N78" s="586" t="str">
        <f>IF($D78=INDEX(Yes_No_Choice[],1),INDEX(Equipment_Utitliy_Specs_Units[],MATCH($M$5,Equipment_Utility_Spec_List,0),2),"")</f>
        <v/>
      </c>
      <c r="O78" s="751"/>
      <c r="P78" s="586" t="str">
        <f>IF($D78=INDEX(Yes_No_Choice[],1),INDEX(Equipment_Utitliy_Specs_Units[],MATCH($O$5,Equipment_Utility_Spec_List,0),2),"")</f>
        <v/>
      </c>
      <c r="Q78" s="735"/>
      <c r="R78" s="751" t="s">
        <v>433</v>
      </c>
      <c r="S78" s="752"/>
      <c r="T78" s="770"/>
      <c r="U78" s="594">
        <f>IFERROR(T78/(INDEX(Settings_Currency_Table[],MATCH(General_Currency_Selection,Settings_Currency,0),2)),0)</f>
        <v>0</v>
      </c>
      <c r="V78" s="751"/>
      <c r="W78" s="594">
        <f>U78*'1.0-General input'!$E$87</f>
        <v>0</v>
      </c>
      <c r="X78" s="594">
        <f>IFERROR(('2.2-Equipment input'!$U78-W78)/V78,)</f>
        <v>0</v>
      </c>
      <c r="Y78" s="776"/>
      <c r="Z78" s="605">
        <f>IF(General_EquipmentQuant_Auto="Yes",'2.2-Equipment input'!G78,'2.2-Equipment input'!H78)</f>
        <v>0</v>
      </c>
      <c r="AA78" s="778"/>
      <c r="AB78" s="779"/>
      <c r="AC78" s="779"/>
      <c r="AD78" s="779"/>
      <c r="AE78" s="779"/>
      <c r="AF78" s="779"/>
      <c r="AG78" s="779"/>
      <c r="AH78" s="779"/>
      <c r="AI78" s="779"/>
      <c r="AJ78" s="598">
        <f t="shared" si="2"/>
        <v>0</v>
      </c>
    </row>
    <row r="79" spans="2:36">
      <c r="B79" s="584" t="s">
        <v>474</v>
      </c>
      <c r="C79" s="755"/>
      <c r="D79" s="751" t="s">
        <v>433</v>
      </c>
      <c r="E79" s="752"/>
      <c r="F79" s="751"/>
      <c r="G79" s="588"/>
      <c r="H79" s="760"/>
      <c r="I79" s="751"/>
      <c r="J79" s="586" t="str">
        <f>IF($D79=INDEX(Yes_No_Choice[],1),INDEX(Equipment_Utitliy_Specs_Units[],MATCH($I$5,Equipment_Utility_Spec_List,0),2),"")</f>
        <v/>
      </c>
      <c r="K79" s="751"/>
      <c r="L79" s="586" t="str">
        <f>IF($D79=INDEX(Yes_No_Choice[],1),INDEX(Equipment_Utitliy_Specs_Units[],MATCH($K$5,Equipment_Utility_Spec_List,0),2),"")</f>
        <v/>
      </c>
      <c r="M79" s="751"/>
      <c r="N79" s="586" t="str">
        <f>IF($D79=INDEX(Yes_No_Choice[],1),INDEX(Equipment_Utitliy_Specs_Units[],MATCH($M$5,Equipment_Utility_Spec_List,0),2),"")</f>
        <v/>
      </c>
      <c r="O79" s="751"/>
      <c r="P79" s="586" t="str">
        <f>IF($D79=INDEX(Yes_No_Choice[],1),INDEX(Equipment_Utitliy_Specs_Units[],MATCH($O$5,Equipment_Utility_Spec_List,0),2),"")</f>
        <v/>
      </c>
      <c r="Q79" s="735"/>
      <c r="R79" s="751" t="s">
        <v>433</v>
      </c>
      <c r="S79" s="752"/>
      <c r="T79" s="770"/>
      <c r="U79" s="594">
        <f>IFERROR(T79/(INDEX(Settings_Currency_Table[],MATCH(General_Currency_Selection,Settings_Currency,0),2)),0)</f>
        <v>0</v>
      </c>
      <c r="V79" s="751"/>
      <c r="W79" s="594">
        <f>U79*'1.0-General input'!$E$87</f>
        <v>0</v>
      </c>
      <c r="X79" s="594">
        <f>IFERROR(('2.2-Equipment input'!$U79-W79)/V79,)</f>
        <v>0</v>
      </c>
      <c r="Y79" s="776"/>
      <c r="Z79" s="605">
        <f>IF(General_EquipmentQuant_Auto="Yes",'2.2-Equipment input'!G79,'2.2-Equipment input'!H79)</f>
        <v>0</v>
      </c>
      <c r="AA79" s="778"/>
      <c r="AB79" s="779"/>
      <c r="AC79" s="779"/>
      <c r="AD79" s="779"/>
      <c r="AE79" s="779"/>
      <c r="AF79" s="779"/>
      <c r="AG79" s="779"/>
      <c r="AH79" s="779"/>
      <c r="AI79" s="779"/>
      <c r="AJ79" s="598">
        <f t="shared" si="2"/>
        <v>0</v>
      </c>
    </row>
    <row r="80" spans="2:36">
      <c r="B80" s="599" t="s">
        <v>475</v>
      </c>
      <c r="C80" s="755"/>
      <c r="D80" s="751" t="s">
        <v>433</v>
      </c>
      <c r="E80" s="752"/>
      <c r="F80" s="751"/>
      <c r="G80" s="588"/>
      <c r="H80" s="760"/>
      <c r="I80" s="751"/>
      <c r="J80" s="586" t="str">
        <f>IF($D80=INDEX(Yes_No_Choice[],1),INDEX(Equipment_Utitliy_Specs_Units[],MATCH($I$5,Equipment_Utility_Spec_List,0),2),"")</f>
        <v/>
      </c>
      <c r="K80" s="751"/>
      <c r="L80" s="586" t="str">
        <f>IF($D80=INDEX(Yes_No_Choice[],1),INDEX(Equipment_Utitliy_Specs_Units[],MATCH($K$5,Equipment_Utility_Spec_List,0),2),"")</f>
        <v/>
      </c>
      <c r="M80" s="751"/>
      <c r="N80" s="586" t="str">
        <f>IF($D80=INDEX(Yes_No_Choice[],1),INDEX(Equipment_Utitliy_Specs_Units[],MATCH($M$5,Equipment_Utility_Spec_List,0),2),"")</f>
        <v/>
      </c>
      <c r="O80" s="751"/>
      <c r="P80" s="586" t="str">
        <f>IF($D80=INDEX(Yes_No_Choice[],1),INDEX(Equipment_Utitliy_Specs_Units[],MATCH($O$5,Equipment_Utility_Spec_List,0),2),"")</f>
        <v/>
      </c>
      <c r="Q80" s="735"/>
      <c r="R80" s="751" t="s">
        <v>433</v>
      </c>
      <c r="S80" s="752"/>
      <c r="T80" s="770"/>
      <c r="U80" s="594">
        <f>IFERROR(T80/(INDEX(Settings_Currency_Table[],MATCH(General_Currency_Selection,Settings_Currency,0),2)),0)</f>
        <v>0</v>
      </c>
      <c r="V80" s="751"/>
      <c r="W80" s="594">
        <f>U80*'1.0-General input'!$E$87</f>
        <v>0</v>
      </c>
      <c r="X80" s="594">
        <f>IFERROR(('2.2-Equipment input'!$U80-W80)/V80,)</f>
        <v>0</v>
      </c>
      <c r="Y80" s="776"/>
      <c r="Z80" s="605">
        <f>IF(General_EquipmentQuant_Auto="Yes",'2.2-Equipment input'!G80,'2.2-Equipment input'!H80)</f>
        <v>0</v>
      </c>
      <c r="AA80" s="778"/>
      <c r="AB80" s="779"/>
      <c r="AC80" s="779"/>
      <c r="AD80" s="779"/>
      <c r="AE80" s="779"/>
      <c r="AF80" s="779"/>
      <c r="AG80" s="779"/>
      <c r="AH80" s="779"/>
      <c r="AI80" s="779"/>
      <c r="AJ80" s="598">
        <f t="shared" si="2"/>
        <v>0</v>
      </c>
    </row>
    <row r="81" spans="2:36">
      <c r="B81" s="584" t="s">
        <v>476</v>
      </c>
      <c r="C81" s="755"/>
      <c r="D81" s="751" t="s">
        <v>433</v>
      </c>
      <c r="E81" s="752"/>
      <c r="F81" s="751"/>
      <c r="G81" s="588"/>
      <c r="H81" s="760"/>
      <c r="I81" s="751"/>
      <c r="J81" s="586" t="str">
        <f>IF($D81=INDEX(Yes_No_Choice[],1),INDEX(Equipment_Utitliy_Specs_Units[],MATCH($I$5,Equipment_Utility_Spec_List,0),2),"")</f>
        <v/>
      </c>
      <c r="K81" s="751"/>
      <c r="L81" s="586" t="str">
        <f>IF($D81=INDEX(Yes_No_Choice[],1),INDEX(Equipment_Utitliy_Specs_Units[],MATCH($K$5,Equipment_Utility_Spec_List,0),2),"")</f>
        <v/>
      </c>
      <c r="M81" s="751"/>
      <c r="N81" s="586" t="str">
        <f>IF($D81=INDEX(Yes_No_Choice[],1),INDEX(Equipment_Utitliy_Specs_Units[],MATCH($M$5,Equipment_Utility_Spec_List,0),2),"")</f>
        <v/>
      </c>
      <c r="O81" s="751"/>
      <c r="P81" s="586" t="str">
        <f>IF($D81=INDEX(Yes_No_Choice[],1),INDEX(Equipment_Utitliy_Specs_Units[],MATCH($O$5,Equipment_Utility_Spec_List,0),2),"")</f>
        <v/>
      </c>
      <c r="Q81" s="735"/>
      <c r="R81" s="751" t="s">
        <v>433</v>
      </c>
      <c r="S81" s="752"/>
      <c r="T81" s="770"/>
      <c r="U81" s="594">
        <f>IFERROR(T81/(INDEX(Settings_Currency_Table[],MATCH(General_Currency_Selection,Settings_Currency,0),2)),0)</f>
        <v>0</v>
      </c>
      <c r="V81" s="751"/>
      <c r="W81" s="594">
        <f>U81*'1.0-General input'!$E$87</f>
        <v>0</v>
      </c>
      <c r="X81" s="594">
        <f>IFERROR(('2.2-Equipment input'!$U81-W81)/V81,)</f>
        <v>0</v>
      </c>
      <c r="Y81" s="776"/>
      <c r="Z81" s="605">
        <f>IF(General_EquipmentQuant_Auto="Yes",'2.2-Equipment input'!G81,'2.2-Equipment input'!H81)</f>
        <v>0</v>
      </c>
      <c r="AA81" s="778"/>
      <c r="AB81" s="779"/>
      <c r="AC81" s="779"/>
      <c r="AD81" s="779"/>
      <c r="AE81" s="779"/>
      <c r="AF81" s="779"/>
      <c r="AG81" s="779"/>
      <c r="AH81" s="779"/>
      <c r="AI81" s="779"/>
      <c r="AJ81" s="598">
        <f t="shared" si="2"/>
        <v>0</v>
      </c>
    </row>
    <row r="82" spans="2:36">
      <c r="B82" s="599" t="s">
        <v>477</v>
      </c>
      <c r="C82" s="755"/>
      <c r="D82" s="751" t="s">
        <v>433</v>
      </c>
      <c r="E82" s="752"/>
      <c r="F82" s="751"/>
      <c r="G82" s="588"/>
      <c r="H82" s="760"/>
      <c r="I82" s="751"/>
      <c r="J82" s="586" t="str">
        <f>IF($D82=INDEX(Yes_No_Choice[],1),INDEX(Equipment_Utitliy_Specs_Units[],MATCH($I$5,Equipment_Utility_Spec_List,0),2),"")</f>
        <v/>
      </c>
      <c r="K82" s="751"/>
      <c r="L82" s="586" t="str">
        <f>IF($D82=INDEX(Yes_No_Choice[],1),INDEX(Equipment_Utitliy_Specs_Units[],MATCH($K$5,Equipment_Utility_Spec_List,0),2),"")</f>
        <v/>
      </c>
      <c r="M82" s="751"/>
      <c r="N82" s="586" t="str">
        <f>IF($D82=INDEX(Yes_No_Choice[],1),INDEX(Equipment_Utitliy_Specs_Units[],MATCH($M$5,Equipment_Utility_Spec_List,0),2),"")</f>
        <v/>
      </c>
      <c r="O82" s="751"/>
      <c r="P82" s="586" t="str">
        <f>IF($D82=INDEX(Yes_No_Choice[],1),INDEX(Equipment_Utitliy_Specs_Units[],MATCH($O$5,Equipment_Utility_Spec_List,0),2),"")</f>
        <v/>
      </c>
      <c r="Q82" s="735"/>
      <c r="R82" s="751" t="s">
        <v>433</v>
      </c>
      <c r="S82" s="752"/>
      <c r="T82" s="770"/>
      <c r="U82" s="594">
        <f>IFERROR(T82/(INDEX(Settings_Currency_Table[],MATCH(General_Currency_Selection,Settings_Currency,0),2)),0)</f>
        <v>0</v>
      </c>
      <c r="V82" s="751"/>
      <c r="W82" s="594">
        <f>U82*'1.0-General input'!$E$87</f>
        <v>0</v>
      </c>
      <c r="X82" s="594">
        <f>IFERROR(('2.2-Equipment input'!$U82-W82)/V82,)</f>
        <v>0</v>
      </c>
      <c r="Y82" s="776"/>
      <c r="Z82" s="605">
        <f>IF(General_EquipmentQuant_Auto="Yes",'2.2-Equipment input'!G82,'2.2-Equipment input'!H82)</f>
        <v>0</v>
      </c>
      <c r="AA82" s="778"/>
      <c r="AB82" s="779"/>
      <c r="AC82" s="779"/>
      <c r="AD82" s="779"/>
      <c r="AE82" s="779"/>
      <c r="AF82" s="779"/>
      <c r="AG82" s="779"/>
      <c r="AH82" s="779"/>
      <c r="AI82" s="779"/>
      <c r="AJ82" s="598">
        <f t="shared" si="2"/>
        <v>0</v>
      </c>
    </row>
    <row r="83" spans="2:36">
      <c r="B83" s="584" t="s">
        <v>478</v>
      </c>
      <c r="C83" s="755"/>
      <c r="D83" s="751" t="s">
        <v>433</v>
      </c>
      <c r="E83" s="752"/>
      <c r="F83" s="751"/>
      <c r="G83" s="588"/>
      <c r="H83" s="760"/>
      <c r="I83" s="751"/>
      <c r="J83" s="586" t="str">
        <f>IF($D83=INDEX(Yes_No_Choice[],1),INDEX(Equipment_Utitliy_Specs_Units[],MATCH($I$5,Equipment_Utility_Spec_List,0),2),"")</f>
        <v/>
      </c>
      <c r="K83" s="751"/>
      <c r="L83" s="586" t="str">
        <f>IF($D83=INDEX(Yes_No_Choice[],1),INDEX(Equipment_Utitliy_Specs_Units[],MATCH($K$5,Equipment_Utility_Spec_List,0),2),"")</f>
        <v/>
      </c>
      <c r="M83" s="751"/>
      <c r="N83" s="586" t="str">
        <f>IF($D83=INDEX(Yes_No_Choice[],1),INDEX(Equipment_Utitliy_Specs_Units[],MATCH($M$5,Equipment_Utility_Spec_List,0),2),"")</f>
        <v/>
      </c>
      <c r="O83" s="751"/>
      <c r="P83" s="586" t="str">
        <f>IF($D83=INDEX(Yes_No_Choice[],1),INDEX(Equipment_Utitliy_Specs_Units[],MATCH($O$5,Equipment_Utility_Spec_List,0),2),"")</f>
        <v/>
      </c>
      <c r="Q83" s="735"/>
      <c r="R83" s="751" t="s">
        <v>433</v>
      </c>
      <c r="S83" s="752"/>
      <c r="T83" s="770"/>
      <c r="U83" s="594">
        <f>IFERROR(T83/(INDEX(Settings_Currency_Table[],MATCH(General_Currency_Selection,Settings_Currency,0),2)),0)</f>
        <v>0</v>
      </c>
      <c r="V83" s="751"/>
      <c r="W83" s="594">
        <f>U83*'1.0-General input'!$E$87</f>
        <v>0</v>
      </c>
      <c r="X83" s="594">
        <f>IFERROR(('2.2-Equipment input'!$U83-W83)/V83,)</f>
        <v>0</v>
      </c>
      <c r="Y83" s="776"/>
      <c r="Z83" s="605">
        <f>IF(General_EquipmentQuant_Auto="Yes",'2.2-Equipment input'!G83,'2.2-Equipment input'!H83)</f>
        <v>0</v>
      </c>
      <c r="AA83" s="778"/>
      <c r="AB83" s="779"/>
      <c r="AC83" s="779"/>
      <c r="AD83" s="779"/>
      <c r="AE83" s="779"/>
      <c r="AF83" s="779"/>
      <c r="AG83" s="779"/>
      <c r="AH83" s="779"/>
      <c r="AI83" s="779"/>
      <c r="AJ83" s="598">
        <f t="shared" si="2"/>
        <v>0</v>
      </c>
    </row>
    <row r="84" spans="2:36">
      <c r="B84" s="599" t="s">
        <v>479</v>
      </c>
      <c r="C84" s="755"/>
      <c r="D84" s="751" t="s">
        <v>433</v>
      </c>
      <c r="E84" s="752"/>
      <c r="F84" s="751"/>
      <c r="G84" s="588"/>
      <c r="H84" s="760"/>
      <c r="I84" s="751"/>
      <c r="J84" s="586" t="str">
        <f>IF($D84=INDEX(Yes_No_Choice[],1),INDEX(Equipment_Utitliy_Specs_Units[],MATCH($I$5,Equipment_Utility_Spec_List,0),2),"")</f>
        <v/>
      </c>
      <c r="K84" s="751"/>
      <c r="L84" s="586" t="str">
        <f>IF($D84=INDEX(Yes_No_Choice[],1),INDEX(Equipment_Utitliy_Specs_Units[],MATCH($K$5,Equipment_Utility_Spec_List,0),2),"")</f>
        <v/>
      </c>
      <c r="M84" s="751"/>
      <c r="N84" s="586" t="str">
        <f>IF($D84=INDEX(Yes_No_Choice[],1),INDEX(Equipment_Utitliy_Specs_Units[],MATCH($M$5,Equipment_Utility_Spec_List,0),2),"")</f>
        <v/>
      </c>
      <c r="O84" s="751"/>
      <c r="P84" s="586" t="str">
        <f>IF($D84=INDEX(Yes_No_Choice[],1),INDEX(Equipment_Utitliy_Specs_Units[],MATCH($O$5,Equipment_Utility_Spec_List,0),2),"")</f>
        <v/>
      </c>
      <c r="Q84" s="735"/>
      <c r="R84" s="751" t="s">
        <v>433</v>
      </c>
      <c r="S84" s="752"/>
      <c r="T84" s="770"/>
      <c r="U84" s="594">
        <f>IFERROR(T84/(INDEX(Settings_Currency_Table[],MATCH(General_Currency_Selection,Settings_Currency,0),2)),0)</f>
        <v>0</v>
      </c>
      <c r="V84" s="751"/>
      <c r="W84" s="594">
        <f>U84*'1.0-General input'!$E$87</f>
        <v>0</v>
      </c>
      <c r="X84" s="594">
        <f>IFERROR(('2.2-Equipment input'!$U84-W84)/V84,)</f>
        <v>0</v>
      </c>
      <c r="Y84" s="776"/>
      <c r="Z84" s="605">
        <f>IF(General_EquipmentQuant_Auto="Yes",'2.2-Equipment input'!G84,'2.2-Equipment input'!H84)</f>
        <v>0</v>
      </c>
      <c r="AA84" s="778"/>
      <c r="AB84" s="779"/>
      <c r="AC84" s="779"/>
      <c r="AD84" s="779"/>
      <c r="AE84" s="779"/>
      <c r="AF84" s="779"/>
      <c r="AG84" s="779"/>
      <c r="AH84" s="779"/>
      <c r="AI84" s="779"/>
      <c r="AJ84" s="598">
        <f t="shared" si="2"/>
        <v>0</v>
      </c>
    </row>
    <row r="85" spans="2:36">
      <c r="B85" s="584" t="s">
        <v>480</v>
      </c>
      <c r="C85" s="755"/>
      <c r="D85" s="751" t="s">
        <v>433</v>
      </c>
      <c r="E85" s="752"/>
      <c r="F85" s="751"/>
      <c r="G85" s="588"/>
      <c r="H85" s="760"/>
      <c r="I85" s="751"/>
      <c r="J85" s="586" t="str">
        <f>IF($D85=INDEX(Yes_No_Choice[],1),INDEX(Equipment_Utitliy_Specs_Units[],MATCH($I$5,Equipment_Utility_Spec_List,0),2),"")</f>
        <v/>
      </c>
      <c r="K85" s="751"/>
      <c r="L85" s="586" t="str">
        <f>IF($D85=INDEX(Yes_No_Choice[],1),INDEX(Equipment_Utitliy_Specs_Units[],MATCH($K$5,Equipment_Utility_Spec_List,0),2),"")</f>
        <v/>
      </c>
      <c r="M85" s="751"/>
      <c r="N85" s="586" t="str">
        <f>IF($D85=INDEX(Yes_No_Choice[],1),INDEX(Equipment_Utitliy_Specs_Units[],MATCH($M$5,Equipment_Utility_Spec_List,0),2),"")</f>
        <v/>
      </c>
      <c r="O85" s="751"/>
      <c r="P85" s="586" t="str">
        <f>IF($D85=INDEX(Yes_No_Choice[],1),INDEX(Equipment_Utitliy_Specs_Units[],MATCH($O$5,Equipment_Utility_Spec_List,0),2),"")</f>
        <v/>
      </c>
      <c r="Q85" s="735"/>
      <c r="R85" s="751" t="s">
        <v>433</v>
      </c>
      <c r="S85" s="752"/>
      <c r="T85" s="770"/>
      <c r="U85" s="594">
        <f>IFERROR(T85/(INDEX(Settings_Currency_Table[],MATCH(General_Currency_Selection,Settings_Currency,0),2)),0)</f>
        <v>0</v>
      </c>
      <c r="V85" s="751"/>
      <c r="W85" s="594">
        <f>U85*'1.0-General input'!$E$87</f>
        <v>0</v>
      </c>
      <c r="X85" s="594">
        <f>IFERROR(('2.2-Equipment input'!$U85-W85)/V85,)</f>
        <v>0</v>
      </c>
      <c r="Y85" s="776"/>
      <c r="Z85" s="605">
        <f>IF(General_EquipmentQuant_Auto="Yes",'2.2-Equipment input'!G85,'2.2-Equipment input'!H85)</f>
        <v>0</v>
      </c>
      <c r="AA85" s="778"/>
      <c r="AB85" s="779"/>
      <c r="AC85" s="779"/>
      <c r="AD85" s="779"/>
      <c r="AE85" s="779"/>
      <c r="AF85" s="779"/>
      <c r="AG85" s="779"/>
      <c r="AH85" s="779"/>
      <c r="AI85" s="779"/>
      <c r="AJ85" s="598">
        <f t="shared" si="2"/>
        <v>0</v>
      </c>
    </row>
    <row r="86" spans="2:36">
      <c r="B86" s="599" t="s">
        <v>481</v>
      </c>
      <c r="C86" s="755"/>
      <c r="D86" s="751" t="s">
        <v>433</v>
      </c>
      <c r="E86" s="752"/>
      <c r="F86" s="751"/>
      <c r="G86" s="588"/>
      <c r="H86" s="760"/>
      <c r="I86" s="751"/>
      <c r="J86" s="586" t="str">
        <f>IF($D86=INDEX(Yes_No_Choice[],1),INDEX(Equipment_Utitliy_Specs_Units[],MATCH($I$5,Equipment_Utility_Spec_List,0),2),"")</f>
        <v/>
      </c>
      <c r="K86" s="751"/>
      <c r="L86" s="586" t="str">
        <f>IF($D86=INDEX(Yes_No_Choice[],1),INDEX(Equipment_Utitliy_Specs_Units[],MATCH($K$5,Equipment_Utility_Spec_List,0),2),"")</f>
        <v/>
      </c>
      <c r="M86" s="751"/>
      <c r="N86" s="586" t="str">
        <f>IF($D86=INDEX(Yes_No_Choice[],1),INDEX(Equipment_Utitliy_Specs_Units[],MATCH($M$5,Equipment_Utility_Spec_List,0),2),"")</f>
        <v/>
      </c>
      <c r="O86" s="751"/>
      <c r="P86" s="586" t="str">
        <f>IF($D86=INDEX(Yes_No_Choice[],1),INDEX(Equipment_Utitliy_Specs_Units[],MATCH($O$5,Equipment_Utility_Spec_List,0),2),"")</f>
        <v/>
      </c>
      <c r="Q86" s="735"/>
      <c r="R86" s="751" t="s">
        <v>433</v>
      </c>
      <c r="S86" s="752"/>
      <c r="T86" s="770"/>
      <c r="U86" s="594">
        <f>IFERROR(T86/(INDEX(Settings_Currency_Table[],MATCH(General_Currency_Selection,Settings_Currency,0),2)),0)</f>
        <v>0</v>
      </c>
      <c r="V86" s="751"/>
      <c r="W86" s="594">
        <f>U86*'1.0-General input'!$E$87</f>
        <v>0</v>
      </c>
      <c r="X86" s="594">
        <f>IFERROR(('2.2-Equipment input'!$U86-W86)/V86,)</f>
        <v>0</v>
      </c>
      <c r="Y86" s="776"/>
      <c r="Z86" s="605">
        <f>IF(General_EquipmentQuant_Auto="Yes",'2.2-Equipment input'!G86,'2.2-Equipment input'!H86)</f>
        <v>0</v>
      </c>
      <c r="AA86" s="778"/>
      <c r="AB86" s="779"/>
      <c r="AC86" s="779"/>
      <c r="AD86" s="779"/>
      <c r="AE86" s="779"/>
      <c r="AF86" s="779"/>
      <c r="AG86" s="779"/>
      <c r="AH86" s="779"/>
      <c r="AI86" s="779"/>
      <c r="AJ86" s="598">
        <f t="shared" si="2"/>
        <v>0</v>
      </c>
    </row>
    <row r="87" spans="2:36">
      <c r="B87" s="584" t="s">
        <v>482</v>
      </c>
      <c r="C87" s="755"/>
      <c r="D87" s="751" t="s">
        <v>433</v>
      </c>
      <c r="E87" s="752"/>
      <c r="F87" s="751"/>
      <c r="G87" s="588"/>
      <c r="H87" s="760"/>
      <c r="I87" s="751"/>
      <c r="J87" s="586" t="str">
        <f>IF($D87=INDEX(Yes_No_Choice[],1),INDEX(Equipment_Utitliy_Specs_Units[],MATCH($I$5,Equipment_Utility_Spec_List,0),2),"")</f>
        <v/>
      </c>
      <c r="K87" s="751"/>
      <c r="L87" s="586" t="str">
        <f>IF($D87=INDEX(Yes_No_Choice[],1),INDEX(Equipment_Utitliy_Specs_Units[],MATCH($K$5,Equipment_Utility_Spec_List,0),2),"")</f>
        <v/>
      </c>
      <c r="M87" s="751"/>
      <c r="N87" s="586" t="str">
        <f>IF($D87=INDEX(Yes_No_Choice[],1),INDEX(Equipment_Utitliy_Specs_Units[],MATCH($M$5,Equipment_Utility_Spec_List,0),2),"")</f>
        <v/>
      </c>
      <c r="O87" s="751"/>
      <c r="P87" s="586" t="str">
        <f>IF($D87=INDEX(Yes_No_Choice[],1),INDEX(Equipment_Utitliy_Specs_Units[],MATCH($O$5,Equipment_Utility_Spec_List,0),2),"")</f>
        <v/>
      </c>
      <c r="Q87" s="735"/>
      <c r="R87" s="751" t="s">
        <v>433</v>
      </c>
      <c r="S87" s="752"/>
      <c r="T87" s="770"/>
      <c r="U87" s="594">
        <f>IFERROR(T87/(INDEX(Settings_Currency_Table[],MATCH(General_Currency_Selection,Settings_Currency,0),2)),0)</f>
        <v>0</v>
      </c>
      <c r="V87" s="751"/>
      <c r="W87" s="594">
        <f>U87*'1.0-General input'!$E$87</f>
        <v>0</v>
      </c>
      <c r="X87" s="594">
        <f>IFERROR(('2.2-Equipment input'!$U87-W87)/V87,)</f>
        <v>0</v>
      </c>
      <c r="Y87" s="776"/>
      <c r="Z87" s="605">
        <f>IF(General_EquipmentQuant_Auto="Yes",'2.2-Equipment input'!G87,'2.2-Equipment input'!H87)</f>
        <v>0</v>
      </c>
      <c r="AA87" s="778"/>
      <c r="AB87" s="779"/>
      <c r="AC87" s="779"/>
      <c r="AD87" s="779"/>
      <c r="AE87" s="779"/>
      <c r="AF87" s="779"/>
      <c r="AG87" s="779"/>
      <c r="AH87" s="779"/>
      <c r="AI87" s="779"/>
      <c r="AJ87" s="598">
        <f t="shared" si="2"/>
        <v>0</v>
      </c>
    </row>
    <row r="88" spans="2:36">
      <c r="B88" s="599" t="s">
        <v>483</v>
      </c>
      <c r="C88" s="755"/>
      <c r="D88" s="751" t="s">
        <v>433</v>
      </c>
      <c r="E88" s="752"/>
      <c r="F88" s="751"/>
      <c r="G88" s="588"/>
      <c r="H88" s="760"/>
      <c r="I88" s="751"/>
      <c r="J88" s="586" t="str">
        <f>IF($D88=INDEX(Yes_No_Choice[],1),INDEX(Equipment_Utitliy_Specs_Units[],MATCH($I$5,Equipment_Utility_Spec_List,0),2),"")</f>
        <v/>
      </c>
      <c r="K88" s="751"/>
      <c r="L88" s="586" t="str">
        <f>IF($D88=INDEX(Yes_No_Choice[],1),INDEX(Equipment_Utitliy_Specs_Units[],MATCH($K$5,Equipment_Utility_Spec_List,0),2),"")</f>
        <v/>
      </c>
      <c r="M88" s="751"/>
      <c r="N88" s="586" t="str">
        <f>IF($D88=INDEX(Yes_No_Choice[],1),INDEX(Equipment_Utitliy_Specs_Units[],MATCH($M$5,Equipment_Utility_Spec_List,0),2),"")</f>
        <v/>
      </c>
      <c r="O88" s="751"/>
      <c r="P88" s="586" t="str">
        <f>IF($D88=INDEX(Yes_No_Choice[],1),INDEX(Equipment_Utitliy_Specs_Units[],MATCH($O$5,Equipment_Utility_Spec_List,0),2),"")</f>
        <v/>
      </c>
      <c r="Q88" s="735"/>
      <c r="R88" s="751" t="s">
        <v>433</v>
      </c>
      <c r="S88" s="752"/>
      <c r="T88" s="770"/>
      <c r="U88" s="594">
        <f>IFERROR(T88/(INDEX(Settings_Currency_Table[],MATCH(General_Currency_Selection,Settings_Currency,0),2)),0)</f>
        <v>0</v>
      </c>
      <c r="V88" s="751"/>
      <c r="W88" s="594">
        <f>U88*'1.0-General input'!$E$87</f>
        <v>0</v>
      </c>
      <c r="X88" s="594">
        <f>IFERROR(('2.2-Equipment input'!$U88-W88)/V88,)</f>
        <v>0</v>
      </c>
      <c r="Y88" s="776"/>
      <c r="Z88" s="605">
        <f>IF(General_EquipmentQuant_Auto="Yes",'2.2-Equipment input'!G88,'2.2-Equipment input'!H88)</f>
        <v>0</v>
      </c>
      <c r="AA88" s="778"/>
      <c r="AB88" s="779"/>
      <c r="AC88" s="779"/>
      <c r="AD88" s="779"/>
      <c r="AE88" s="779"/>
      <c r="AF88" s="779"/>
      <c r="AG88" s="779"/>
      <c r="AH88" s="779"/>
      <c r="AI88" s="779"/>
      <c r="AJ88" s="598">
        <f t="shared" si="2"/>
        <v>0</v>
      </c>
    </row>
    <row r="89" spans="2:36">
      <c r="B89" s="584" t="s">
        <v>484</v>
      </c>
      <c r="C89" s="755"/>
      <c r="D89" s="751" t="s">
        <v>433</v>
      </c>
      <c r="E89" s="752"/>
      <c r="F89" s="751"/>
      <c r="G89" s="588"/>
      <c r="H89" s="760"/>
      <c r="I89" s="751"/>
      <c r="J89" s="586" t="str">
        <f>IF($D89=INDEX(Yes_No_Choice[],1),INDEX(Equipment_Utitliy_Specs_Units[],MATCH($I$5,Equipment_Utility_Spec_List,0),2),"")</f>
        <v/>
      </c>
      <c r="K89" s="751"/>
      <c r="L89" s="586" t="str">
        <f>IF($D89=INDEX(Yes_No_Choice[],1),INDEX(Equipment_Utitliy_Specs_Units[],MATCH($K$5,Equipment_Utility_Spec_List,0),2),"")</f>
        <v/>
      </c>
      <c r="M89" s="751"/>
      <c r="N89" s="586" t="str">
        <f>IF($D89=INDEX(Yes_No_Choice[],1),INDEX(Equipment_Utitliy_Specs_Units[],MATCH($M$5,Equipment_Utility_Spec_List,0),2),"")</f>
        <v/>
      </c>
      <c r="O89" s="751"/>
      <c r="P89" s="586" t="str">
        <f>IF($D89=INDEX(Yes_No_Choice[],1),INDEX(Equipment_Utitliy_Specs_Units[],MATCH($O$5,Equipment_Utility_Spec_List,0),2),"")</f>
        <v/>
      </c>
      <c r="Q89" s="735"/>
      <c r="R89" s="751" t="s">
        <v>433</v>
      </c>
      <c r="S89" s="752"/>
      <c r="T89" s="770"/>
      <c r="U89" s="594">
        <f>IFERROR(T89/(INDEX(Settings_Currency_Table[],MATCH(General_Currency_Selection,Settings_Currency,0),2)),0)</f>
        <v>0</v>
      </c>
      <c r="V89" s="751"/>
      <c r="W89" s="594">
        <f>U89*'1.0-General input'!$E$87</f>
        <v>0</v>
      </c>
      <c r="X89" s="594">
        <f>IFERROR(('2.2-Equipment input'!$U89-W89)/V89,)</f>
        <v>0</v>
      </c>
      <c r="Y89" s="776"/>
      <c r="Z89" s="605">
        <f>IF(General_EquipmentQuant_Auto="Yes",'2.2-Equipment input'!G89,'2.2-Equipment input'!H89)</f>
        <v>0</v>
      </c>
      <c r="AA89" s="778"/>
      <c r="AB89" s="779"/>
      <c r="AC89" s="779"/>
      <c r="AD89" s="779"/>
      <c r="AE89" s="779"/>
      <c r="AF89" s="779"/>
      <c r="AG89" s="779"/>
      <c r="AH89" s="779"/>
      <c r="AI89" s="779"/>
      <c r="AJ89" s="598">
        <f t="shared" si="2"/>
        <v>0</v>
      </c>
    </row>
    <row r="90" spans="2:36">
      <c r="B90" s="599" t="s">
        <v>485</v>
      </c>
      <c r="C90" s="755"/>
      <c r="D90" s="751" t="s">
        <v>433</v>
      </c>
      <c r="E90" s="752"/>
      <c r="F90" s="751"/>
      <c r="G90" s="588"/>
      <c r="H90" s="760"/>
      <c r="I90" s="751"/>
      <c r="J90" s="586" t="str">
        <f>IF($D90=INDEX(Yes_No_Choice[],1),INDEX(Equipment_Utitliy_Specs_Units[],MATCH($I$5,Equipment_Utility_Spec_List,0),2),"")</f>
        <v/>
      </c>
      <c r="K90" s="751"/>
      <c r="L90" s="586" t="str">
        <f>IF($D90=INDEX(Yes_No_Choice[],1),INDEX(Equipment_Utitliy_Specs_Units[],MATCH($K$5,Equipment_Utility_Spec_List,0),2),"")</f>
        <v/>
      </c>
      <c r="M90" s="751"/>
      <c r="N90" s="586" t="str">
        <f>IF($D90=INDEX(Yes_No_Choice[],1),INDEX(Equipment_Utitliy_Specs_Units[],MATCH($M$5,Equipment_Utility_Spec_List,0),2),"")</f>
        <v/>
      </c>
      <c r="O90" s="751"/>
      <c r="P90" s="586" t="str">
        <f>IF($D90=INDEX(Yes_No_Choice[],1),INDEX(Equipment_Utitliy_Specs_Units[],MATCH($O$5,Equipment_Utility_Spec_List,0),2),"")</f>
        <v/>
      </c>
      <c r="Q90" s="735"/>
      <c r="R90" s="751" t="s">
        <v>433</v>
      </c>
      <c r="S90" s="752"/>
      <c r="T90" s="770"/>
      <c r="U90" s="594">
        <f>IFERROR(T90/(INDEX(Settings_Currency_Table[],MATCH(General_Currency_Selection,Settings_Currency,0),2)),0)</f>
        <v>0</v>
      </c>
      <c r="V90" s="751"/>
      <c r="W90" s="594">
        <f>U90*'1.0-General input'!$E$87</f>
        <v>0</v>
      </c>
      <c r="X90" s="594">
        <f>IFERROR(('2.2-Equipment input'!$U90-W90)/V90,)</f>
        <v>0</v>
      </c>
      <c r="Y90" s="776"/>
      <c r="Z90" s="605">
        <f>IF(General_EquipmentQuant_Auto="Yes",'2.2-Equipment input'!G90,'2.2-Equipment input'!H90)</f>
        <v>0</v>
      </c>
      <c r="AA90" s="778"/>
      <c r="AB90" s="779"/>
      <c r="AC90" s="779"/>
      <c r="AD90" s="779"/>
      <c r="AE90" s="779"/>
      <c r="AF90" s="779"/>
      <c r="AG90" s="779"/>
      <c r="AH90" s="779"/>
      <c r="AI90" s="779"/>
      <c r="AJ90" s="598">
        <f t="shared" si="2"/>
        <v>0</v>
      </c>
    </row>
    <row r="91" spans="2:36">
      <c r="B91" s="584" t="s">
        <v>486</v>
      </c>
      <c r="C91" s="755"/>
      <c r="D91" s="751" t="s">
        <v>433</v>
      </c>
      <c r="E91" s="752"/>
      <c r="F91" s="751"/>
      <c r="G91" s="588"/>
      <c r="H91" s="760"/>
      <c r="I91" s="751"/>
      <c r="J91" s="586" t="str">
        <f>IF($D91=INDEX(Yes_No_Choice[],1),INDEX(Equipment_Utitliy_Specs_Units[],MATCH($I$5,Equipment_Utility_Spec_List,0),2),"")</f>
        <v/>
      </c>
      <c r="K91" s="751"/>
      <c r="L91" s="586" t="str">
        <f>IF($D91=INDEX(Yes_No_Choice[],1),INDEX(Equipment_Utitliy_Specs_Units[],MATCH($K$5,Equipment_Utility_Spec_List,0),2),"")</f>
        <v/>
      </c>
      <c r="M91" s="751"/>
      <c r="N91" s="586" t="str">
        <f>IF($D91=INDEX(Yes_No_Choice[],1),INDEX(Equipment_Utitliy_Specs_Units[],MATCH($M$5,Equipment_Utility_Spec_List,0),2),"")</f>
        <v/>
      </c>
      <c r="O91" s="751"/>
      <c r="P91" s="586" t="str">
        <f>IF($D91=INDEX(Yes_No_Choice[],1),INDEX(Equipment_Utitliy_Specs_Units[],MATCH($O$5,Equipment_Utility_Spec_List,0),2),"")</f>
        <v/>
      </c>
      <c r="Q91" s="735"/>
      <c r="R91" s="751" t="s">
        <v>433</v>
      </c>
      <c r="S91" s="752"/>
      <c r="T91" s="770"/>
      <c r="U91" s="594">
        <f>IFERROR(T91/(INDEX(Settings_Currency_Table[],MATCH(General_Currency_Selection,Settings_Currency,0),2)),0)</f>
        <v>0</v>
      </c>
      <c r="V91" s="751"/>
      <c r="W91" s="594">
        <f>U91*'1.0-General input'!$E$87</f>
        <v>0</v>
      </c>
      <c r="X91" s="594">
        <f>IFERROR(('2.2-Equipment input'!$U91-W91)/V91,)</f>
        <v>0</v>
      </c>
      <c r="Y91" s="776"/>
      <c r="Z91" s="605">
        <f>IF(General_EquipmentQuant_Auto="Yes",'2.2-Equipment input'!G91,'2.2-Equipment input'!H91)</f>
        <v>0</v>
      </c>
      <c r="AA91" s="778"/>
      <c r="AB91" s="779"/>
      <c r="AC91" s="779"/>
      <c r="AD91" s="779"/>
      <c r="AE91" s="779"/>
      <c r="AF91" s="779"/>
      <c r="AG91" s="779"/>
      <c r="AH91" s="779"/>
      <c r="AI91" s="779"/>
      <c r="AJ91" s="598">
        <f t="shared" si="2"/>
        <v>0</v>
      </c>
    </row>
    <row r="92" spans="2:36">
      <c r="B92" s="599" t="s">
        <v>487</v>
      </c>
      <c r="C92" s="755"/>
      <c r="D92" s="751" t="s">
        <v>433</v>
      </c>
      <c r="E92" s="752"/>
      <c r="F92" s="751"/>
      <c r="G92" s="588"/>
      <c r="H92" s="760"/>
      <c r="I92" s="751"/>
      <c r="J92" s="586" t="str">
        <f>IF($D92=INDEX(Yes_No_Choice[],1),INDEX(Equipment_Utitliy_Specs_Units[],MATCH($I$5,Equipment_Utility_Spec_List,0),2),"")</f>
        <v/>
      </c>
      <c r="K92" s="751"/>
      <c r="L92" s="586" t="str">
        <f>IF($D92=INDEX(Yes_No_Choice[],1),INDEX(Equipment_Utitliy_Specs_Units[],MATCH($K$5,Equipment_Utility_Spec_List,0),2),"")</f>
        <v/>
      </c>
      <c r="M92" s="751"/>
      <c r="N92" s="586" t="str">
        <f>IF($D92=INDEX(Yes_No_Choice[],1),INDEX(Equipment_Utitliy_Specs_Units[],MATCH($M$5,Equipment_Utility_Spec_List,0),2),"")</f>
        <v/>
      </c>
      <c r="O92" s="751"/>
      <c r="P92" s="586" t="str">
        <f>IF($D92=INDEX(Yes_No_Choice[],1),INDEX(Equipment_Utitliy_Specs_Units[],MATCH($O$5,Equipment_Utility_Spec_List,0),2),"")</f>
        <v/>
      </c>
      <c r="Q92" s="735"/>
      <c r="R92" s="751" t="s">
        <v>433</v>
      </c>
      <c r="S92" s="752"/>
      <c r="T92" s="770"/>
      <c r="U92" s="594">
        <f>IFERROR(T92/(INDEX(Settings_Currency_Table[],MATCH(General_Currency_Selection,Settings_Currency,0),2)),0)</f>
        <v>0</v>
      </c>
      <c r="V92" s="751"/>
      <c r="W92" s="594">
        <f>U92*'1.0-General input'!$E$87</f>
        <v>0</v>
      </c>
      <c r="X92" s="594">
        <f>IFERROR(('2.2-Equipment input'!$U92-W92)/V92,)</f>
        <v>0</v>
      </c>
      <c r="Y92" s="776"/>
      <c r="Z92" s="605">
        <f>IF(General_EquipmentQuant_Auto="Yes",'2.2-Equipment input'!G92,'2.2-Equipment input'!H92)</f>
        <v>0</v>
      </c>
      <c r="AA92" s="778"/>
      <c r="AB92" s="779"/>
      <c r="AC92" s="779"/>
      <c r="AD92" s="779"/>
      <c r="AE92" s="779"/>
      <c r="AF92" s="779"/>
      <c r="AG92" s="779"/>
      <c r="AH92" s="779"/>
      <c r="AI92" s="779"/>
      <c r="AJ92" s="598">
        <f t="shared" si="2"/>
        <v>0</v>
      </c>
    </row>
    <row r="93" spans="2:36">
      <c r="B93" s="584" t="s">
        <v>488</v>
      </c>
      <c r="C93" s="755"/>
      <c r="D93" s="751" t="s">
        <v>433</v>
      </c>
      <c r="E93" s="752"/>
      <c r="F93" s="751"/>
      <c r="G93" s="588"/>
      <c r="H93" s="760"/>
      <c r="I93" s="751"/>
      <c r="J93" s="586" t="str">
        <f>IF($D93=INDEX(Yes_No_Choice[],1),INDEX(Equipment_Utitliy_Specs_Units[],MATCH($I$5,Equipment_Utility_Spec_List,0),2),"")</f>
        <v/>
      </c>
      <c r="K93" s="751"/>
      <c r="L93" s="586" t="str">
        <f>IF($D93=INDEX(Yes_No_Choice[],1),INDEX(Equipment_Utitliy_Specs_Units[],MATCH($K$5,Equipment_Utility_Spec_List,0),2),"")</f>
        <v/>
      </c>
      <c r="M93" s="751"/>
      <c r="N93" s="586" t="str">
        <f>IF($D93=INDEX(Yes_No_Choice[],1),INDEX(Equipment_Utitliy_Specs_Units[],MATCH($M$5,Equipment_Utility_Spec_List,0),2),"")</f>
        <v/>
      </c>
      <c r="O93" s="751"/>
      <c r="P93" s="586" t="str">
        <f>IF($D93=INDEX(Yes_No_Choice[],1),INDEX(Equipment_Utitliy_Specs_Units[],MATCH($O$5,Equipment_Utility_Spec_List,0),2),"")</f>
        <v/>
      </c>
      <c r="Q93" s="735"/>
      <c r="R93" s="751" t="s">
        <v>433</v>
      </c>
      <c r="S93" s="752"/>
      <c r="T93" s="770"/>
      <c r="U93" s="594">
        <f>IFERROR(T93/(INDEX(Settings_Currency_Table[],MATCH(General_Currency_Selection,Settings_Currency,0),2)),0)</f>
        <v>0</v>
      </c>
      <c r="V93" s="751"/>
      <c r="W93" s="594">
        <f>U93*'1.0-General input'!$E$87</f>
        <v>0</v>
      </c>
      <c r="X93" s="594">
        <f>IFERROR(('2.2-Equipment input'!$U93-W93)/V93,)</f>
        <v>0</v>
      </c>
      <c r="Y93" s="776"/>
      <c r="Z93" s="605">
        <f>IF(General_EquipmentQuant_Auto="Yes",'2.2-Equipment input'!G93,'2.2-Equipment input'!H93)</f>
        <v>0</v>
      </c>
      <c r="AA93" s="778"/>
      <c r="AB93" s="779"/>
      <c r="AC93" s="779"/>
      <c r="AD93" s="779"/>
      <c r="AE93" s="779"/>
      <c r="AF93" s="779"/>
      <c r="AG93" s="779"/>
      <c r="AH93" s="779"/>
      <c r="AI93" s="779"/>
      <c r="AJ93" s="598">
        <f t="shared" si="2"/>
        <v>0</v>
      </c>
    </row>
    <row r="94" spans="2:36">
      <c r="B94" s="599" t="s">
        <v>489</v>
      </c>
      <c r="C94" s="755"/>
      <c r="D94" s="751" t="s">
        <v>433</v>
      </c>
      <c r="E94" s="752"/>
      <c r="F94" s="751"/>
      <c r="G94" s="588"/>
      <c r="H94" s="760"/>
      <c r="I94" s="751"/>
      <c r="J94" s="586" t="str">
        <f>IF($D94=INDEX(Yes_No_Choice[],1),INDEX(Equipment_Utitliy_Specs_Units[],MATCH($I$5,Equipment_Utility_Spec_List,0),2),"")</f>
        <v/>
      </c>
      <c r="K94" s="751"/>
      <c r="L94" s="586" t="str">
        <f>IF($D94=INDEX(Yes_No_Choice[],1),INDEX(Equipment_Utitliy_Specs_Units[],MATCH($K$5,Equipment_Utility_Spec_List,0),2),"")</f>
        <v/>
      </c>
      <c r="M94" s="751"/>
      <c r="N94" s="586" t="str">
        <f>IF($D94=INDEX(Yes_No_Choice[],1),INDEX(Equipment_Utitliy_Specs_Units[],MATCH($M$5,Equipment_Utility_Spec_List,0),2),"")</f>
        <v/>
      </c>
      <c r="O94" s="751"/>
      <c r="P94" s="586" t="str">
        <f>IF($D94=INDEX(Yes_No_Choice[],1),INDEX(Equipment_Utitliy_Specs_Units[],MATCH($O$5,Equipment_Utility_Spec_List,0),2),"")</f>
        <v/>
      </c>
      <c r="Q94" s="735"/>
      <c r="R94" s="751" t="s">
        <v>433</v>
      </c>
      <c r="S94" s="752"/>
      <c r="T94" s="770"/>
      <c r="U94" s="594">
        <f>IFERROR(T94/(INDEX(Settings_Currency_Table[],MATCH(General_Currency_Selection,Settings_Currency,0),2)),0)</f>
        <v>0</v>
      </c>
      <c r="V94" s="751"/>
      <c r="W94" s="594">
        <f>U94*'1.0-General input'!$E$87</f>
        <v>0</v>
      </c>
      <c r="X94" s="594">
        <f>IFERROR(('2.2-Equipment input'!$U94-W94)/V94,)</f>
        <v>0</v>
      </c>
      <c r="Y94" s="776"/>
      <c r="Z94" s="605">
        <f>IF(General_EquipmentQuant_Auto="Yes",'2.2-Equipment input'!G94,'2.2-Equipment input'!H94)</f>
        <v>0</v>
      </c>
      <c r="AA94" s="778"/>
      <c r="AB94" s="779"/>
      <c r="AC94" s="779"/>
      <c r="AD94" s="779"/>
      <c r="AE94" s="779"/>
      <c r="AF94" s="779"/>
      <c r="AG94" s="779"/>
      <c r="AH94" s="779"/>
      <c r="AI94" s="779"/>
      <c r="AJ94" s="598">
        <f t="shared" si="2"/>
        <v>0</v>
      </c>
    </row>
    <row r="95" spans="2:36">
      <c r="B95" s="584" t="s">
        <v>490</v>
      </c>
      <c r="C95" s="755"/>
      <c r="D95" s="751" t="s">
        <v>433</v>
      </c>
      <c r="E95" s="752"/>
      <c r="F95" s="751"/>
      <c r="G95" s="588"/>
      <c r="H95" s="760"/>
      <c r="I95" s="751"/>
      <c r="J95" s="586" t="str">
        <f>IF($D95=INDEX(Yes_No_Choice[],1),INDEX(Equipment_Utitliy_Specs_Units[],MATCH($I$5,Equipment_Utility_Spec_List,0),2),"")</f>
        <v/>
      </c>
      <c r="K95" s="751"/>
      <c r="L95" s="586" t="str">
        <f>IF($D95=INDEX(Yes_No_Choice[],1),INDEX(Equipment_Utitliy_Specs_Units[],MATCH($K$5,Equipment_Utility_Spec_List,0),2),"")</f>
        <v/>
      </c>
      <c r="M95" s="751"/>
      <c r="N95" s="586" t="str">
        <f>IF($D95=INDEX(Yes_No_Choice[],1),INDEX(Equipment_Utitliy_Specs_Units[],MATCH($M$5,Equipment_Utility_Spec_List,0),2),"")</f>
        <v/>
      </c>
      <c r="O95" s="751"/>
      <c r="P95" s="586" t="str">
        <f>IF($D95=INDEX(Yes_No_Choice[],1),INDEX(Equipment_Utitliy_Specs_Units[],MATCH($O$5,Equipment_Utility_Spec_List,0),2),"")</f>
        <v/>
      </c>
      <c r="Q95" s="735"/>
      <c r="R95" s="751" t="s">
        <v>433</v>
      </c>
      <c r="S95" s="752"/>
      <c r="T95" s="770"/>
      <c r="U95" s="594">
        <f>IFERROR(T95/(INDEX(Settings_Currency_Table[],MATCH(General_Currency_Selection,Settings_Currency,0),2)),0)</f>
        <v>0</v>
      </c>
      <c r="V95" s="751"/>
      <c r="W95" s="594">
        <f>U95*'1.0-General input'!$E$87</f>
        <v>0</v>
      </c>
      <c r="X95" s="594">
        <f>IFERROR(('2.2-Equipment input'!$U95-W95)/V95,)</f>
        <v>0</v>
      </c>
      <c r="Y95" s="776"/>
      <c r="Z95" s="605">
        <f>IF(General_EquipmentQuant_Auto="Yes",'2.2-Equipment input'!G95,'2.2-Equipment input'!H95)</f>
        <v>0</v>
      </c>
      <c r="AA95" s="778"/>
      <c r="AB95" s="779"/>
      <c r="AC95" s="779"/>
      <c r="AD95" s="779"/>
      <c r="AE95" s="779"/>
      <c r="AF95" s="779"/>
      <c r="AG95" s="779"/>
      <c r="AH95" s="779"/>
      <c r="AI95" s="779"/>
      <c r="AJ95" s="598">
        <f t="shared" si="2"/>
        <v>0</v>
      </c>
    </row>
    <row r="96" spans="2:36">
      <c r="B96" s="599" t="s">
        <v>491</v>
      </c>
      <c r="C96" s="755"/>
      <c r="D96" s="751" t="s">
        <v>433</v>
      </c>
      <c r="E96" s="752"/>
      <c r="F96" s="751"/>
      <c r="G96" s="588"/>
      <c r="H96" s="760"/>
      <c r="I96" s="751"/>
      <c r="J96" s="586" t="str">
        <f>IF($D96=INDEX(Yes_No_Choice[],1),INDEX(Equipment_Utitliy_Specs_Units[],MATCH($I$5,Equipment_Utility_Spec_List,0),2),"")</f>
        <v/>
      </c>
      <c r="K96" s="751"/>
      <c r="L96" s="586" t="str">
        <f>IF($D96=INDEX(Yes_No_Choice[],1),INDEX(Equipment_Utitliy_Specs_Units[],MATCH($K$5,Equipment_Utility_Spec_List,0),2),"")</f>
        <v/>
      </c>
      <c r="M96" s="751"/>
      <c r="N96" s="586" t="str">
        <f>IF($D96=INDEX(Yes_No_Choice[],1),INDEX(Equipment_Utitliy_Specs_Units[],MATCH($M$5,Equipment_Utility_Spec_List,0),2),"")</f>
        <v/>
      </c>
      <c r="O96" s="751"/>
      <c r="P96" s="586" t="str">
        <f>IF($D96=INDEX(Yes_No_Choice[],1),INDEX(Equipment_Utitliy_Specs_Units[],MATCH($O$5,Equipment_Utility_Spec_List,0),2),"")</f>
        <v/>
      </c>
      <c r="Q96" s="735"/>
      <c r="R96" s="751" t="s">
        <v>433</v>
      </c>
      <c r="S96" s="752"/>
      <c r="T96" s="770"/>
      <c r="U96" s="594">
        <f>IFERROR(T96/(INDEX(Settings_Currency_Table[],MATCH(General_Currency_Selection,Settings_Currency,0),2)),0)</f>
        <v>0</v>
      </c>
      <c r="V96" s="751"/>
      <c r="W96" s="594">
        <f>U96*'1.0-General input'!$E$87</f>
        <v>0</v>
      </c>
      <c r="X96" s="594">
        <f>IFERROR(('2.2-Equipment input'!$U96-W96)/V96,)</f>
        <v>0</v>
      </c>
      <c r="Y96" s="776"/>
      <c r="Z96" s="605">
        <f>IF(General_EquipmentQuant_Auto="Yes",'2.2-Equipment input'!G96,'2.2-Equipment input'!H96)</f>
        <v>0</v>
      </c>
      <c r="AA96" s="778"/>
      <c r="AB96" s="779"/>
      <c r="AC96" s="779"/>
      <c r="AD96" s="779"/>
      <c r="AE96" s="779"/>
      <c r="AF96" s="779"/>
      <c r="AG96" s="779"/>
      <c r="AH96" s="779"/>
      <c r="AI96" s="779"/>
      <c r="AJ96" s="598">
        <f t="shared" si="2"/>
        <v>0</v>
      </c>
    </row>
    <row r="97" spans="2:36">
      <c r="B97" s="584" t="s">
        <v>492</v>
      </c>
      <c r="C97" s="755"/>
      <c r="D97" s="751" t="s">
        <v>433</v>
      </c>
      <c r="E97" s="752"/>
      <c r="F97" s="751"/>
      <c r="G97" s="588"/>
      <c r="H97" s="760"/>
      <c r="I97" s="751"/>
      <c r="J97" s="586" t="str">
        <f>IF($D97=INDEX(Yes_No_Choice[],1),INDEX(Equipment_Utitliy_Specs_Units[],MATCH($I$5,Equipment_Utility_Spec_List,0),2),"")</f>
        <v/>
      </c>
      <c r="K97" s="751"/>
      <c r="L97" s="586" t="str">
        <f>IF($D97=INDEX(Yes_No_Choice[],1),INDEX(Equipment_Utitliy_Specs_Units[],MATCH($K$5,Equipment_Utility_Spec_List,0),2),"")</f>
        <v/>
      </c>
      <c r="M97" s="751"/>
      <c r="N97" s="586" t="str">
        <f>IF($D97=INDEX(Yes_No_Choice[],1),INDEX(Equipment_Utitliy_Specs_Units[],MATCH($M$5,Equipment_Utility_Spec_List,0),2),"")</f>
        <v/>
      </c>
      <c r="O97" s="751"/>
      <c r="P97" s="586" t="str">
        <f>IF($D97=INDEX(Yes_No_Choice[],1),INDEX(Equipment_Utitliy_Specs_Units[],MATCH($O$5,Equipment_Utility_Spec_List,0),2),"")</f>
        <v/>
      </c>
      <c r="Q97" s="735"/>
      <c r="R97" s="751" t="s">
        <v>433</v>
      </c>
      <c r="S97" s="752"/>
      <c r="T97" s="770"/>
      <c r="U97" s="594">
        <f>IFERROR(T97/(INDEX(Settings_Currency_Table[],MATCH(General_Currency_Selection,Settings_Currency,0),2)),0)</f>
        <v>0</v>
      </c>
      <c r="V97" s="751"/>
      <c r="W97" s="594">
        <f>U97*'1.0-General input'!$E$87</f>
        <v>0</v>
      </c>
      <c r="X97" s="594">
        <f>IFERROR(('2.2-Equipment input'!$U97-W97)/V97,)</f>
        <v>0</v>
      </c>
      <c r="Y97" s="776"/>
      <c r="Z97" s="605">
        <f>IF(General_EquipmentQuant_Auto="Yes",'2.2-Equipment input'!G97,'2.2-Equipment input'!H97)</f>
        <v>0</v>
      </c>
      <c r="AA97" s="778"/>
      <c r="AB97" s="779"/>
      <c r="AC97" s="779"/>
      <c r="AD97" s="779"/>
      <c r="AE97" s="779"/>
      <c r="AF97" s="779"/>
      <c r="AG97" s="779"/>
      <c r="AH97" s="779"/>
      <c r="AI97" s="779"/>
      <c r="AJ97" s="598">
        <f t="shared" si="2"/>
        <v>0</v>
      </c>
    </row>
    <row r="98" spans="2:36">
      <c r="B98" s="599" t="s">
        <v>493</v>
      </c>
      <c r="C98" s="755"/>
      <c r="D98" s="751" t="s">
        <v>433</v>
      </c>
      <c r="E98" s="752"/>
      <c r="F98" s="751"/>
      <c r="G98" s="588"/>
      <c r="H98" s="760"/>
      <c r="I98" s="751"/>
      <c r="J98" s="586" t="str">
        <f>IF($D98=INDEX(Yes_No_Choice[],1),INDEX(Equipment_Utitliy_Specs_Units[],MATCH($I$5,Equipment_Utility_Spec_List,0),2),"")</f>
        <v/>
      </c>
      <c r="K98" s="751"/>
      <c r="L98" s="586" t="str">
        <f>IF($D98=INDEX(Yes_No_Choice[],1),INDEX(Equipment_Utitliy_Specs_Units[],MATCH($K$5,Equipment_Utility_Spec_List,0),2),"")</f>
        <v/>
      </c>
      <c r="M98" s="751"/>
      <c r="N98" s="586" t="str">
        <f>IF($D98=INDEX(Yes_No_Choice[],1),INDEX(Equipment_Utitliy_Specs_Units[],MATCH($M$5,Equipment_Utility_Spec_List,0),2),"")</f>
        <v/>
      </c>
      <c r="O98" s="751"/>
      <c r="P98" s="586" t="str">
        <f>IF($D98=INDEX(Yes_No_Choice[],1),INDEX(Equipment_Utitliy_Specs_Units[],MATCH($O$5,Equipment_Utility_Spec_List,0),2),"")</f>
        <v/>
      </c>
      <c r="Q98" s="735"/>
      <c r="R98" s="751" t="s">
        <v>433</v>
      </c>
      <c r="S98" s="752"/>
      <c r="T98" s="770"/>
      <c r="U98" s="594">
        <f>IFERROR(T98/(INDEX(Settings_Currency_Table[],MATCH(General_Currency_Selection,Settings_Currency,0),2)),0)</f>
        <v>0</v>
      </c>
      <c r="V98" s="751"/>
      <c r="W98" s="594">
        <f>U98*'1.0-General input'!$E$87</f>
        <v>0</v>
      </c>
      <c r="X98" s="594">
        <f>IFERROR(('2.2-Equipment input'!$U98-W98)/V98,)</f>
        <v>0</v>
      </c>
      <c r="Y98" s="776"/>
      <c r="Z98" s="605">
        <f>IF(General_EquipmentQuant_Auto="Yes",'2.2-Equipment input'!G98,'2.2-Equipment input'!H98)</f>
        <v>0</v>
      </c>
      <c r="AA98" s="778"/>
      <c r="AB98" s="779"/>
      <c r="AC98" s="779"/>
      <c r="AD98" s="779"/>
      <c r="AE98" s="779"/>
      <c r="AF98" s="779"/>
      <c r="AG98" s="779"/>
      <c r="AH98" s="779"/>
      <c r="AI98" s="779"/>
      <c r="AJ98" s="598">
        <f t="shared" si="2"/>
        <v>0</v>
      </c>
    </row>
    <row r="99" spans="2:36">
      <c r="B99" s="584" t="s">
        <v>494</v>
      </c>
      <c r="C99" s="755"/>
      <c r="D99" s="751" t="s">
        <v>433</v>
      </c>
      <c r="E99" s="752"/>
      <c r="F99" s="751"/>
      <c r="G99" s="588"/>
      <c r="H99" s="760"/>
      <c r="I99" s="751"/>
      <c r="J99" s="586" t="str">
        <f>IF($D99=INDEX(Yes_No_Choice[],1),INDEX(Equipment_Utitliy_Specs_Units[],MATCH($I$5,Equipment_Utility_Spec_List,0),2),"")</f>
        <v/>
      </c>
      <c r="K99" s="751"/>
      <c r="L99" s="586" t="str">
        <f>IF($D99=INDEX(Yes_No_Choice[],1),INDEX(Equipment_Utitliy_Specs_Units[],MATCH($K$5,Equipment_Utility_Spec_List,0),2),"")</f>
        <v/>
      </c>
      <c r="M99" s="751"/>
      <c r="N99" s="586" t="str">
        <f>IF($D99=INDEX(Yes_No_Choice[],1),INDEX(Equipment_Utitliy_Specs_Units[],MATCH($M$5,Equipment_Utility_Spec_List,0),2),"")</f>
        <v/>
      </c>
      <c r="O99" s="751"/>
      <c r="P99" s="586" t="str">
        <f>IF($D99=INDEX(Yes_No_Choice[],1),INDEX(Equipment_Utitliy_Specs_Units[],MATCH($O$5,Equipment_Utility_Spec_List,0),2),"")</f>
        <v/>
      </c>
      <c r="Q99" s="735"/>
      <c r="R99" s="751" t="s">
        <v>433</v>
      </c>
      <c r="S99" s="752"/>
      <c r="T99" s="770"/>
      <c r="U99" s="594">
        <f>IFERROR(T99/(INDEX(Settings_Currency_Table[],MATCH(General_Currency_Selection,Settings_Currency,0),2)),0)</f>
        <v>0</v>
      </c>
      <c r="V99" s="751"/>
      <c r="W99" s="594">
        <f>U99*'1.0-General input'!$E$87</f>
        <v>0</v>
      </c>
      <c r="X99" s="594">
        <f>IFERROR(('2.2-Equipment input'!$U99-W99)/V99,)</f>
        <v>0</v>
      </c>
      <c r="Y99" s="776"/>
      <c r="Z99" s="605">
        <f>IF(General_EquipmentQuant_Auto="Yes",'2.2-Equipment input'!G99,'2.2-Equipment input'!H99)</f>
        <v>0</v>
      </c>
      <c r="AA99" s="778"/>
      <c r="AB99" s="779"/>
      <c r="AC99" s="779"/>
      <c r="AD99" s="779"/>
      <c r="AE99" s="779"/>
      <c r="AF99" s="779"/>
      <c r="AG99" s="779"/>
      <c r="AH99" s="779"/>
      <c r="AI99" s="779"/>
      <c r="AJ99" s="598">
        <f t="shared" si="2"/>
        <v>0</v>
      </c>
    </row>
    <row r="100" spans="2:36">
      <c r="B100" s="599" t="s">
        <v>495</v>
      </c>
      <c r="C100" s="755"/>
      <c r="D100" s="751" t="s">
        <v>433</v>
      </c>
      <c r="E100" s="752"/>
      <c r="F100" s="751"/>
      <c r="G100" s="588"/>
      <c r="H100" s="760"/>
      <c r="I100" s="751"/>
      <c r="J100" s="586" t="str">
        <f>IF($D100=INDEX(Yes_No_Choice[],1),INDEX(Equipment_Utitliy_Specs_Units[],MATCH($I$5,Equipment_Utility_Spec_List,0),2),"")</f>
        <v/>
      </c>
      <c r="K100" s="751"/>
      <c r="L100" s="586" t="str">
        <f>IF($D100=INDEX(Yes_No_Choice[],1),INDEX(Equipment_Utitliy_Specs_Units[],MATCH($K$5,Equipment_Utility_Spec_List,0),2),"")</f>
        <v/>
      </c>
      <c r="M100" s="751"/>
      <c r="N100" s="586" t="str">
        <f>IF($D100=INDEX(Yes_No_Choice[],1),INDEX(Equipment_Utitliy_Specs_Units[],MATCH($M$5,Equipment_Utility_Spec_List,0),2),"")</f>
        <v/>
      </c>
      <c r="O100" s="751"/>
      <c r="P100" s="586" t="str">
        <f>IF($D100=INDEX(Yes_No_Choice[],1),INDEX(Equipment_Utitliy_Specs_Units[],MATCH($O$5,Equipment_Utility_Spec_List,0),2),"")</f>
        <v/>
      </c>
      <c r="Q100" s="735"/>
      <c r="R100" s="751" t="s">
        <v>433</v>
      </c>
      <c r="S100" s="752"/>
      <c r="T100" s="770"/>
      <c r="U100" s="594">
        <f>IFERROR(T100/(INDEX(Settings_Currency_Table[],MATCH(General_Currency_Selection,Settings_Currency,0),2)),0)</f>
        <v>0</v>
      </c>
      <c r="V100" s="751"/>
      <c r="W100" s="594">
        <f>U100*'1.0-General input'!$E$87</f>
        <v>0</v>
      </c>
      <c r="X100" s="594">
        <f>IFERROR(('2.2-Equipment input'!$U100-W100)/V100,)</f>
        <v>0</v>
      </c>
      <c r="Y100" s="776"/>
      <c r="Z100" s="605">
        <f>IF(General_EquipmentQuant_Auto="Yes",'2.2-Equipment input'!G100,'2.2-Equipment input'!H100)</f>
        <v>0</v>
      </c>
      <c r="AA100" s="778"/>
      <c r="AB100" s="779"/>
      <c r="AC100" s="779"/>
      <c r="AD100" s="779"/>
      <c r="AE100" s="779"/>
      <c r="AF100" s="779"/>
      <c r="AG100" s="779"/>
      <c r="AH100" s="779"/>
      <c r="AI100" s="779"/>
      <c r="AJ100" s="598">
        <f t="shared" si="2"/>
        <v>0</v>
      </c>
    </row>
    <row r="101" spans="2:36">
      <c r="B101" s="584" t="s">
        <v>496</v>
      </c>
      <c r="C101" s="755"/>
      <c r="D101" s="751" t="s">
        <v>433</v>
      </c>
      <c r="E101" s="752"/>
      <c r="F101" s="751"/>
      <c r="G101" s="588"/>
      <c r="H101" s="760"/>
      <c r="I101" s="751"/>
      <c r="J101" s="586" t="str">
        <f>IF($D101=INDEX(Yes_No_Choice[],1),INDEX(Equipment_Utitliy_Specs_Units[],MATCH($I$5,Equipment_Utility_Spec_List,0),2),"")</f>
        <v/>
      </c>
      <c r="K101" s="751"/>
      <c r="L101" s="586" t="str">
        <f>IF($D101=INDEX(Yes_No_Choice[],1),INDEX(Equipment_Utitliy_Specs_Units[],MATCH($K$5,Equipment_Utility_Spec_List,0),2),"")</f>
        <v/>
      </c>
      <c r="M101" s="751"/>
      <c r="N101" s="586" t="str">
        <f>IF($D101=INDEX(Yes_No_Choice[],1),INDEX(Equipment_Utitliy_Specs_Units[],MATCH($M$5,Equipment_Utility_Spec_List,0),2),"")</f>
        <v/>
      </c>
      <c r="O101" s="751"/>
      <c r="P101" s="586" t="str">
        <f>IF($D101=INDEX(Yes_No_Choice[],1),INDEX(Equipment_Utitliy_Specs_Units[],MATCH($O$5,Equipment_Utility_Spec_List,0),2),"")</f>
        <v/>
      </c>
      <c r="Q101" s="735"/>
      <c r="R101" s="751" t="s">
        <v>433</v>
      </c>
      <c r="S101" s="752"/>
      <c r="T101" s="770"/>
      <c r="U101" s="594">
        <f>IFERROR(T101/(INDEX(Settings_Currency_Table[],MATCH(General_Currency_Selection,Settings_Currency,0),2)),0)</f>
        <v>0</v>
      </c>
      <c r="V101" s="751"/>
      <c r="W101" s="594">
        <f>U101*'1.0-General input'!$E$87</f>
        <v>0</v>
      </c>
      <c r="X101" s="594">
        <f>IFERROR(('2.2-Equipment input'!$U101-W101)/V101,)</f>
        <v>0</v>
      </c>
      <c r="Y101" s="776"/>
      <c r="Z101" s="605">
        <f>IF(General_EquipmentQuant_Auto="Yes",'2.2-Equipment input'!G101,'2.2-Equipment input'!H101)</f>
        <v>0</v>
      </c>
      <c r="AA101" s="778"/>
      <c r="AB101" s="779"/>
      <c r="AC101" s="779"/>
      <c r="AD101" s="779"/>
      <c r="AE101" s="779"/>
      <c r="AF101" s="779"/>
      <c r="AG101" s="779"/>
      <c r="AH101" s="779"/>
      <c r="AI101" s="779"/>
      <c r="AJ101" s="598">
        <f t="shared" si="2"/>
        <v>0</v>
      </c>
    </row>
    <row r="102" spans="2:36">
      <c r="B102" s="599" t="s">
        <v>497</v>
      </c>
      <c r="C102" s="755"/>
      <c r="D102" s="751" t="s">
        <v>433</v>
      </c>
      <c r="E102" s="752"/>
      <c r="F102" s="751"/>
      <c r="G102" s="588"/>
      <c r="H102" s="760"/>
      <c r="I102" s="751"/>
      <c r="J102" s="586" t="str">
        <f>IF($D102=INDEX(Yes_No_Choice[],1),INDEX(Equipment_Utitliy_Specs_Units[],MATCH($I$5,Equipment_Utility_Spec_List,0),2),"")</f>
        <v/>
      </c>
      <c r="K102" s="751"/>
      <c r="L102" s="586" t="str">
        <f>IF($D102=INDEX(Yes_No_Choice[],1),INDEX(Equipment_Utitliy_Specs_Units[],MATCH($K$5,Equipment_Utility_Spec_List,0),2),"")</f>
        <v/>
      </c>
      <c r="M102" s="751"/>
      <c r="N102" s="586" t="str">
        <f>IF($D102=INDEX(Yes_No_Choice[],1),INDEX(Equipment_Utitliy_Specs_Units[],MATCH($M$5,Equipment_Utility_Spec_List,0),2),"")</f>
        <v/>
      </c>
      <c r="O102" s="751"/>
      <c r="P102" s="586" t="str">
        <f>IF($D102=INDEX(Yes_No_Choice[],1),INDEX(Equipment_Utitliy_Specs_Units[],MATCH($O$5,Equipment_Utility_Spec_List,0),2),"")</f>
        <v/>
      </c>
      <c r="Q102" s="735"/>
      <c r="R102" s="751" t="s">
        <v>433</v>
      </c>
      <c r="S102" s="752"/>
      <c r="T102" s="770"/>
      <c r="U102" s="594">
        <f>IFERROR(T102/(INDEX(Settings_Currency_Table[],MATCH(General_Currency_Selection,Settings_Currency,0),2)),0)</f>
        <v>0</v>
      </c>
      <c r="V102" s="751"/>
      <c r="W102" s="594">
        <f>U102*'1.0-General input'!$E$87</f>
        <v>0</v>
      </c>
      <c r="X102" s="594">
        <f>IFERROR(('2.2-Equipment input'!$U102-W102)/V102,)</f>
        <v>0</v>
      </c>
      <c r="Y102" s="776"/>
      <c r="Z102" s="605">
        <f>IF(General_EquipmentQuant_Auto="Yes",'2.2-Equipment input'!G102,'2.2-Equipment input'!H102)</f>
        <v>0</v>
      </c>
      <c r="AA102" s="778"/>
      <c r="AB102" s="779"/>
      <c r="AC102" s="779"/>
      <c r="AD102" s="779"/>
      <c r="AE102" s="779"/>
      <c r="AF102" s="779"/>
      <c r="AG102" s="779"/>
      <c r="AH102" s="779"/>
      <c r="AI102" s="779"/>
      <c r="AJ102" s="598">
        <f t="shared" si="2"/>
        <v>0</v>
      </c>
    </row>
    <row r="103" spans="2:36">
      <c r="B103" s="584" t="s">
        <v>498</v>
      </c>
      <c r="C103" s="755"/>
      <c r="D103" s="751" t="s">
        <v>433</v>
      </c>
      <c r="E103" s="752"/>
      <c r="F103" s="751"/>
      <c r="G103" s="588"/>
      <c r="H103" s="760"/>
      <c r="I103" s="751"/>
      <c r="J103" s="586" t="str">
        <f>IF($D103=INDEX(Yes_No_Choice[],1),INDEX(Equipment_Utitliy_Specs_Units[],MATCH($I$5,Equipment_Utility_Spec_List,0),2),"")</f>
        <v/>
      </c>
      <c r="K103" s="751"/>
      <c r="L103" s="586" t="str">
        <f>IF($D103=INDEX(Yes_No_Choice[],1),INDEX(Equipment_Utitliy_Specs_Units[],MATCH($K$5,Equipment_Utility_Spec_List,0),2),"")</f>
        <v/>
      </c>
      <c r="M103" s="751"/>
      <c r="N103" s="586" t="str">
        <f>IF($D103=INDEX(Yes_No_Choice[],1),INDEX(Equipment_Utitliy_Specs_Units[],MATCH($M$5,Equipment_Utility_Spec_List,0),2),"")</f>
        <v/>
      </c>
      <c r="O103" s="751"/>
      <c r="P103" s="586" t="str">
        <f>IF($D103=INDEX(Yes_No_Choice[],1),INDEX(Equipment_Utitliy_Specs_Units[],MATCH($O$5,Equipment_Utility_Spec_List,0),2),"")</f>
        <v/>
      </c>
      <c r="Q103" s="735"/>
      <c r="R103" s="751" t="s">
        <v>433</v>
      </c>
      <c r="S103" s="752"/>
      <c r="T103" s="770"/>
      <c r="U103" s="594">
        <f>IFERROR(T103/(INDEX(Settings_Currency_Table[],MATCH(General_Currency_Selection,Settings_Currency,0),2)),0)</f>
        <v>0</v>
      </c>
      <c r="V103" s="751"/>
      <c r="W103" s="594">
        <f>U103*'1.0-General input'!$E$87</f>
        <v>0</v>
      </c>
      <c r="X103" s="594">
        <f>IFERROR(('2.2-Equipment input'!$U103-W103)/V103,)</f>
        <v>0</v>
      </c>
      <c r="Y103" s="776"/>
      <c r="Z103" s="605">
        <f>IF(General_EquipmentQuant_Auto="Yes",'2.2-Equipment input'!G103,'2.2-Equipment input'!H103)</f>
        <v>0</v>
      </c>
      <c r="AA103" s="778"/>
      <c r="AB103" s="779"/>
      <c r="AC103" s="779"/>
      <c r="AD103" s="779"/>
      <c r="AE103" s="779"/>
      <c r="AF103" s="779"/>
      <c r="AG103" s="779"/>
      <c r="AH103" s="779"/>
      <c r="AI103" s="779"/>
      <c r="AJ103" s="598">
        <f t="shared" ref="AJ103:AJ106" si="3">SUM(AA103:AI103)</f>
        <v>0</v>
      </c>
    </row>
    <row r="104" spans="2:36">
      <c r="B104" s="599" t="s">
        <v>499</v>
      </c>
      <c r="C104" s="755"/>
      <c r="D104" s="751" t="s">
        <v>433</v>
      </c>
      <c r="E104" s="752"/>
      <c r="F104" s="751"/>
      <c r="G104" s="588"/>
      <c r="H104" s="760"/>
      <c r="I104" s="751"/>
      <c r="J104" s="586" t="str">
        <f>IF($D104=INDEX(Yes_No_Choice[],1),INDEX(Equipment_Utitliy_Specs_Units[],MATCH($I$5,Equipment_Utility_Spec_List,0),2),"")</f>
        <v/>
      </c>
      <c r="K104" s="751"/>
      <c r="L104" s="586" t="str">
        <f>IF($D104=INDEX(Yes_No_Choice[],1),INDEX(Equipment_Utitliy_Specs_Units[],MATCH($K$5,Equipment_Utility_Spec_List,0),2),"")</f>
        <v/>
      </c>
      <c r="M104" s="751"/>
      <c r="N104" s="586" t="str">
        <f>IF($D104=INDEX(Yes_No_Choice[],1),INDEX(Equipment_Utitliy_Specs_Units[],MATCH($M$5,Equipment_Utility_Spec_List,0),2),"")</f>
        <v/>
      </c>
      <c r="O104" s="751"/>
      <c r="P104" s="586" t="str">
        <f>IF($D104=INDEX(Yes_No_Choice[],1),INDEX(Equipment_Utitliy_Specs_Units[],MATCH($O$5,Equipment_Utility_Spec_List,0),2),"")</f>
        <v/>
      </c>
      <c r="Q104" s="735"/>
      <c r="R104" s="751" t="s">
        <v>433</v>
      </c>
      <c r="S104" s="752"/>
      <c r="T104" s="770"/>
      <c r="U104" s="594">
        <f>IFERROR(T104/(INDEX(Settings_Currency_Table[],MATCH(General_Currency_Selection,Settings_Currency,0),2)),0)</f>
        <v>0</v>
      </c>
      <c r="V104" s="751"/>
      <c r="W104" s="594">
        <f>U104*'1.0-General input'!$E$87</f>
        <v>0</v>
      </c>
      <c r="X104" s="594">
        <f>IFERROR(('2.2-Equipment input'!$U104-W104)/V104,)</f>
        <v>0</v>
      </c>
      <c r="Y104" s="776"/>
      <c r="Z104" s="605">
        <f>IF(General_EquipmentQuant_Auto="Yes",'2.2-Equipment input'!G104,'2.2-Equipment input'!H104)</f>
        <v>0</v>
      </c>
      <c r="AA104" s="778"/>
      <c r="AB104" s="779"/>
      <c r="AC104" s="779"/>
      <c r="AD104" s="779"/>
      <c r="AE104" s="779"/>
      <c r="AF104" s="779"/>
      <c r="AG104" s="779"/>
      <c r="AH104" s="779"/>
      <c r="AI104" s="779"/>
      <c r="AJ104" s="598">
        <f t="shared" si="3"/>
        <v>0</v>
      </c>
    </row>
    <row r="105" spans="2:36">
      <c r="B105" s="584" t="s">
        <v>500</v>
      </c>
      <c r="C105" s="755"/>
      <c r="D105" s="751" t="s">
        <v>433</v>
      </c>
      <c r="E105" s="752"/>
      <c r="F105" s="751"/>
      <c r="G105" s="588"/>
      <c r="H105" s="760"/>
      <c r="I105" s="751"/>
      <c r="J105" s="586" t="str">
        <f>IF($D105=INDEX(Yes_No_Choice[],1),INDEX(Equipment_Utitliy_Specs_Units[],MATCH($I$5,Equipment_Utility_Spec_List,0),2),"")</f>
        <v/>
      </c>
      <c r="K105" s="751"/>
      <c r="L105" s="586" t="str">
        <f>IF($D105=INDEX(Yes_No_Choice[],1),INDEX(Equipment_Utitliy_Specs_Units[],MATCH($K$5,Equipment_Utility_Spec_List,0),2),"")</f>
        <v/>
      </c>
      <c r="M105" s="751"/>
      <c r="N105" s="586" t="str">
        <f>IF($D105=INDEX(Yes_No_Choice[],1),INDEX(Equipment_Utitliy_Specs_Units[],MATCH($M$5,Equipment_Utility_Spec_List,0),2),"")</f>
        <v/>
      </c>
      <c r="O105" s="751"/>
      <c r="P105" s="586" t="str">
        <f>IF($D105=INDEX(Yes_No_Choice[],1),INDEX(Equipment_Utitliy_Specs_Units[],MATCH($O$5,Equipment_Utility_Spec_List,0),2),"")</f>
        <v/>
      </c>
      <c r="Q105" s="735"/>
      <c r="R105" s="751" t="s">
        <v>433</v>
      </c>
      <c r="S105" s="752"/>
      <c r="T105" s="770"/>
      <c r="U105" s="594">
        <f>IFERROR(T105/(INDEX(Settings_Currency_Table[],MATCH(General_Currency_Selection,Settings_Currency,0),2)),0)</f>
        <v>0</v>
      </c>
      <c r="V105" s="751"/>
      <c r="W105" s="594">
        <f>U105*'1.0-General input'!$E$87</f>
        <v>0</v>
      </c>
      <c r="X105" s="594">
        <f>IFERROR(('2.2-Equipment input'!$U105-W105)/V105,)</f>
        <v>0</v>
      </c>
      <c r="Y105" s="776"/>
      <c r="Z105" s="605">
        <f>IF(General_EquipmentQuant_Auto="Yes",'2.2-Equipment input'!G105,'2.2-Equipment input'!H105)</f>
        <v>0</v>
      </c>
      <c r="AA105" s="778"/>
      <c r="AB105" s="779"/>
      <c r="AC105" s="779"/>
      <c r="AD105" s="779"/>
      <c r="AE105" s="779"/>
      <c r="AF105" s="779"/>
      <c r="AG105" s="779"/>
      <c r="AH105" s="779"/>
      <c r="AI105" s="779"/>
      <c r="AJ105" s="598">
        <f t="shared" si="3"/>
        <v>0</v>
      </c>
    </row>
    <row r="106" spans="2:36" ht="15" thickBot="1">
      <c r="B106" s="599" t="s">
        <v>501</v>
      </c>
      <c r="C106" s="756"/>
      <c r="D106" s="757" t="s">
        <v>433</v>
      </c>
      <c r="E106" s="758"/>
      <c r="F106" s="757"/>
      <c r="G106" s="606"/>
      <c r="H106" s="761"/>
      <c r="I106" s="757"/>
      <c r="J106" s="607" t="str">
        <f>IF($D106=INDEX(Yes_No_Choice[],1),INDEX(Equipment_Utitliy_Specs_Units[],MATCH($I$5,Equipment_Utility_Spec_List,0),2),"")</f>
        <v/>
      </c>
      <c r="K106" s="757"/>
      <c r="L106" s="607" t="str">
        <f>IF($D106=INDEX(Yes_No_Choice[],1),INDEX(Equipment_Utitliy_Specs_Units[],MATCH($K$5,Equipment_Utility_Spec_List,0),2),"")</f>
        <v/>
      </c>
      <c r="M106" s="757"/>
      <c r="N106" s="607" t="str">
        <f>IF($D106=INDEX(Yes_No_Choice[],1),INDEX(Equipment_Utitliy_Specs_Units[],MATCH($M$5,Equipment_Utility_Spec_List,0),2),"")</f>
        <v/>
      </c>
      <c r="O106" s="757"/>
      <c r="P106" s="607" t="str">
        <f>IF($D106=INDEX(Yes_No_Choice[],1),INDEX(Equipment_Utitliy_Specs_Units[],MATCH($O$5,Equipment_Utility_Spec_List,0),2),"")</f>
        <v/>
      </c>
      <c r="Q106" s="771"/>
      <c r="R106" s="757" t="s">
        <v>433</v>
      </c>
      <c r="S106" s="758"/>
      <c r="T106" s="772"/>
      <c r="U106" s="608">
        <f>IFERROR(T106/(INDEX(Settings_Currency_Table[],MATCH(General_Currency_Selection,Settings_Currency,0),2)),0)</f>
        <v>0</v>
      </c>
      <c r="V106" s="757"/>
      <c r="W106" s="608">
        <f>U106*'1.0-General input'!$E$87</f>
        <v>0</v>
      </c>
      <c r="X106" s="608">
        <f>IFERROR(('2.2-Equipment input'!$U106-W106)/V106,)</f>
        <v>0</v>
      </c>
      <c r="Y106" s="745"/>
      <c r="Z106" s="605">
        <f>IF(General_EquipmentQuant_Auto="Yes",'2.2-Equipment input'!G106,'2.2-Equipment input'!H106)</f>
        <v>0</v>
      </c>
      <c r="AA106" s="780"/>
      <c r="AB106" s="781"/>
      <c r="AC106" s="781"/>
      <c r="AD106" s="781"/>
      <c r="AE106" s="781"/>
      <c r="AF106" s="781"/>
      <c r="AG106" s="781"/>
      <c r="AH106" s="781"/>
      <c r="AI106" s="781"/>
      <c r="AJ106" s="609">
        <f t="shared" si="3"/>
        <v>0</v>
      </c>
    </row>
  </sheetData>
  <sheetProtection algorithmName="SHA-512" hashValue="Ge3NAKh0ZhwooE8sqh9KdDDr6HYyS3FBJmvWr48o3ENyYCJZ/BUzltiEE09RCsG7uNzaJq16NN6ENtJLH62GKw==" saltValue="RzRE9FG//XRrwkBgK/o4Fw==" spinCount="100000" sheet="1" objects="1" scenarios="1" selectLockedCells="1"/>
  <autoFilter ref="AA6:AI45"/>
  <mergeCells count="5">
    <mergeCell ref="AN5:AV5"/>
    <mergeCell ref="V5:X5"/>
    <mergeCell ref="E5:F5"/>
    <mergeCell ref="AA5:AI5"/>
    <mergeCell ref="I4:Q4"/>
  </mergeCells>
  <conditionalFormatting sqref="K7 M7 O7">
    <cfRule type="expression" dxfId="1024" priority="90">
      <formula>$D7="Yes"</formula>
    </cfRule>
    <cfRule type="expression" dxfId="1023" priority="91">
      <formula>$D7="No"</formula>
    </cfRule>
  </conditionalFormatting>
  <conditionalFormatting sqref="K8:K24 M8:M24 O8:O44 O55:O106 M55:M106 K55:K106 M26:M44 K26:K44">
    <cfRule type="expression" dxfId="1022" priority="84">
      <formula>$D8="Yes"</formula>
    </cfRule>
    <cfRule type="expression" dxfId="1021" priority="85">
      <formula>$D8="No"</formula>
    </cfRule>
  </conditionalFormatting>
  <conditionalFormatting sqref="I55:I106 I26:I44 I8:I24">
    <cfRule type="expression" dxfId="1020" priority="78">
      <formula>$D8="Yes"</formula>
    </cfRule>
    <cfRule type="expression" dxfId="1019" priority="79">
      <formula>$D8="No"</formula>
    </cfRule>
  </conditionalFormatting>
  <conditionalFormatting sqref="I7">
    <cfRule type="expression" dxfId="1018" priority="80">
      <formula>$D7="Yes"</formula>
    </cfRule>
    <cfRule type="expression" dxfId="1017" priority="81">
      <formula>$D7="No"</formula>
    </cfRule>
  </conditionalFormatting>
  <conditionalFormatting sqref="Q7">
    <cfRule type="expression" dxfId="1016" priority="76">
      <formula>$D7="Yes"</formula>
    </cfRule>
    <cfRule type="expression" dxfId="1015" priority="77">
      <formula>$D7="No"</formula>
    </cfRule>
  </conditionalFormatting>
  <conditionalFormatting sqref="Q8:Q43 Q55:Q106">
    <cfRule type="expression" dxfId="1014" priority="72">
      <formula>$D8="Yes"</formula>
    </cfRule>
    <cfRule type="expression" dxfId="1013" priority="73">
      <formula>$D8="No"</formula>
    </cfRule>
  </conditionalFormatting>
  <conditionalFormatting sqref="O45 M45 K45">
    <cfRule type="expression" dxfId="1012" priority="70">
      <formula>$D45="Yes"</formula>
    </cfRule>
    <cfRule type="expression" dxfId="1011" priority="71">
      <formula>$D45="No"</formula>
    </cfRule>
  </conditionalFormatting>
  <conditionalFormatting sqref="O46 K46">
    <cfRule type="expression" dxfId="1010" priority="64">
      <formula>$D46="Yes"</formula>
    </cfRule>
    <cfRule type="expression" dxfId="1009" priority="65">
      <formula>$D46="No"</formula>
    </cfRule>
  </conditionalFormatting>
  <conditionalFormatting sqref="O47 K47">
    <cfRule type="expression" dxfId="1008" priority="58">
      <formula>$D47="Yes"</formula>
    </cfRule>
    <cfRule type="expression" dxfId="1007" priority="59">
      <formula>$D47="No"</formula>
    </cfRule>
  </conditionalFormatting>
  <conditionalFormatting sqref="I47">
    <cfRule type="expression" dxfId="1006" priority="56">
      <formula>$D47="Yes"</formula>
    </cfRule>
    <cfRule type="expression" dxfId="1005" priority="57">
      <formula>$D47="No"</formula>
    </cfRule>
  </conditionalFormatting>
  <conditionalFormatting sqref="K49:K52 M50:M52 O49:O52">
    <cfRule type="expression" dxfId="1004" priority="52">
      <formula>$D49="Yes"</formula>
    </cfRule>
    <cfRule type="expression" dxfId="1003" priority="53">
      <formula>$D49="No"</formula>
    </cfRule>
  </conditionalFormatting>
  <conditionalFormatting sqref="I49:I52">
    <cfRule type="expression" dxfId="1002" priority="50">
      <formula>$D49="Yes"</formula>
    </cfRule>
    <cfRule type="expression" dxfId="1001" priority="51">
      <formula>$D49="No"</formula>
    </cfRule>
  </conditionalFormatting>
  <conditionalFormatting sqref="O54 M54 K54">
    <cfRule type="expression" dxfId="1000" priority="46">
      <formula>$D54="Yes"</formula>
    </cfRule>
    <cfRule type="expression" dxfId="999" priority="47">
      <formula>$D54="No"</formula>
    </cfRule>
  </conditionalFormatting>
  <conditionalFormatting sqref="I54">
    <cfRule type="expression" dxfId="998" priority="44">
      <formula>$D54="Yes"</formula>
    </cfRule>
    <cfRule type="expression" dxfId="997" priority="45">
      <formula>$D54="No"</formula>
    </cfRule>
  </conditionalFormatting>
  <conditionalFormatting sqref="O53 M53 K53">
    <cfRule type="expression" dxfId="996" priority="40">
      <formula>$D53="Yes"</formula>
    </cfRule>
    <cfRule type="expression" dxfId="995" priority="41">
      <formula>$D53="No"</formula>
    </cfRule>
  </conditionalFormatting>
  <conditionalFormatting sqref="I53">
    <cfRule type="expression" dxfId="994" priority="38">
      <formula>$D53="Yes"</formula>
    </cfRule>
    <cfRule type="expression" dxfId="993" priority="39">
      <formula>$D53="No"</formula>
    </cfRule>
  </conditionalFormatting>
  <conditionalFormatting sqref="M46">
    <cfRule type="expression" dxfId="992" priority="32">
      <formula>$D46="Yes"</formula>
    </cfRule>
    <cfRule type="expression" dxfId="991" priority="33">
      <formula>$D46="No"</formula>
    </cfRule>
  </conditionalFormatting>
  <conditionalFormatting sqref="M47">
    <cfRule type="expression" dxfId="990" priority="30">
      <formula>$D47="Yes"</formula>
    </cfRule>
    <cfRule type="expression" dxfId="989" priority="31">
      <formula>$D47="No"</formula>
    </cfRule>
  </conditionalFormatting>
  <conditionalFormatting sqref="M49">
    <cfRule type="expression" dxfId="988" priority="28">
      <formula>$D49="Yes"</formula>
    </cfRule>
    <cfRule type="expression" dxfId="987" priority="29">
      <formula>$D49="No"</formula>
    </cfRule>
  </conditionalFormatting>
  <conditionalFormatting sqref="M25 K25">
    <cfRule type="expression" dxfId="986" priority="26">
      <formula>$D25="Yes"</formula>
    </cfRule>
    <cfRule type="expression" dxfId="985" priority="27">
      <formula>$D25="No"</formula>
    </cfRule>
  </conditionalFormatting>
  <conditionalFormatting sqref="I25">
    <cfRule type="expression" dxfId="984" priority="24">
      <formula>$D25="Yes"</formula>
    </cfRule>
    <cfRule type="expression" dxfId="983" priority="25">
      <formula>$D25="No"</formula>
    </cfRule>
  </conditionalFormatting>
  <conditionalFormatting sqref="U7:U106">
    <cfRule type="expression" dxfId="982" priority="21">
      <formula>IF(INDIRECT("General_Currency_Selection")="CHF",TRUE)</formula>
    </cfRule>
    <cfRule type="expression" dxfId="981" priority="22">
      <formula>IF(INDIRECT("General_Currency_Selection")="EUR",TRUE)</formula>
    </cfRule>
    <cfRule type="expression" dxfId="980" priority="23">
      <formula>IF(INDIRECT("General_Currency_Selection")="USD",TRUE)</formula>
    </cfRule>
  </conditionalFormatting>
  <conditionalFormatting sqref="W7:W106">
    <cfRule type="expression" dxfId="979" priority="18">
      <formula>IF(INDIRECT("General_Currency_Selection")="CHF",TRUE)</formula>
    </cfRule>
    <cfRule type="expression" dxfId="978" priority="19">
      <formula>IF(INDIRECT("General_Currency_Selection")="EUR",TRUE)</formula>
    </cfRule>
    <cfRule type="expression" dxfId="977" priority="20">
      <formula>IF(INDIRECT("General_Currency_Selection")="USD",TRUE)</formula>
    </cfRule>
  </conditionalFormatting>
  <conditionalFormatting sqref="X7:X106">
    <cfRule type="expression" dxfId="976" priority="15">
      <formula>IF(INDIRECT("General_Currency_Selection")="CHF",TRUE)</formula>
    </cfRule>
    <cfRule type="expression" dxfId="975" priority="16">
      <formula>IF(INDIRECT("General_Currency_Selection")="EUR",TRUE)</formula>
    </cfRule>
    <cfRule type="expression" dxfId="974" priority="17">
      <formula>IF(INDIRECT("General_Currency_Selection")="USD",TRUE)</formula>
    </cfRule>
  </conditionalFormatting>
  <conditionalFormatting sqref="O48 M48 K48">
    <cfRule type="expression" dxfId="973" priority="13">
      <formula>$D48="Yes"</formula>
    </cfRule>
    <cfRule type="expression" dxfId="972" priority="14">
      <formula>$D48="No"</formula>
    </cfRule>
  </conditionalFormatting>
  <conditionalFormatting sqref="I45">
    <cfRule type="expression" dxfId="971" priority="7">
      <formula>$D45="Yes"</formula>
    </cfRule>
    <cfRule type="expression" dxfId="970" priority="8">
      <formula>$D45="No"</formula>
    </cfRule>
  </conditionalFormatting>
  <conditionalFormatting sqref="I46">
    <cfRule type="expression" dxfId="969" priority="5">
      <formula>$D46="Yes"</formula>
    </cfRule>
    <cfRule type="expression" dxfId="968" priority="6">
      <formula>$D46="No"</formula>
    </cfRule>
  </conditionalFormatting>
  <conditionalFormatting sqref="I48">
    <cfRule type="expression" dxfId="967" priority="3">
      <formula>$D48="Yes"</formula>
    </cfRule>
    <cfRule type="expression" dxfId="966" priority="4">
      <formula>$D48="No"</formula>
    </cfRule>
  </conditionalFormatting>
  <conditionalFormatting sqref="Q44:Q54">
    <cfRule type="expression" dxfId="965" priority="1">
      <formula>$D44="Yes"</formula>
    </cfRule>
    <cfRule type="expression" dxfId="964" priority="2">
      <formula>$D44="No"</formula>
    </cfRule>
  </conditionalFormatting>
  <dataValidations count="3">
    <dataValidation type="list" allowBlank="1" showInputMessage="1" showErrorMessage="1" sqref="Q7:Q106">
      <formula1>INDIRECT("Equipment_Utility_Fuel_Type")</formula1>
    </dataValidation>
    <dataValidation type="list" allowBlank="1" showInputMessage="1" showErrorMessage="1" sqref="R7:R106">
      <formula1>INDIRECT("Yes_No_Choice")</formula1>
    </dataValidation>
    <dataValidation type="list" allowBlank="1" showInputMessage="1" showErrorMessage="1" sqref="D7:D106">
      <formula1>INDIRECT("Yes_No_Choice")</formula1>
    </dataValidation>
  </dataValidations>
  <pageMargins left="0.7" right="0.7" top="0.75" bottom="0.75" header="0.3" footer="0.3"/>
  <pageSetup paperSize="9" orientation="portrait" horizontalDpi="1200" verticalDpi="1200" r:id="rId1"/>
  <ignoredErrors>
    <ignoredError sqref="S14 S21 W8" formula="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1:V51"/>
  <sheetViews>
    <sheetView showGridLines="0" showRowColHeaders="0" zoomScale="70" zoomScaleNormal="70" workbookViewId="0">
      <selection activeCell="F22" sqref="F22"/>
    </sheetView>
  </sheetViews>
  <sheetFormatPr defaultColWidth="11.1796875" defaultRowHeight="14.5"/>
  <cols>
    <col min="1" max="1" width="1.7265625" style="15" customWidth="1"/>
    <col min="2" max="2" width="19" style="15" customWidth="1"/>
    <col min="3" max="3" width="31.81640625" style="15" bestFit="1" customWidth="1"/>
    <col min="4" max="4" width="32" style="15" customWidth="1"/>
    <col min="5" max="5" width="19.453125" style="15" customWidth="1"/>
    <col min="6" max="6" width="17.54296875" style="15" customWidth="1"/>
    <col min="7" max="7" width="24.54296875" style="15" bestFit="1" customWidth="1"/>
    <col min="8" max="8" width="26.26953125" style="15" customWidth="1"/>
    <col min="9" max="9" width="21.54296875" style="15" customWidth="1"/>
    <col min="10" max="10" width="15.453125" style="15" customWidth="1"/>
    <col min="11" max="12" width="14.453125" style="15" customWidth="1"/>
    <col min="13" max="13" width="6.453125" style="15" customWidth="1"/>
    <col min="14" max="14" width="7.7265625" style="15" customWidth="1"/>
    <col min="15" max="15" width="5.81640625" style="15" customWidth="1"/>
    <col min="16" max="16" width="7.81640625" style="15" bestFit="1" customWidth="1"/>
    <col min="17" max="17" width="9.54296875" style="15" bestFit="1" customWidth="1"/>
    <col min="18" max="18" width="10.54296875" style="15" bestFit="1" customWidth="1"/>
    <col min="19" max="19" width="7" style="15" customWidth="1"/>
    <col min="20" max="20" width="8.26953125" style="15" customWidth="1"/>
    <col min="21" max="21" width="9.54296875" style="15" bestFit="1" customWidth="1"/>
    <col min="22" max="16384" width="11.1796875" style="15"/>
  </cols>
  <sheetData>
    <row r="1" spans="2:22" ht="21">
      <c r="B1" s="503" t="s">
        <v>841</v>
      </c>
      <c r="C1" s="391"/>
      <c r="D1" s="391"/>
      <c r="E1" s="391"/>
      <c r="F1" s="391"/>
      <c r="G1" s="391"/>
      <c r="H1" s="391"/>
      <c r="I1" s="391"/>
      <c r="J1" s="391"/>
      <c r="K1" s="391"/>
      <c r="L1" s="391"/>
      <c r="M1" s="391"/>
      <c r="N1" s="391"/>
      <c r="O1" s="391"/>
      <c r="P1" s="391"/>
      <c r="Q1" s="391"/>
      <c r="R1" s="391"/>
      <c r="S1" s="391"/>
      <c r="T1" s="391"/>
      <c r="U1" s="391"/>
      <c r="V1" s="391"/>
    </row>
    <row r="2" spans="2:22" ht="25.5" customHeight="1" thickBot="1">
      <c r="B2" s="150"/>
      <c r="C2" s="707"/>
      <c r="D2" s="707"/>
      <c r="E2" s="707"/>
      <c r="F2" s="707"/>
      <c r="G2" s="707"/>
      <c r="H2" s="707"/>
      <c r="I2" s="707"/>
      <c r="J2" s="707"/>
      <c r="K2" s="707"/>
      <c r="L2" s="707"/>
      <c r="M2" s="707"/>
      <c r="N2" s="707"/>
      <c r="O2" s="707"/>
    </row>
    <row r="3" spans="2:22" ht="29.5" thickBot="1">
      <c r="I3" s="192"/>
      <c r="J3" s="327" t="s">
        <v>725</v>
      </c>
      <c r="K3" s="328">
        <f>SUM(Staff_number_of_employees)</f>
        <v>2</v>
      </c>
      <c r="L3" s="444"/>
      <c r="M3" s="867" t="s">
        <v>244</v>
      </c>
      <c r="N3" s="868"/>
      <c r="O3" s="868"/>
      <c r="P3" s="868"/>
      <c r="Q3" s="868"/>
      <c r="R3" s="868"/>
      <c r="S3" s="868"/>
      <c r="T3" s="868"/>
      <c r="U3" s="869"/>
    </row>
    <row r="4" spans="2:22" ht="47" thickBot="1">
      <c r="B4" s="156" t="s">
        <v>220</v>
      </c>
      <c r="C4" s="161" t="s">
        <v>4</v>
      </c>
      <c r="D4" s="45" t="s">
        <v>243</v>
      </c>
      <c r="E4" s="46" t="s">
        <v>122</v>
      </c>
      <c r="F4" s="46" t="s">
        <v>123</v>
      </c>
      <c r="G4" s="291" t="s">
        <v>703</v>
      </c>
      <c r="H4" s="298" t="s">
        <v>702</v>
      </c>
      <c r="I4" s="47" t="s">
        <v>198</v>
      </c>
      <c r="J4" s="48" t="s">
        <v>909</v>
      </c>
      <c r="K4" s="48" t="s">
        <v>908</v>
      </c>
      <c r="L4" s="443" t="s">
        <v>910</v>
      </c>
      <c r="M4" s="49" t="str">
        <f>INDEX(Unit_codes,COLUMNS($M$4:M4))</f>
        <v>U-W</v>
      </c>
      <c r="N4" s="50" t="str">
        <f>INDEX(Unit_codes,COLUMNS($M$4:N4))</f>
        <v>U-T</v>
      </c>
      <c r="O4" s="50" t="str">
        <f>INDEX(Unit_codes,COLUMNS($M$4:O4))</f>
        <v>U-H</v>
      </c>
      <c r="P4" s="50" t="str">
        <f>INDEX(Unit_codes,COLUMNS($M$4:P4))</f>
        <v>U-N-Egg</v>
      </c>
      <c r="Q4" s="50" t="str">
        <f>INDEX(Unit_codes,COLUMNS($M$4:Q4))</f>
        <v>U-N-5DOL</v>
      </c>
      <c r="R4" s="50" t="str">
        <f>INDEX(Unit_codes,COLUMNS($M$4:R4))</f>
        <v>U-N-17DOL</v>
      </c>
      <c r="S4" s="50" t="str">
        <f>INDEX(Unit_codes,COLUMNS($M$4:S4))</f>
        <v>U-P</v>
      </c>
      <c r="T4" s="50" t="str">
        <f>INDEX(Unit_codes,COLUMNS($M$4:T4))</f>
        <v>U-R</v>
      </c>
      <c r="U4" s="481" t="str">
        <f>INDEX(Unit_codes,COLUMNS($M$4:U4))</f>
        <v>SG&amp;A</v>
      </c>
      <c r="V4" s="482" t="s">
        <v>193</v>
      </c>
    </row>
    <row r="5" spans="2:22">
      <c r="B5" s="157" t="s">
        <v>221</v>
      </c>
      <c r="C5" s="329" t="s">
        <v>130</v>
      </c>
      <c r="D5" s="234" t="s">
        <v>66</v>
      </c>
      <c r="E5" s="797">
        <v>2000000</v>
      </c>
      <c r="F5" s="798">
        <v>0</v>
      </c>
      <c r="G5" s="292">
        <f>12*(E5+F5)*I5</f>
        <v>24000000</v>
      </c>
      <c r="H5" s="296">
        <f>IFERROR(G5/(INDEX(Settings_Currency_Table[],MATCH(General_Currency_Selection,Settings_Currency,0),2)),0)</f>
        <v>1699.449519976321</v>
      </c>
      <c r="I5" s="795">
        <v>1</v>
      </c>
      <c r="J5" s="263">
        <f>ROUNDUP('1.0-General input'!E18*SUM('4.1-Settings Database'!D52,'4.1-Settings Database'!E52,'4.1-Settings Database'!F52)*(1+'4.1-Settings Database'!C69)/'1.0-General input'!E106,0)</f>
        <v>1</v>
      </c>
      <c r="K5" s="792"/>
      <c r="L5" s="232">
        <f t="shared" ref="L5:L25" si="0">IF(General_StaffNr_Auto="Yes",J5,K5)</f>
        <v>1</v>
      </c>
      <c r="M5" s="782">
        <v>0</v>
      </c>
      <c r="N5" s="783">
        <v>0.13176035160767979</v>
      </c>
      <c r="O5" s="783">
        <v>0.86823964839232015</v>
      </c>
      <c r="P5" s="783">
        <v>0</v>
      </c>
      <c r="Q5" s="783">
        <v>0</v>
      </c>
      <c r="R5" s="783">
        <v>0</v>
      </c>
      <c r="S5" s="783">
        <v>0</v>
      </c>
      <c r="T5" s="783">
        <v>0</v>
      </c>
      <c r="U5" s="783">
        <v>0</v>
      </c>
      <c r="V5" s="9">
        <f t="shared" ref="V5:V25" si="1">SUM(M5:U5)</f>
        <v>1</v>
      </c>
    </row>
    <row r="6" spans="2:22">
      <c r="B6" s="158" t="s">
        <v>222</v>
      </c>
      <c r="C6" s="330" t="s">
        <v>116</v>
      </c>
      <c r="D6" s="235" t="s">
        <v>66</v>
      </c>
      <c r="E6" s="799">
        <v>2500000</v>
      </c>
      <c r="F6" s="800">
        <v>0</v>
      </c>
      <c r="G6" s="293">
        <f t="shared" ref="G6:G25" si="2">12*(E6+F6)*I6</f>
        <v>30000000</v>
      </c>
      <c r="H6" s="297">
        <f>IFERROR(G6/(INDEX(Settings_Currency_Table[],MATCH(General_Currency_Selection,Settings_Currency,0),2)),0)</f>
        <v>2124.3118999704016</v>
      </c>
      <c r="I6" s="796">
        <v>1</v>
      </c>
      <c r="J6" s="264">
        <f>ROUNDUP(((General_EggProduction_Total*'4.1-Settings Database'!C58+General_5DOLProduction_Total*'4.1-Settings Database'!D58)*1000)*(1+'4.1-Settings Database'!C69)/'1.0-General input'!E106,0)</f>
        <v>1</v>
      </c>
      <c r="K6" s="793"/>
      <c r="L6" s="232">
        <f t="shared" si="0"/>
        <v>1</v>
      </c>
      <c r="M6" s="784">
        <v>0</v>
      </c>
      <c r="N6" s="785">
        <v>0</v>
      </c>
      <c r="O6" s="785">
        <v>0</v>
      </c>
      <c r="P6" s="785">
        <v>0.9</v>
      </c>
      <c r="Q6" s="785">
        <v>0.1</v>
      </c>
      <c r="R6" s="785">
        <v>0</v>
      </c>
      <c r="S6" s="785">
        <v>0</v>
      </c>
      <c r="T6" s="785">
        <v>0</v>
      </c>
      <c r="U6" s="785">
        <v>0</v>
      </c>
      <c r="V6" s="11">
        <f t="shared" si="1"/>
        <v>1</v>
      </c>
    </row>
    <row r="7" spans="2:22">
      <c r="B7" s="159" t="s">
        <v>223</v>
      </c>
      <c r="C7" s="331" t="s">
        <v>131</v>
      </c>
      <c r="D7" s="236" t="s">
        <v>67</v>
      </c>
      <c r="E7" s="799">
        <v>4000000</v>
      </c>
      <c r="F7" s="800">
        <v>0</v>
      </c>
      <c r="G7" s="294">
        <f t="shared" si="2"/>
        <v>48000000</v>
      </c>
      <c r="H7" s="297">
        <f>IFERROR(G7/(INDEX(Settings_Currency_Table[],MATCH(General_Currency_Selection,Settings_Currency,0),2)),0)</f>
        <v>3398.8990399526419</v>
      </c>
      <c r="I7" s="796">
        <v>1</v>
      </c>
      <c r="J7" s="231">
        <f>IF(J5&lt;10,0,ROUND((J5+J12+J13)/'1.0-General input'!$E$92,0))</f>
        <v>0</v>
      </c>
      <c r="K7" s="793"/>
      <c r="L7" s="232">
        <f t="shared" si="0"/>
        <v>0</v>
      </c>
      <c r="M7" s="784">
        <v>0</v>
      </c>
      <c r="N7" s="785">
        <v>0.26</v>
      </c>
      <c r="O7" s="785">
        <v>0.38</v>
      </c>
      <c r="P7" s="785">
        <v>0</v>
      </c>
      <c r="Q7" s="785">
        <v>0</v>
      </c>
      <c r="R7" s="785">
        <v>0</v>
      </c>
      <c r="S7" s="785">
        <v>0.26</v>
      </c>
      <c r="T7" s="785">
        <v>0</v>
      </c>
      <c r="U7" s="785">
        <v>0.1</v>
      </c>
      <c r="V7" s="11">
        <f t="shared" si="1"/>
        <v>1</v>
      </c>
    </row>
    <row r="8" spans="2:22">
      <c r="B8" s="158" t="s">
        <v>224</v>
      </c>
      <c r="C8" s="331" t="s">
        <v>117</v>
      </c>
      <c r="D8" s="237" t="s">
        <v>67</v>
      </c>
      <c r="E8" s="799">
        <v>4000000</v>
      </c>
      <c r="F8" s="800">
        <v>0</v>
      </c>
      <c r="G8" s="294">
        <f t="shared" si="2"/>
        <v>48000000</v>
      </c>
      <c r="H8" s="297">
        <f>IFERROR(G8/(INDEX(Settings_Currency_Table[],MATCH(General_Currency_Selection,Settings_Currency,0),2)),0)</f>
        <v>3398.8990399526419</v>
      </c>
      <c r="I8" s="796">
        <v>1</v>
      </c>
      <c r="J8" s="231">
        <f>IF(J6&lt;10,0,ROUND(J6/'1.0-General input'!$E$92,0))</f>
        <v>0</v>
      </c>
      <c r="K8" s="793"/>
      <c r="L8" s="232">
        <f t="shared" si="0"/>
        <v>0</v>
      </c>
      <c r="M8" s="784">
        <v>0</v>
      </c>
      <c r="N8" s="785">
        <v>0</v>
      </c>
      <c r="O8" s="785">
        <v>0</v>
      </c>
      <c r="P8" s="785">
        <v>0.5</v>
      </c>
      <c r="Q8" s="785">
        <v>0.25</v>
      </c>
      <c r="R8" s="785">
        <v>0</v>
      </c>
      <c r="S8" s="785">
        <v>0</v>
      </c>
      <c r="T8" s="785">
        <v>0</v>
      </c>
      <c r="U8" s="785">
        <v>0.25</v>
      </c>
      <c r="V8" s="11">
        <f t="shared" si="1"/>
        <v>1</v>
      </c>
    </row>
    <row r="9" spans="2:22">
      <c r="B9" s="159" t="s">
        <v>225</v>
      </c>
      <c r="C9" s="331" t="s">
        <v>118</v>
      </c>
      <c r="D9" s="237" t="s">
        <v>67</v>
      </c>
      <c r="E9" s="799">
        <v>6000000</v>
      </c>
      <c r="F9" s="800">
        <v>0</v>
      </c>
      <c r="G9" s="294">
        <f t="shared" si="2"/>
        <v>72000000</v>
      </c>
      <c r="H9" s="297">
        <f>IFERROR(G9/(INDEX(Settings_Currency_Table[],MATCH(General_Currency_Selection,Settings_Currency,0),2)),0)</f>
        <v>5098.3485599289634</v>
      </c>
      <c r="I9" s="796">
        <v>1</v>
      </c>
      <c r="J9" s="232">
        <f>IF(SUM(J7:J8,J10)&lt;'1.0-General input'!E95/2,ROUNDUP(SUM(J7:J8,J10)/'1.0-General input'!E95,0),ROUND(SUM(J7:J8,J10)/'1.0-General input'!E95,0))</f>
        <v>0</v>
      </c>
      <c r="K9" s="793"/>
      <c r="L9" s="232">
        <f t="shared" si="0"/>
        <v>0</v>
      </c>
      <c r="M9" s="784">
        <v>0</v>
      </c>
      <c r="N9" s="785">
        <v>0.13</v>
      </c>
      <c r="O9" s="785">
        <v>0.13</v>
      </c>
      <c r="P9" s="785">
        <v>0.13</v>
      </c>
      <c r="Q9" s="785">
        <v>0.08</v>
      </c>
      <c r="R9" s="785">
        <v>0</v>
      </c>
      <c r="S9" s="785">
        <v>0.13</v>
      </c>
      <c r="T9" s="785">
        <v>0</v>
      </c>
      <c r="U9" s="785">
        <v>0.4</v>
      </c>
      <c r="V9" s="11">
        <f t="shared" si="1"/>
        <v>1</v>
      </c>
    </row>
    <row r="10" spans="2:22">
      <c r="B10" s="158" t="s">
        <v>226</v>
      </c>
      <c r="C10" s="331" t="s">
        <v>132</v>
      </c>
      <c r="D10" s="237" t="s">
        <v>134</v>
      </c>
      <c r="E10" s="799">
        <v>5000000</v>
      </c>
      <c r="F10" s="800">
        <v>0</v>
      </c>
      <c r="G10" s="294">
        <f t="shared" si="2"/>
        <v>60000000</v>
      </c>
      <c r="H10" s="297">
        <f>IFERROR(G10/(INDEX(Settings_Currency_Table[],MATCH(General_Currency_Selection,Settings_Currency,0),2)),0)</f>
        <v>4248.6237999408031</v>
      </c>
      <c r="I10" s="796">
        <v>1</v>
      </c>
      <c r="J10" s="317">
        <v>0</v>
      </c>
      <c r="K10" s="793"/>
      <c r="L10" s="232">
        <f t="shared" si="0"/>
        <v>0</v>
      </c>
      <c r="M10" s="784">
        <v>0</v>
      </c>
      <c r="N10" s="785">
        <v>0</v>
      </c>
      <c r="O10" s="785">
        <v>0</v>
      </c>
      <c r="P10" s="785">
        <v>0</v>
      </c>
      <c r="Q10" s="785">
        <v>0</v>
      </c>
      <c r="R10" s="785">
        <v>0</v>
      </c>
      <c r="S10" s="785">
        <v>0</v>
      </c>
      <c r="T10" s="785">
        <v>0</v>
      </c>
      <c r="U10" s="785">
        <v>1</v>
      </c>
      <c r="V10" s="11">
        <f t="shared" si="1"/>
        <v>1</v>
      </c>
    </row>
    <row r="11" spans="2:22">
      <c r="B11" s="159" t="s">
        <v>227</v>
      </c>
      <c r="C11" s="331" t="s">
        <v>133</v>
      </c>
      <c r="D11" s="237" t="s">
        <v>134</v>
      </c>
      <c r="E11" s="799">
        <v>2500000</v>
      </c>
      <c r="F11" s="800">
        <v>0</v>
      </c>
      <c r="G11" s="294">
        <f t="shared" si="2"/>
        <v>30000000</v>
      </c>
      <c r="H11" s="297">
        <f>IFERROR(G11/(INDEX(Settings_Currency_Table[],MATCH(General_Currency_Selection,Settings_Currency,0),2)),0)</f>
        <v>2124.3118999704016</v>
      </c>
      <c r="I11" s="796">
        <v>1</v>
      </c>
      <c r="J11" s="232">
        <f>ROUND('1.0-General input'!E93*(SUM(J5:J8,J12:J13,J10)),0)</f>
        <v>0</v>
      </c>
      <c r="K11" s="793"/>
      <c r="L11" s="232">
        <f t="shared" si="0"/>
        <v>0</v>
      </c>
      <c r="M11" s="784">
        <v>0</v>
      </c>
      <c r="N11" s="785">
        <v>0</v>
      </c>
      <c r="O11" s="785">
        <v>0</v>
      </c>
      <c r="P11" s="785">
        <v>0</v>
      </c>
      <c r="Q11" s="785">
        <v>0</v>
      </c>
      <c r="R11" s="785">
        <v>0</v>
      </c>
      <c r="S11" s="785">
        <v>0</v>
      </c>
      <c r="T11" s="785">
        <v>0</v>
      </c>
      <c r="U11" s="785">
        <v>1</v>
      </c>
      <c r="V11" s="11">
        <f t="shared" si="1"/>
        <v>1</v>
      </c>
    </row>
    <row r="12" spans="2:22">
      <c r="B12" s="158" t="s">
        <v>228</v>
      </c>
      <c r="C12" s="331" t="s">
        <v>887</v>
      </c>
      <c r="D12" s="237" t="s">
        <v>66</v>
      </c>
      <c r="E12" s="799">
        <v>3000000</v>
      </c>
      <c r="F12" s="800">
        <v>0</v>
      </c>
      <c r="G12" s="294">
        <f t="shared" si="2"/>
        <v>36000000</v>
      </c>
      <c r="H12" s="297">
        <f>IFERROR(G12/(INDEX(Settings_Currency_Table[],MATCH(General_Currency_Selection,Settings_Currency,0),2)),0)</f>
        <v>2549.1742799644817</v>
      </c>
      <c r="I12" s="787">
        <v>1</v>
      </c>
      <c r="J12" s="232">
        <v>0</v>
      </c>
      <c r="K12" s="793"/>
      <c r="L12" s="232">
        <f t="shared" si="0"/>
        <v>0</v>
      </c>
      <c r="M12" s="786">
        <v>0</v>
      </c>
      <c r="N12" s="787">
        <v>0</v>
      </c>
      <c r="O12" s="787">
        <v>0</v>
      </c>
      <c r="P12" s="787">
        <v>0</v>
      </c>
      <c r="Q12" s="787">
        <v>0</v>
      </c>
      <c r="R12" s="787">
        <v>0</v>
      </c>
      <c r="S12" s="787">
        <v>1</v>
      </c>
      <c r="T12" s="787">
        <v>0</v>
      </c>
      <c r="U12" s="787">
        <v>0</v>
      </c>
      <c r="V12" s="11">
        <f t="shared" si="1"/>
        <v>1</v>
      </c>
    </row>
    <row r="13" spans="2:22">
      <c r="B13" s="159" t="s">
        <v>229</v>
      </c>
      <c r="C13" s="331" t="s">
        <v>888</v>
      </c>
      <c r="D13" s="701" t="s">
        <v>66</v>
      </c>
      <c r="E13" s="799">
        <v>3000000</v>
      </c>
      <c r="F13" s="800">
        <v>0</v>
      </c>
      <c r="G13" s="294">
        <f t="shared" si="2"/>
        <v>36000000</v>
      </c>
      <c r="H13" s="297">
        <f>IFERROR(G13/(INDEX(Settings_Currency_Table[],MATCH(General_Currency_Selection,Settings_Currency,0),2)),0)</f>
        <v>2549.1742799644817</v>
      </c>
      <c r="I13" s="787">
        <v>1</v>
      </c>
      <c r="J13" s="232">
        <v>0</v>
      </c>
      <c r="K13" s="793"/>
      <c r="L13" s="232">
        <f t="shared" si="0"/>
        <v>0</v>
      </c>
      <c r="M13" s="786">
        <v>0</v>
      </c>
      <c r="N13" s="787">
        <v>0</v>
      </c>
      <c r="O13" s="787">
        <v>0</v>
      </c>
      <c r="P13" s="787">
        <v>0</v>
      </c>
      <c r="Q13" s="787">
        <v>0</v>
      </c>
      <c r="R13" s="787">
        <v>0</v>
      </c>
      <c r="S13" s="787">
        <v>1</v>
      </c>
      <c r="T13" s="787">
        <v>0</v>
      </c>
      <c r="U13" s="787">
        <v>0</v>
      </c>
      <c r="V13" s="11">
        <f t="shared" si="1"/>
        <v>1</v>
      </c>
    </row>
    <row r="14" spans="2:22">
      <c r="B14" s="158" t="s">
        <v>230</v>
      </c>
      <c r="C14" s="331" t="s">
        <v>1039</v>
      </c>
      <c r="D14" s="683" t="s">
        <v>134</v>
      </c>
      <c r="E14" s="799">
        <v>2000000</v>
      </c>
      <c r="F14" s="800">
        <v>0</v>
      </c>
      <c r="G14" s="294">
        <f>12*(E14+F14)*I14</f>
        <v>24000000</v>
      </c>
      <c r="H14" s="297">
        <f>IFERROR(G14/(INDEX(Settings_Currency_Table[],MATCH(General_Currency_Selection,Settings_Currency,0),2)),0)</f>
        <v>1699.449519976321</v>
      </c>
      <c r="I14" s="787">
        <v>1</v>
      </c>
      <c r="J14" s="317">
        <f>IF('1.0-General input'!E67="Yes",'2.4-Transport Input'!D63,0)</f>
        <v>0</v>
      </c>
      <c r="K14" s="793"/>
      <c r="L14" s="232">
        <f>IF(General_StaffNr_Auto="Yes",J14,K14)</f>
        <v>0</v>
      </c>
      <c r="M14" s="786">
        <v>0</v>
      </c>
      <c r="N14" s="787">
        <v>0</v>
      </c>
      <c r="O14" s="787">
        <v>0</v>
      </c>
      <c r="P14" s="787">
        <v>0</v>
      </c>
      <c r="Q14" s="787">
        <v>0</v>
      </c>
      <c r="R14" s="787">
        <v>0</v>
      </c>
      <c r="S14" s="787">
        <v>0</v>
      </c>
      <c r="T14" s="787">
        <v>0</v>
      </c>
      <c r="U14" s="787">
        <v>1</v>
      </c>
      <c r="V14" s="11">
        <f t="shared" si="1"/>
        <v>1</v>
      </c>
    </row>
    <row r="15" spans="2:22">
      <c r="B15" s="159" t="s">
        <v>231</v>
      </c>
      <c r="C15" s="804"/>
      <c r="D15" s="805"/>
      <c r="E15" s="799"/>
      <c r="F15" s="800"/>
      <c r="G15" s="294">
        <f t="shared" si="2"/>
        <v>0</v>
      </c>
      <c r="H15" s="297">
        <f>IFERROR(G15/(INDEX(Settings_Currency_Table[],MATCH(General_Currency_Selection,Settings_Currency,0),2)),0)</f>
        <v>0</v>
      </c>
      <c r="I15" s="787"/>
      <c r="J15" s="232"/>
      <c r="K15" s="793"/>
      <c r="L15" s="232">
        <f t="shared" si="0"/>
        <v>0</v>
      </c>
      <c r="M15" s="786"/>
      <c r="N15" s="787"/>
      <c r="O15" s="787"/>
      <c r="P15" s="787"/>
      <c r="Q15" s="787"/>
      <c r="R15" s="787"/>
      <c r="S15" s="787"/>
      <c r="T15" s="787"/>
      <c r="U15" s="787"/>
      <c r="V15" s="11">
        <f t="shared" si="1"/>
        <v>0</v>
      </c>
    </row>
    <row r="16" spans="2:22">
      <c r="B16" s="158" t="s">
        <v>232</v>
      </c>
      <c r="C16" s="806"/>
      <c r="D16" s="807"/>
      <c r="E16" s="799"/>
      <c r="F16" s="800"/>
      <c r="G16" s="294">
        <f t="shared" si="2"/>
        <v>0</v>
      </c>
      <c r="H16" s="297">
        <f>IFERROR(G16/(INDEX(Settings_Currency_Table[],MATCH(General_Currency_Selection,Settings_Currency,0),2)),0)</f>
        <v>0</v>
      </c>
      <c r="I16" s="787"/>
      <c r="J16" s="232"/>
      <c r="K16" s="793"/>
      <c r="L16" s="232">
        <f t="shared" si="0"/>
        <v>0</v>
      </c>
      <c r="M16" s="786"/>
      <c r="N16" s="787"/>
      <c r="O16" s="787"/>
      <c r="P16" s="787"/>
      <c r="Q16" s="787"/>
      <c r="R16" s="787"/>
      <c r="S16" s="787"/>
      <c r="T16" s="787"/>
      <c r="U16" s="787"/>
      <c r="V16" s="11">
        <f t="shared" si="1"/>
        <v>0</v>
      </c>
    </row>
    <row r="17" spans="2:22">
      <c r="B17" s="159" t="s">
        <v>233</v>
      </c>
      <c r="C17" s="804"/>
      <c r="D17" s="808"/>
      <c r="E17" s="799"/>
      <c r="F17" s="800"/>
      <c r="G17" s="294">
        <f t="shared" si="2"/>
        <v>0</v>
      </c>
      <c r="H17" s="297">
        <f>IFERROR(G17/(INDEX(Settings_Currency_Table[],MATCH(General_Currency_Selection,Settings_Currency,0),2)),0)</f>
        <v>0</v>
      </c>
      <c r="I17" s="787"/>
      <c r="J17" s="232"/>
      <c r="K17" s="793"/>
      <c r="L17" s="232">
        <f t="shared" si="0"/>
        <v>0</v>
      </c>
      <c r="M17" s="788"/>
      <c r="N17" s="789"/>
      <c r="O17" s="789"/>
      <c r="P17" s="789"/>
      <c r="Q17" s="789"/>
      <c r="R17" s="789"/>
      <c r="S17" s="789"/>
      <c r="T17" s="789"/>
      <c r="U17" s="789"/>
      <c r="V17" s="11">
        <f t="shared" si="1"/>
        <v>0</v>
      </c>
    </row>
    <row r="18" spans="2:22">
      <c r="B18" s="158" t="s">
        <v>234</v>
      </c>
      <c r="C18" s="804"/>
      <c r="D18" s="805"/>
      <c r="E18" s="799"/>
      <c r="F18" s="800"/>
      <c r="G18" s="294">
        <f t="shared" si="2"/>
        <v>0</v>
      </c>
      <c r="H18" s="297">
        <f>IFERROR(G18/(INDEX(Settings_Currency_Table[],MATCH(General_Currency_Selection,Settings_Currency,0),2)),0)</f>
        <v>0</v>
      </c>
      <c r="I18" s="787"/>
      <c r="J18" s="232"/>
      <c r="K18" s="793"/>
      <c r="L18" s="232">
        <f t="shared" si="0"/>
        <v>0</v>
      </c>
      <c r="M18" s="788"/>
      <c r="N18" s="789"/>
      <c r="O18" s="789"/>
      <c r="P18" s="789"/>
      <c r="Q18" s="789"/>
      <c r="R18" s="789"/>
      <c r="S18" s="789"/>
      <c r="T18" s="789"/>
      <c r="U18" s="789"/>
      <c r="V18" s="11">
        <f t="shared" si="1"/>
        <v>0</v>
      </c>
    </row>
    <row r="19" spans="2:22">
      <c r="B19" s="159" t="s">
        <v>235</v>
      </c>
      <c r="C19" s="804"/>
      <c r="D19" s="805"/>
      <c r="E19" s="799"/>
      <c r="F19" s="800"/>
      <c r="G19" s="294">
        <f t="shared" si="2"/>
        <v>0</v>
      </c>
      <c r="H19" s="297">
        <f>IFERROR(G19/(INDEX(Settings_Currency_Table[],MATCH(General_Currency_Selection,Settings_Currency,0),2)),0)</f>
        <v>0</v>
      </c>
      <c r="I19" s="787"/>
      <c r="J19" s="232"/>
      <c r="K19" s="793"/>
      <c r="L19" s="232">
        <f t="shared" si="0"/>
        <v>0</v>
      </c>
      <c r="M19" s="788"/>
      <c r="N19" s="789"/>
      <c r="O19" s="789"/>
      <c r="P19" s="789"/>
      <c r="Q19" s="789"/>
      <c r="R19" s="789"/>
      <c r="S19" s="789"/>
      <c r="T19" s="789"/>
      <c r="U19" s="789"/>
      <c r="V19" s="11">
        <f t="shared" si="1"/>
        <v>0</v>
      </c>
    </row>
    <row r="20" spans="2:22">
      <c r="B20" s="158" t="s">
        <v>236</v>
      </c>
      <c r="C20" s="804"/>
      <c r="D20" s="805"/>
      <c r="E20" s="799"/>
      <c r="F20" s="800"/>
      <c r="G20" s="294">
        <f t="shared" si="2"/>
        <v>0</v>
      </c>
      <c r="H20" s="297">
        <f>IFERROR(G20/(INDEX(Settings_Currency_Table[],MATCH(General_Currency_Selection,Settings_Currency,0),2)),0)</f>
        <v>0</v>
      </c>
      <c r="I20" s="787"/>
      <c r="J20" s="232"/>
      <c r="K20" s="793"/>
      <c r="L20" s="232">
        <f t="shared" si="0"/>
        <v>0</v>
      </c>
      <c r="M20" s="788"/>
      <c r="N20" s="789"/>
      <c r="O20" s="789"/>
      <c r="P20" s="789"/>
      <c r="Q20" s="789"/>
      <c r="R20" s="789"/>
      <c r="S20" s="789"/>
      <c r="T20" s="789"/>
      <c r="U20" s="789"/>
      <c r="V20" s="11">
        <f t="shared" si="1"/>
        <v>0</v>
      </c>
    </row>
    <row r="21" spans="2:22">
      <c r="B21" s="159" t="s">
        <v>237</v>
      </c>
      <c r="C21" s="806"/>
      <c r="D21" s="807"/>
      <c r="E21" s="799"/>
      <c r="F21" s="801"/>
      <c r="G21" s="294">
        <f t="shared" si="2"/>
        <v>0</v>
      </c>
      <c r="H21" s="297">
        <f>IFERROR(G21/(INDEX(Settings_Currency_Table[],MATCH(General_Currency_Selection,Settings_Currency,0),2)),0)</f>
        <v>0</v>
      </c>
      <c r="I21" s="789"/>
      <c r="J21" s="232"/>
      <c r="K21" s="793"/>
      <c r="L21" s="232">
        <f t="shared" si="0"/>
        <v>0</v>
      </c>
      <c r="M21" s="788"/>
      <c r="N21" s="789"/>
      <c r="O21" s="789"/>
      <c r="P21" s="789"/>
      <c r="Q21" s="789"/>
      <c r="R21" s="789"/>
      <c r="S21" s="789"/>
      <c r="T21" s="789"/>
      <c r="U21" s="789"/>
      <c r="V21" s="11">
        <f t="shared" si="1"/>
        <v>0</v>
      </c>
    </row>
    <row r="22" spans="2:22">
      <c r="B22" s="158" t="s">
        <v>238</v>
      </c>
      <c r="C22" s="806"/>
      <c r="D22" s="807"/>
      <c r="E22" s="799"/>
      <c r="F22" s="801"/>
      <c r="G22" s="294">
        <f t="shared" si="2"/>
        <v>0</v>
      </c>
      <c r="H22" s="297">
        <f>IFERROR(G22/(INDEX(Settings_Currency_Table[],MATCH(General_Currency_Selection,Settings_Currency,0),2)),0)</f>
        <v>0</v>
      </c>
      <c r="I22" s="789"/>
      <c r="J22" s="232"/>
      <c r="K22" s="793"/>
      <c r="L22" s="232">
        <f t="shared" si="0"/>
        <v>0</v>
      </c>
      <c r="M22" s="788"/>
      <c r="N22" s="789"/>
      <c r="O22" s="789"/>
      <c r="P22" s="789"/>
      <c r="Q22" s="789"/>
      <c r="R22" s="789"/>
      <c r="S22" s="789"/>
      <c r="T22" s="789"/>
      <c r="U22" s="789"/>
      <c r="V22" s="11">
        <f t="shared" si="1"/>
        <v>0</v>
      </c>
    </row>
    <row r="23" spans="2:22">
      <c r="B23" s="159" t="s">
        <v>239</v>
      </c>
      <c r="C23" s="806"/>
      <c r="D23" s="807"/>
      <c r="E23" s="799"/>
      <c r="F23" s="801"/>
      <c r="G23" s="294">
        <f t="shared" si="2"/>
        <v>0</v>
      </c>
      <c r="H23" s="297">
        <f>IFERROR(G23/(INDEX(Settings_Currency_Table[],MATCH(General_Currency_Selection,Settings_Currency,0),2)),0)</f>
        <v>0</v>
      </c>
      <c r="I23" s="789"/>
      <c r="J23" s="232"/>
      <c r="K23" s="793"/>
      <c r="L23" s="232">
        <f t="shared" si="0"/>
        <v>0</v>
      </c>
      <c r="M23" s="788"/>
      <c r="N23" s="789"/>
      <c r="O23" s="789"/>
      <c r="P23" s="789"/>
      <c r="Q23" s="789"/>
      <c r="R23" s="789"/>
      <c r="S23" s="789"/>
      <c r="T23" s="789"/>
      <c r="U23" s="789"/>
      <c r="V23" s="11">
        <f t="shared" si="1"/>
        <v>0</v>
      </c>
    </row>
    <row r="24" spans="2:22">
      <c r="B24" s="158" t="s">
        <v>240</v>
      </c>
      <c r="C24" s="806"/>
      <c r="D24" s="807"/>
      <c r="E24" s="799"/>
      <c r="F24" s="801"/>
      <c r="G24" s="294">
        <f t="shared" si="2"/>
        <v>0</v>
      </c>
      <c r="H24" s="297">
        <f>IFERROR(G24/(INDEX(Settings_Currency_Table[],MATCH(General_Currency_Selection,Settings_Currency,0),2)),0)</f>
        <v>0</v>
      </c>
      <c r="I24" s="789"/>
      <c r="J24" s="232"/>
      <c r="K24" s="793"/>
      <c r="L24" s="232">
        <f t="shared" si="0"/>
        <v>0</v>
      </c>
      <c r="M24" s="788"/>
      <c r="N24" s="789"/>
      <c r="O24" s="789"/>
      <c r="P24" s="789"/>
      <c r="Q24" s="789"/>
      <c r="R24" s="789"/>
      <c r="S24" s="789"/>
      <c r="T24" s="789"/>
      <c r="U24" s="789"/>
      <c r="V24" s="11">
        <f t="shared" si="1"/>
        <v>0</v>
      </c>
    </row>
    <row r="25" spans="2:22" ht="15" thickBot="1">
      <c r="B25" s="160" t="s">
        <v>241</v>
      </c>
      <c r="C25" s="809"/>
      <c r="D25" s="810"/>
      <c r="E25" s="802"/>
      <c r="F25" s="803"/>
      <c r="G25" s="295">
        <f t="shared" si="2"/>
        <v>0</v>
      </c>
      <c r="H25" s="332">
        <f>IFERROR(G25/(INDEX(Settings_Currency_Table[],MATCH(General_Currency_Selection,Settings_Currency,0),2)),0)</f>
        <v>0</v>
      </c>
      <c r="I25" s="791"/>
      <c r="J25" s="233"/>
      <c r="K25" s="794"/>
      <c r="L25" s="445">
        <f t="shared" si="0"/>
        <v>0</v>
      </c>
      <c r="M25" s="790"/>
      <c r="N25" s="791"/>
      <c r="O25" s="791"/>
      <c r="P25" s="791"/>
      <c r="Q25" s="791"/>
      <c r="R25" s="791"/>
      <c r="S25" s="791"/>
      <c r="T25" s="791"/>
      <c r="U25" s="791"/>
      <c r="V25" s="12">
        <f t="shared" si="1"/>
        <v>0</v>
      </c>
    </row>
    <row r="27" spans="2:22">
      <c r="B27" s="22"/>
      <c r="C27" s="22"/>
      <c r="D27" s="22"/>
      <c r="E27" s="22"/>
      <c r="F27" s="22"/>
      <c r="G27" s="22"/>
      <c r="H27" s="22"/>
      <c r="I27" s="22"/>
      <c r="J27" s="22"/>
      <c r="K27" s="22"/>
      <c r="L27" s="22"/>
      <c r="M27" s="22"/>
      <c r="N27" s="22"/>
      <c r="O27" s="22"/>
      <c r="P27" s="22"/>
      <c r="Q27" s="22"/>
      <c r="R27" s="22"/>
      <c r="S27" s="22"/>
      <c r="T27" s="22"/>
      <c r="U27" s="22"/>
      <c r="V27" s="22"/>
    </row>
    <row r="28" spans="2:22" ht="18.5">
      <c r="B28" s="22"/>
      <c r="C28" s="22"/>
      <c r="D28" s="22"/>
      <c r="E28" s="58"/>
      <c r="F28" s="22"/>
      <c r="G28" s="22"/>
      <c r="H28" s="22"/>
      <c r="I28" s="22"/>
      <c r="J28" s="22"/>
      <c r="K28" s="22"/>
      <c r="L28" s="22"/>
      <c r="M28" s="22"/>
      <c r="N28" s="22"/>
      <c r="O28" s="22"/>
      <c r="P28" s="22"/>
      <c r="Q28" s="22"/>
      <c r="R28" s="22"/>
      <c r="S28" s="22"/>
      <c r="T28" s="22"/>
      <c r="U28" s="22"/>
      <c r="V28" s="22"/>
    </row>
    <row r="29" spans="2:22" ht="18.5">
      <c r="E29" s="58"/>
      <c r="F29" s="22"/>
      <c r="G29" s="22"/>
      <c r="H29" s="22"/>
    </row>
    <row r="30" spans="2:22" ht="18.5">
      <c r="E30" s="58"/>
      <c r="F30" s="318"/>
      <c r="G30" s="22"/>
      <c r="H30" s="22"/>
    </row>
    <row r="31" spans="2:22" ht="18.5">
      <c r="E31" s="58"/>
      <c r="F31" s="22"/>
      <c r="G31" s="22"/>
      <c r="H31" s="22"/>
    </row>
    <row r="32" spans="2:22" ht="18.5">
      <c r="E32" s="58"/>
      <c r="F32" s="22"/>
      <c r="G32" s="22"/>
      <c r="H32" s="22"/>
    </row>
    <row r="33" spans="5:15" ht="18.5">
      <c r="E33" s="58"/>
      <c r="F33" s="22"/>
      <c r="G33" s="22"/>
      <c r="H33" s="22"/>
    </row>
    <row r="34" spans="5:15">
      <c r="E34" s="22"/>
      <c r="F34" s="22"/>
      <c r="G34" s="22"/>
      <c r="H34" s="22"/>
    </row>
    <row r="35" spans="5:15">
      <c r="E35" s="22"/>
      <c r="F35" s="22"/>
      <c r="G35" s="22"/>
      <c r="H35" s="22"/>
    </row>
    <row r="36" spans="5:15">
      <c r="E36" s="148"/>
      <c r="F36" s="149"/>
      <c r="G36" s="22"/>
      <c r="H36" s="22"/>
      <c r="O36" s="82"/>
    </row>
    <row r="37" spans="5:15">
      <c r="E37" s="148"/>
      <c r="F37" s="149"/>
      <c r="G37" s="22"/>
      <c r="H37" s="22"/>
    </row>
    <row r="38" spans="5:15">
      <c r="E38" s="148"/>
      <c r="F38" s="149"/>
      <c r="G38" s="22"/>
      <c r="H38" s="22"/>
    </row>
    <row r="39" spans="5:15">
      <c r="E39" s="148"/>
      <c r="F39" s="149"/>
      <c r="G39" s="22"/>
      <c r="H39" s="22"/>
    </row>
    <row r="40" spans="5:15">
      <c r="E40" s="148"/>
      <c r="F40" s="350"/>
      <c r="G40" s="22"/>
      <c r="H40" s="22"/>
    </row>
    <row r="43" spans="5:15" ht="14.5" customHeight="1"/>
    <row r="45" spans="5:15" ht="14.5" customHeight="1"/>
    <row r="46" spans="5:15" ht="29.15" customHeight="1"/>
    <row r="51" ht="30.75" customHeight="1"/>
  </sheetData>
  <sheetProtection algorithmName="SHA-512" hashValue="fPKsoWaCP8vXP1XfLL6XfjQR3GE04Jz1plxkvxqoY6z4XTy8hWx3Sy0avbWaRSjvU/XfXl3omfH8T1BklBiKwg==" saltValue="L8MC92feunVL3EcOaeGyZg==" spinCount="100000" sheet="1" objects="1" scenarios="1" selectLockedCells="1"/>
  <mergeCells count="1">
    <mergeCell ref="M3:U3"/>
  </mergeCells>
  <conditionalFormatting sqref="H5:H25">
    <cfRule type="expression" dxfId="958" priority="1">
      <formula>IF(INDIRECT("General_Currency_Selection")="CHF",TRUE)</formula>
    </cfRule>
    <cfRule type="expression" dxfId="957" priority="2">
      <formula>IF(INDIRECT("General_Currency_Selection")="EUR",TRUE)</formula>
    </cfRule>
    <cfRule type="expression" dxfId="956" priority="3">
      <formula>IF(INDIRECT("General_Currency_Selection")="USD",TRUE)</formula>
    </cfRule>
  </conditionalFormatting>
  <pageMargins left="0.7" right="0.7" top="0.75" bottom="0.75" header="0.3" footer="0.3"/>
  <pageSetup paperSize="9" orientation="portrait" horizontalDpi="1200" verticalDpi="1200"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'4.2-Settings Internal'!$B$25:$B$27</xm:f>
          </x14:formula1>
          <xm:sqref>D5:D25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F80"/>
  <sheetViews>
    <sheetView showGridLines="0" showRowColHeaders="0" zoomScale="70" zoomScaleNormal="70" workbookViewId="0">
      <selection activeCell="D18" sqref="D18"/>
    </sheetView>
  </sheetViews>
  <sheetFormatPr defaultColWidth="8.7265625" defaultRowHeight="14.5"/>
  <cols>
    <col min="1" max="1" width="0.81640625" style="15" customWidth="1"/>
    <col min="2" max="2" width="32.453125" style="15" customWidth="1"/>
    <col min="3" max="3" width="26.81640625" style="15" customWidth="1"/>
    <col min="4" max="4" width="18.54296875" style="15" customWidth="1"/>
    <col min="5" max="5" width="12.453125" style="15" bestFit="1" customWidth="1"/>
    <col min="6" max="16384" width="8.7265625" style="15"/>
  </cols>
  <sheetData>
    <row r="1" spans="2:5" ht="5.15" customHeight="1"/>
    <row r="2" spans="2:5">
      <c r="B2" s="697" t="s">
        <v>1041</v>
      </c>
      <c r="C2" s="435"/>
      <c r="D2" s="435"/>
    </row>
    <row r="3" spans="2:5">
      <c r="B3" s="16"/>
    </row>
    <row r="4" spans="2:5">
      <c r="B4" s="238" t="s">
        <v>1057</v>
      </c>
      <c r="C4" s="238" t="s">
        <v>76</v>
      </c>
      <c r="D4" s="238" t="s">
        <v>755</v>
      </c>
    </row>
    <row r="6" spans="2:5">
      <c r="B6" s="485" t="s">
        <v>1058</v>
      </c>
      <c r="C6" s="485"/>
      <c r="D6" s="485"/>
    </row>
    <row r="7" spans="2:5">
      <c r="B7" s="16"/>
      <c r="C7" s="16"/>
      <c r="D7" s="16"/>
    </row>
    <row r="8" spans="2:5">
      <c r="B8" s="276" t="s">
        <v>957</v>
      </c>
      <c r="C8" s="276" t="s">
        <v>757</v>
      </c>
      <c r="D8" s="811">
        <v>5</v>
      </c>
    </row>
    <row r="9" spans="2:5">
      <c r="B9" s="276" t="s">
        <v>958</v>
      </c>
      <c r="C9" s="276" t="s">
        <v>1055</v>
      </c>
      <c r="D9" s="812">
        <v>35450000</v>
      </c>
    </row>
    <row r="10" spans="2:5">
      <c r="B10" s="276" t="s">
        <v>959</v>
      </c>
      <c r="C10" s="276" t="s">
        <v>960</v>
      </c>
      <c r="D10" s="813">
        <v>0</v>
      </c>
    </row>
    <row r="11" spans="2:5">
      <c r="B11" s="276" t="s">
        <v>961</v>
      </c>
      <c r="C11" s="276" t="s">
        <v>962</v>
      </c>
      <c r="D11" s="811">
        <v>3</v>
      </c>
    </row>
    <row r="12" spans="2:5">
      <c r="B12" s="276" t="s">
        <v>963</v>
      </c>
      <c r="C12" s="276" t="s">
        <v>964</v>
      </c>
      <c r="D12" s="811">
        <v>1000</v>
      </c>
    </row>
    <row r="13" spans="2:5">
      <c r="B13" s="276" t="s">
        <v>965</v>
      </c>
      <c r="C13" s="276" t="s">
        <v>1054</v>
      </c>
      <c r="D13" s="814">
        <v>7550</v>
      </c>
      <c r="E13" s="691"/>
    </row>
    <row r="14" spans="2:5">
      <c r="B14" s="276" t="s">
        <v>966</v>
      </c>
      <c r="C14" s="276" t="s">
        <v>967</v>
      </c>
      <c r="D14" s="811">
        <v>0.03</v>
      </c>
    </row>
    <row r="15" spans="2:5">
      <c r="B15" s="276" t="s">
        <v>968</v>
      </c>
      <c r="C15" s="276" t="s">
        <v>1053</v>
      </c>
      <c r="D15" s="812">
        <v>330000</v>
      </c>
    </row>
    <row r="16" spans="2:5">
      <c r="B16" s="276" t="s">
        <v>969</v>
      </c>
      <c r="C16" s="276" t="s">
        <v>970</v>
      </c>
      <c r="D16" s="811">
        <v>50000</v>
      </c>
    </row>
    <row r="17" spans="2:4">
      <c r="B17" s="276" t="s">
        <v>971</v>
      </c>
      <c r="C17" s="276" t="s">
        <v>1046</v>
      </c>
      <c r="D17" s="815">
        <v>3.5000000000000003E-2</v>
      </c>
    </row>
    <row r="18" spans="2:4">
      <c r="B18" s="276" t="s">
        <v>973</v>
      </c>
      <c r="C18" s="276" t="s">
        <v>1046</v>
      </c>
      <c r="D18" s="815">
        <v>2.5000000000000001E-2</v>
      </c>
    </row>
    <row r="19" spans="2:4">
      <c r="B19" s="276" t="s">
        <v>974</v>
      </c>
      <c r="C19" s="276" t="s">
        <v>1047</v>
      </c>
      <c r="D19" s="816">
        <v>0.1</v>
      </c>
    </row>
    <row r="21" spans="2:4">
      <c r="B21" s="485" t="s">
        <v>1042</v>
      </c>
      <c r="C21" s="391"/>
      <c r="D21" s="485"/>
    </row>
    <row r="22" spans="2:4">
      <c r="B22" s="16"/>
      <c r="D22" s="16"/>
    </row>
    <row r="23" spans="2:4">
      <c r="B23" s="276" t="s">
        <v>975</v>
      </c>
      <c r="C23" s="694" t="s">
        <v>639</v>
      </c>
      <c r="D23" s="817">
        <v>0.8</v>
      </c>
    </row>
    <row r="24" spans="2:4">
      <c r="B24" s="276" t="s">
        <v>1071</v>
      </c>
      <c r="C24" s="276" t="s">
        <v>1068</v>
      </c>
      <c r="D24" s="692">
        <f>'1.0-General input'!E53</f>
        <v>4.9874999999999998</v>
      </c>
    </row>
    <row r="25" spans="2:4">
      <c r="B25" s="276" t="s">
        <v>1072</v>
      </c>
      <c r="C25" s="276" t="s">
        <v>1069</v>
      </c>
      <c r="D25" s="693">
        <v>0</v>
      </c>
    </row>
    <row r="26" spans="2:4">
      <c r="B26" s="276" t="s">
        <v>1044</v>
      </c>
      <c r="C26" s="276" t="s">
        <v>1070</v>
      </c>
      <c r="D26" s="692">
        <f>D25+D24</f>
        <v>4.9874999999999998</v>
      </c>
    </row>
    <row r="27" spans="2:4">
      <c r="B27" s="276" t="s">
        <v>1043</v>
      </c>
      <c r="C27" s="694" t="s">
        <v>1062</v>
      </c>
      <c r="D27" s="690" t="str">
        <f>IFERROR(IF(D12*D23-D26&gt;0, "OK", "Freight too heavy!"),"N/A")</f>
        <v>OK</v>
      </c>
    </row>
    <row r="29" spans="2:4">
      <c r="B29" s="485" t="s">
        <v>976</v>
      </c>
      <c r="C29" s="391"/>
      <c r="D29" s="391"/>
    </row>
    <row r="30" spans="2:4">
      <c r="B30" s="16"/>
    </row>
    <row r="31" spans="2:4">
      <c r="B31" s="238" t="s">
        <v>977</v>
      </c>
      <c r="C31" s="194" t="s">
        <v>639</v>
      </c>
      <c r="D31" s="818">
        <v>10</v>
      </c>
    </row>
    <row r="32" spans="2:4">
      <c r="B32" s="238" t="s">
        <v>978</v>
      </c>
      <c r="C32" s="15" t="s">
        <v>970</v>
      </c>
      <c r="D32" s="818">
        <v>25</v>
      </c>
    </row>
    <row r="33" spans="2:4">
      <c r="B33" s="238" t="s">
        <v>980</v>
      </c>
      <c r="C33" s="15" t="s">
        <v>970</v>
      </c>
      <c r="D33" s="818">
        <v>12</v>
      </c>
    </row>
    <row r="34" spans="2:4">
      <c r="B34" s="238" t="s">
        <v>981</v>
      </c>
      <c r="C34" s="15" t="s">
        <v>1045</v>
      </c>
      <c r="D34" s="635">
        <f>D32*2+(D31-1)*D33</f>
        <v>158</v>
      </c>
    </row>
    <row r="35" spans="2:4">
      <c r="B35" s="238" t="s">
        <v>979</v>
      </c>
      <c r="C35" s="15" t="s">
        <v>1073</v>
      </c>
      <c r="D35" s="690" t="str">
        <f>IF(D51&gt;8,"Too far away","OK")</f>
        <v>OK</v>
      </c>
    </row>
    <row r="37" spans="2:4">
      <c r="B37" s="485" t="s">
        <v>982</v>
      </c>
      <c r="C37" s="391"/>
      <c r="D37" s="391"/>
    </row>
    <row r="38" spans="2:4">
      <c r="B38" s="16"/>
    </row>
    <row r="39" spans="2:4">
      <c r="B39" s="276" t="s">
        <v>983</v>
      </c>
      <c r="C39" s="15" t="s">
        <v>984</v>
      </c>
      <c r="D39" s="811">
        <v>35</v>
      </c>
    </row>
    <row r="40" spans="2:4">
      <c r="B40" s="238" t="s">
        <v>985</v>
      </c>
      <c r="D40" s="819">
        <v>0.1</v>
      </c>
    </row>
    <row r="41" spans="2:4">
      <c r="B41" s="238" t="s">
        <v>986</v>
      </c>
      <c r="C41" s="15" t="s">
        <v>438</v>
      </c>
      <c r="D41" s="635">
        <f>($D$32*2/$D$39)*(1+D40)</f>
        <v>1.5714285714285716</v>
      </c>
    </row>
    <row r="42" spans="2:4">
      <c r="B42" s="238" t="s">
        <v>987</v>
      </c>
      <c r="C42" s="15" t="s">
        <v>438</v>
      </c>
      <c r="D42" s="635">
        <f>D33/D39*(1+D40)</f>
        <v>0.37714285714285717</v>
      </c>
    </row>
    <row r="43" spans="2:4">
      <c r="B43" s="238" t="s">
        <v>988</v>
      </c>
      <c r="C43" s="15" t="s">
        <v>438</v>
      </c>
      <c r="D43" s="635">
        <f>((D33*(D31-1))/D39)*(1+D40)</f>
        <v>3.3942857142857146</v>
      </c>
    </row>
    <row r="44" spans="2:4">
      <c r="B44" s="238" t="s">
        <v>989</v>
      </c>
      <c r="C44" s="15" t="s">
        <v>438</v>
      </c>
      <c r="D44" s="635">
        <f>D43+D41</f>
        <v>4.9657142857142862</v>
      </c>
    </row>
    <row r="45" spans="2:4">
      <c r="B45" s="238" t="s">
        <v>990</v>
      </c>
      <c r="C45" s="15" t="s">
        <v>991</v>
      </c>
      <c r="D45" s="818">
        <v>0.25</v>
      </c>
    </row>
    <row r="46" spans="2:4">
      <c r="B46" s="238" t="s">
        <v>992</v>
      </c>
      <c r="C46" s="15" t="s">
        <v>991</v>
      </c>
      <c r="D46" s="818">
        <v>0.25</v>
      </c>
    </row>
    <row r="47" spans="2:4">
      <c r="B47" s="238" t="s">
        <v>993</v>
      </c>
      <c r="C47" s="15" t="s">
        <v>991</v>
      </c>
      <c r="D47" s="635">
        <f>SUM(D45:D46)</f>
        <v>0.5</v>
      </c>
    </row>
    <row r="48" spans="2:4">
      <c r="B48" s="238" t="s">
        <v>994</v>
      </c>
      <c r="C48" s="15" t="s">
        <v>438</v>
      </c>
      <c r="D48" s="635">
        <f>D47*D31</f>
        <v>5</v>
      </c>
    </row>
    <row r="49" spans="2:6">
      <c r="B49" s="238" t="s">
        <v>995</v>
      </c>
      <c r="C49" s="15" t="s">
        <v>996</v>
      </c>
      <c r="D49" s="635">
        <f>D48+D44</f>
        <v>9.9657142857142862</v>
      </c>
    </row>
    <row r="50" spans="2:6">
      <c r="B50" s="238" t="s">
        <v>1056</v>
      </c>
      <c r="C50" s="15" t="s">
        <v>962</v>
      </c>
      <c r="D50" s="635">
        <f>('1.0-General input'!E104-D41+D42)/(D42+D47)</f>
        <v>7.7589576547231269</v>
      </c>
    </row>
    <row r="51" spans="2:6">
      <c r="B51" s="238" t="s">
        <v>1035</v>
      </c>
      <c r="C51" s="15" t="s">
        <v>962</v>
      </c>
      <c r="D51" s="635">
        <f>ROUNDUP(D31/D50,0)</f>
        <v>2</v>
      </c>
    </row>
    <row r="52" spans="2:6">
      <c r="B52" s="238" t="s">
        <v>997</v>
      </c>
      <c r="C52" s="15" t="s">
        <v>998</v>
      </c>
      <c r="D52" s="635">
        <f>D41+D43/D51+D48/D51</f>
        <v>5.7685714285714287</v>
      </c>
    </row>
    <row r="54" spans="2:6">
      <c r="B54" s="485" t="s">
        <v>1067</v>
      </c>
      <c r="C54" s="391"/>
      <c r="D54" s="391"/>
    </row>
    <row r="56" spans="2:6">
      <c r="B56" s="238" t="s">
        <v>1060</v>
      </c>
      <c r="C56" s="15" t="s">
        <v>999</v>
      </c>
      <c r="D56" s="635">
        <f>(2*D32+((D31/D51-1)*D33))*Staff_Days_Operation</f>
        <v>35770</v>
      </c>
      <c r="E56" s="346"/>
    </row>
    <row r="57" spans="2:6">
      <c r="B57" s="15" t="s">
        <v>1000</v>
      </c>
      <c r="C57" s="15" t="s">
        <v>1001</v>
      </c>
      <c r="D57" s="635">
        <f>D56*D51</f>
        <v>71540</v>
      </c>
      <c r="E57" s="33"/>
    </row>
    <row r="58" spans="2:6">
      <c r="B58" s="15" t="s">
        <v>1002</v>
      </c>
      <c r="C58" s="15" t="s">
        <v>1003</v>
      </c>
      <c r="D58" s="635">
        <f>D57*D14</f>
        <v>2146.1999999999998</v>
      </c>
    </row>
    <row r="59" spans="2:6">
      <c r="B59" s="15" t="s">
        <v>1004</v>
      </c>
      <c r="C59" s="15" t="s">
        <v>962</v>
      </c>
      <c r="D59" s="635">
        <f>QUOTIENT(D56,D16)*D51*D11</f>
        <v>0</v>
      </c>
    </row>
    <row r="60" spans="2:6">
      <c r="B60" s="238" t="s">
        <v>1005</v>
      </c>
      <c r="C60" s="15" t="s">
        <v>1006</v>
      </c>
      <c r="D60" s="635">
        <f>D52*Staff_Days_Operation</f>
        <v>2105.5285714285715</v>
      </c>
      <c r="F60" s="33"/>
    </row>
    <row r="61" spans="2:6">
      <c r="B61" s="238" t="s">
        <v>1007</v>
      </c>
      <c r="C61" s="15" t="s">
        <v>972</v>
      </c>
      <c r="D61" s="636">
        <v>1.0966294642857144</v>
      </c>
    </row>
    <row r="62" spans="2:6">
      <c r="B62" s="238" t="s">
        <v>1008</v>
      </c>
      <c r="C62" s="15" t="s">
        <v>1009</v>
      </c>
      <c r="D62" s="635">
        <v>2</v>
      </c>
    </row>
    <row r="63" spans="2:6">
      <c r="B63" s="238" t="s">
        <v>1010</v>
      </c>
      <c r="C63" s="15" t="s">
        <v>962</v>
      </c>
      <c r="D63" s="635">
        <f>D62*D51</f>
        <v>4</v>
      </c>
    </row>
    <row r="65" spans="2:5">
      <c r="B65" s="485" t="s">
        <v>1066</v>
      </c>
      <c r="C65" s="391"/>
      <c r="D65" s="391"/>
    </row>
    <row r="67" spans="2:5">
      <c r="B67" s="15" t="s">
        <v>1012</v>
      </c>
      <c r="D67" s="698">
        <f>D58*D13</f>
        <v>16203809.999999998</v>
      </c>
    </row>
    <row r="68" spans="2:5">
      <c r="B68" s="15" t="s">
        <v>1013</v>
      </c>
      <c r="D68" s="698">
        <f>D59*D15</f>
        <v>0</v>
      </c>
    </row>
    <row r="69" spans="2:5">
      <c r="B69" s="15" t="s">
        <v>1014</v>
      </c>
      <c r="D69" s="698">
        <f>$D$51*$D$9*D17</f>
        <v>2481500.0000000005</v>
      </c>
    </row>
    <row r="70" spans="2:5">
      <c r="B70" s="15" t="s">
        <v>973</v>
      </c>
      <c r="D70" s="698">
        <f>$D$51*$D$9*D18</f>
        <v>1772500</v>
      </c>
    </row>
    <row r="71" spans="2:5">
      <c r="B71" s="15" t="s">
        <v>974</v>
      </c>
      <c r="D71" s="698">
        <f>D19*D69</f>
        <v>248150.00000000006</v>
      </c>
    </row>
    <row r="73" spans="2:5">
      <c r="B73" s="485" t="s">
        <v>1011</v>
      </c>
      <c r="C73" s="391"/>
      <c r="D73" s="391"/>
    </row>
    <row r="74" spans="2:5">
      <c r="E74" s="695"/>
    </row>
    <row r="75" spans="2:5">
      <c r="B75" s="15" t="s">
        <v>1051</v>
      </c>
      <c r="D75" s="699">
        <f>SUM(D67:D71)</f>
        <v>20705960</v>
      </c>
    </row>
    <row r="76" spans="2:5">
      <c r="B76" s="15" t="s">
        <v>1052</v>
      </c>
      <c r="D76" s="637">
        <f>IFERROR(D75/(INDEX(Settings_Currency_Table[],MATCH(General_Currency_Selection,Settings_Currency,0),2)),0)</f>
        <v>1466.1972409437044</v>
      </c>
    </row>
    <row r="78" spans="2:5">
      <c r="B78" s="15" t="s">
        <v>1050</v>
      </c>
      <c r="D78" s="700">
        <f>D76+'2.3-Staff input'!H14*'2.3-Staff input'!K14+'2.2-Equipment input'!X8*'2.2-Equipment input'!G8</f>
        <v>1466.1972409437044</v>
      </c>
    </row>
    <row r="79" spans="2:5">
      <c r="B79" s="15" t="s">
        <v>1048</v>
      </c>
      <c r="D79" s="637">
        <f>D78/D57</f>
        <v>2.0494789501589381E-2</v>
      </c>
    </row>
    <row r="80" spans="2:5">
      <c r="B80" s="15" t="s">
        <v>1049</v>
      </c>
      <c r="D80" s="637">
        <f>$D$78/$D$26</f>
        <v>293.97438414911369</v>
      </c>
    </row>
  </sheetData>
  <sheetProtection algorithmName="SHA-512" hashValue="OaGufW3P0FIpa0yoWCrK4HRtTTrVlCPFBiF4G5VBLwSujbpPJuKgFiLbZnOfjYss4m0X0igfZydzym6aEB2m4g==" saltValue="fdHPWtkta3o5hHAKKLnNgw==" spinCount="100000" sheet="1" objects="1" scenarios="1" selectLockedCells="1"/>
  <conditionalFormatting sqref="D78">
    <cfRule type="expression" dxfId="946" priority="4">
      <formula>IF(INDIRECT("General_Currency_Selection")="CHF",TRUE)</formula>
    </cfRule>
    <cfRule type="expression" dxfId="945" priority="5">
      <formula>IF(INDIRECT("General_Currency_Selection")="EUR",TRUE)</formula>
    </cfRule>
    <cfRule type="expression" dxfId="944" priority="6">
      <formula>IF(INDIRECT("General_Currency_Selection")="USD",TRUE)</formula>
    </cfRule>
  </conditionalFormatting>
  <conditionalFormatting sqref="D76">
    <cfRule type="expression" dxfId="943" priority="16">
      <formula>IF(INDIRECT("General_Currency_Selection")="CHF",TRUE)</formula>
    </cfRule>
    <cfRule type="expression" dxfId="942" priority="17">
      <formula>IF(INDIRECT("General_Currency_Selection")="EUR",TRUE)</formula>
    </cfRule>
    <cfRule type="expression" dxfId="941" priority="18">
      <formula>IF(INDIRECT("General_Currency_Selection")="USD",TRUE)</formula>
    </cfRule>
  </conditionalFormatting>
  <conditionalFormatting sqref="D79">
    <cfRule type="expression" dxfId="940" priority="13">
      <formula>IF(INDIRECT("General_Currency_Selection")="CHF",TRUE)</formula>
    </cfRule>
    <cfRule type="expression" dxfId="939" priority="14">
      <formula>IF(INDIRECT("General_Currency_Selection")="EUR",TRUE)</formula>
    </cfRule>
    <cfRule type="expression" dxfId="938" priority="15">
      <formula>IF(INDIRECT("General_Currency_Selection")="USD",TRUE)</formula>
    </cfRule>
  </conditionalFormatting>
  <conditionalFormatting sqref="D80">
    <cfRule type="expression" dxfId="937" priority="10">
      <formula>IF(INDIRECT("General_Currency_Selection")="CHF",TRUE)</formula>
    </cfRule>
    <cfRule type="expression" dxfId="936" priority="11">
      <formula>IF(INDIRECT("General_Currency_Selection")="EUR",TRUE)</formula>
    </cfRule>
    <cfRule type="expression" dxfId="935" priority="12">
      <formula>IF(INDIRECT("General_Currency_Selection")="USD",TRUE)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sheetPr>
  <dimension ref="B1:AV78"/>
  <sheetViews>
    <sheetView showGridLines="0" showRowColHeaders="0" zoomScale="55" zoomScaleNormal="55" workbookViewId="0">
      <selection activeCell="V34" sqref="V34"/>
    </sheetView>
  </sheetViews>
  <sheetFormatPr defaultColWidth="8.7265625" defaultRowHeight="14.5"/>
  <cols>
    <col min="1" max="1" width="0.81640625" style="15" customWidth="1"/>
    <col min="2" max="5" width="8.7265625" style="15"/>
    <col min="6" max="6" width="10" style="15" customWidth="1"/>
    <col min="7" max="8" width="8.7265625" style="15"/>
    <col min="9" max="9" width="15.453125" style="15" bestFit="1" customWidth="1"/>
    <col min="10" max="10" width="11.81640625" style="15" bestFit="1" customWidth="1"/>
    <col min="11" max="11" width="8.7265625" style="15"/>
    <col min="12" max="12" width="13.54296875" style="15" bestFit="1" customWidth="1"/>
    <col min="13" max="15" width="8.7265625" style="15"/>
    <col min="16" max="16" width="11" style="15" bestFit="1" customWidth="1"/>
    <col min="17" max="18" width="8.7265625" style="15"/>
    <col min="19" max="19" width="11.81640625" style="15" customWidth="1"/>
    <col min="20" max="20" width="8.7265625" style="15"/>
    <col min="21" max="21" width="13.1796875" style="15" customWidth="1"/>
    <col min="22" max="22" width="12.453125" style="15" customWidth="1"/>
    <col min="23" max="30" width="8.7265625" style="15"/>
    <col min="31" max="31" width="22.7265625" style="15" customWidth="1"/>
    <col min="32" max="32" width="12.453125" style="15" customWidth="1"/>
    <col min="33" max="16384" width="8.7265625" style="15"/>
  </cols>
  <sheetData>
    <row r="1" spans="2:48" ht="5.15" customHeight="1"/>
    <row r="2" spans="2:48">
      <c r="B2" s="485" t="s">
        <v>930</v>
      </c>
      <c r="C2" s="485"/>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row>
    <row r="3" spans="2:48">
      <c r="B3" s="22"/>
      <c r="C3" s="22"/>
      <c r="D3" s="22"/>
      <c r="E3" s="22"/>
      <c r="F3" s="22"/>
      <c r="G3" s="22"/>
      <c r="H3" s="22"/>
      <c r="I3" s="22"/>
      <c r="J3" s="22"/>
      <c r="K3" s="22"/>
      <c r="L3" s="22"/>
      <c r="M3" s="22"/>
      <c r="N3" s="22"/>
      <c r="O3" s="22"/>
      <c r="P3" s="22"/>
    </row>
    <row r="4" spans="2:48">
      <c r="B4" s="22"/>
      <c r="C4" s="22"/>
      <c r="D4" s="29"/>
      <c r="E4" s="22"/>
      <c r="F4" s="22"/>
      <c r="G4" s="22"/>
      <c r="H4" s="22"/>
      <c r="I4" s="22"/>
      <c r="J4" s="22"/>
      <c r="K4" s="29"/>
      <c r="L4" s="22"/>
      <c r="M4" s="22"/>
      <c r="N4" s="22"/>
      <c r="O4" s="22"/>
      <c r="P4" s="22"/>
      <c r="X4" s="22"/>
      <c r="Y4" s="22"/>
      <c r="Z4" s="22"/>
      <c r="AA4" s="29"/>
      <c r="AB4" s="22"/>
      <c r="AC4" s="22"/>
      <c r="AE4" s="36" t="s">
        <v>297</v>
      </c>
      <c r="AF4" s="34"/>
      <c r="AG4" s="34"/>
      <c r="AH4" s="34"/>
      <c r="AI4" s="34"/>
      <c r="AJ4" s="35"/>
    </row>
    <row r="5" spans="2:48">
      <c r="B5" s="22"/>
      <c r="C5" s="22"/>
      <c r="D5" s="22"/>
      <c r="E5" s="22"/>
      <c r="F5" s="22"/>
      <c r="G5" s="22"/>
      <c r="H5" s="468"/>
      <c r="I5" s="22"/>
      <c r="J5" s="22"/>
      <c r="K5" s="22"/>
      <c r="L5" s="22"/>
      <c r="M5" s="22"/>
      <c r="N5" s="22"/>
      <c r="O5" s="468"/>
      <c r="P5" s="22"/>
      <c r="X5" s="28"/>
      <c r="Y5" s="27"/>
      <c r="Z5" s="22"/>
      <c r="AA5" s="22"/>
      <c r="AB5" s="703"/>
      <c r="AC5" s="22"/>
      <c r="AE5" s="38" t="s">
        <v>298</v>
      </c>
      <c r="AF5" s="30"/>
      <c r="AG5" s="30"/>
      <c r="AH5" s="30"/>
      <c r="AI5" s="30"/>
      <c r="AJ5" s="19"/>
    </row>
    <row r="6" spans="2:48">
      <c r="B6" s="22"/>
      <c r="C6" s="22"/>
      <c r="D6" s="22"/>
      <c r="E6" s="22"/>
      <c r="F6" s="22"/>
      <c r="G6" s="22"/>
      <c r="H6" s="23"/>
      <c r="I6" s="22"/>
      <c r="J6" s="22"/>
      <c r="K6" s="22"/>
      <c r="L6" s="33" t="e">
        <f>'1.0-General input'!#REF!</f>
        <v>#REF!</v>
      </c>
      <c r="M6" s="22" t="s">
        <v>1107</v>
      </c>
      <c r="N6" s="22"/>
      <c r="O6" s="468"/>
      <c r="P6" s="22"/>
      <c r="X6" s="28"/>
      <c r="Y6" s="22"/>
      <c r="Z6" s="22"/>
      <c r="AA6" s="22"/>
      <c r="AB6" s="468"/>
      <c r="AC6" s="22"/>
      <c r="AE6" s="450" t="s">
        <v>299</v>
      </c>
      <c r="AF6" s="30"/>
      <c r="AG6" s="30"/>
      <c r="AH6" s="30"/>
      <c r="AI6" s="472">
        <f>AB6</f>
        <v>0</v>
      </c>
      <c r="AJ6" s="451" t="s">
        <v>285</v>
      </c>
    </row>
    <row r="7" spans="2:48">
      <c r="B7" s="22"/>
      <c r="C7" s="22"/>
      <c r="D7" s="22"/>
      <c r="E7" s="22"/>
      <c r="F7" s="22"/>
      <c r="G7" s="22"/>
      <c r="H7" s="25"/>
      <c r="I7" s="22"/>
      <c r="J7" s="22"/>
      <c r="K7" s="22"/>
      <c r="M7" s="22"/>
      <c r="N7" s="22"/>
      <c r="U7" s="478" t="s">
        <v>1064</v>
      </c>
      <c r="V7" s="479"/>
      <c r="W7" s="480"/>
      <c r="X7" s="28"/>
      <c r="Y7" s="22"/>
      <c r="Z7" s="22"/>
      <c r="AE7" s="452" t="s">
        <v>554</v>
      </c>
      <c r="AF7" s="22"/>
      <c r="AG7" s="22"/>
      <c r="AH7" s="22"/>
      <c r="AI7" s="468" t="e">
        <f>AB14</f>
        <v>#REF!</v>
      </c>
      <c r="AJ7" s="24" t="s">
        <v>285</v>
      </c>
    </row>
    <row r="8" spans="2:48">
      <c r="B8" s="22"/>
      <c r="C8" s="22"/>
      <c r="D8" s="22"/>
      <c r="E8" s="22"/>
      <c r="F8" s="22"/>
      <c r="G8" s="22"/>
      <c r="H8" s="702"/>
      <c r="I8" s="22"/>
      <c r="J8" s="22"/>
      <c r="K8" s="22"/>
      <c r="L8" s="22"/>
      <c r="M8" s="22"/>
      <c r="N8" s="22"/>
      <c r="O8" s="22"/>
      <c r="P8" s="22"/>
      <c r="U8" s="452"/>
      <c r="V8" s="474"/>
      <c r="W8" s="24"/>
      <c r="AE8" s="452" t="s">
        <v>613</v>
      </c>
      <c r="AF8" s="22"/>
      <c r="AG8" s="22"/>
      <c r="AH8" s="22"/>
      <c r="AI8" s="468" t="e">
        <f>AB22</f>
        <v>#REF!</v>
      </c>
      <c r="AJ8" s="24" t="s">
        <v>285</v>
      </c>
    </row>
    <row r="9" spans="2:48">
      <c r="B9" s="22"/>
      <c r="C9" s="22"/>
      <c r="D9" s="22"/>
      <c r="E9" s="22"/>
      <c r="F9" s="22"/>
      <c r="G9" s="22"/>
      <c r="H9" s="22"/>
      <c r="I9" s="22"/>
      <c r="J9" s="22"/>
      <c r="K9" s="22"/>
      <c r="L9" s="22"/>
      <c r="M9" s="22"/>
      <c r="N9" s="22"/>
      <c r="O9" s="22"/>
      <c r="P9" s="22"/>
      <c r="U9" s="31" t="s">
        <v>247</v>
      </c>
      <c r="V9" s="469" t="e">
        <f>L6</f>
        <v>#REF!</v>
      </c>
      <c r="W9" s="453" t="s">
        <v>285</v>
      </c>
      <c r="AE9" s="452" t="s">
        <v>925</v>
      </c>
      <c r="AF9" s="22"/>
      <c r="AG9" s="22"/>
      <c r="AH9" s="22"/>
      <c r="AI9" s="468" t="e">
        <f>AB29</f>
        <v>#REF!</v>
      </c>
      <c r="AJ9" s="24" t="s">
        <v>285</v>
      </c>
    </row>
    <row r="10" spans="2:48">
      <c r="B10" s="22"/>
      <c r="C10" s="22"/>
      <c r="D10" s="22"/>
      <c r="E10" s="22"/>
      <c r="F10" s="22"/>
      <c r="G10" s="22"/>
      <c r="H10" s="22"/>
      <c r="I10" s="22"/>
      <c r="J10" s="22"/>
      <c r="K10" s="29"/>
      <c r="L10" s="22"/>
      <c r="M10" s="22"/>
      <c r="N10" s="22"/>
      <c r="O10" s="22"/>
      <c r="P10" s="22"/>
      <c r="AE10" s="459" t="s">
        <v>287</v>
      </c>
      <c r="AF10" s="465"/>
      <c r="AG10" s="465"/>
      <c r="AH10" s="465"/>
      <c r="AI10" s="465"/>
      <c r="AJ10" s="466"/>
    </row>
    <row r="11" spans="2:48">
      <c r="B11" s="22"/>
      <c r="C11" s="22"/>
      <c r="D11" s="22"/>
      <c r="E11" s="22"/>
      <c r="F11" s="22"/>
      <c r="G11" s="22"/>
      <c r="H11" s="22"/>
      <c r="I11" s="22"/>
      <c r="J11" s="22"/>
      <c r="K11" s="29"/>
      <c r="L11" s="22"/>
      <c r="M11" s="22"/>
      <c r="N11" s="22"/>
      <c r="O11" s="22"/>
      <c r="P11" s="22"/>
      <c r="AE11" s="457" t="s">
        <v>290</v>
      </c>
      <c r="AF11" s="41"/>
      <c r="AG11" s="41"/>
      <c r="AH11" s="41"/>
      <c r="AI11" s="41"/>
      <c r="AJ11" s="458"/>
      <c r="AN11" s="22"/>
      <c r="AO11" s="22"/>
      <c r="AP11" s="22"/>
      <c r="AQ11" s="22"/>
      <c r="AR11" s="22"/>
      <c r="AS11" s="22"/>
      <c r="AT11" s="22"/>
      <c r="AU11" s="22"/>
      <c r="AV11" s="22"/>
    </row>
    <row r="12" spans="2:48">
      <c r="B12" s="22"/>
      <c r="C12" s="22"/>
      <c r="D12" s="29"/>
      <c r="E12" s="22"/>
      <c r="F12" s="22"/>
      <c r="G12" s="22"/>
      <c r="H12" s="22"/>
      <c r="I12" s="22"/>
      <c r="J12" s="22"/>
      <c r="K12" s="22"/>
      <c r="L12" s="22"/>
      <c r="M12" s="22"/>
      <c r="N12" s="22"/>
      <c r="O12" s="468"/>
      <c r="P12" s="22"/>
      <c r="AA12" s="478" t="s">
        <v>554</v>
      </c>
      <c r="AB12" s="479"/>
      <c r="AC12" s="480"/>
      <c r="AE12" s="452" t="s">
        <v>100</v>
      </c>
      <c r="AF12" s="22"/>
      <c r="AG12" s="22"/>
      <c r="AH12" s="468">
        <f>'5.3-Unit P'!C39</f>
        <v>3.5156432717003846E-3</v>
      </c>
      <c r="AI12" s="22" t="s">
        <v>516</v>
      </c>
      <c r="AJ12" s="24"/>
      <c r="AN12" s="22"/>
      <c r="AO12" s="22"/>
      <c r="AP12" s="22"/>
      <c r="AQ12" s="22"/>
      <c r="AR12" s="22"/>
      <c r="AS12" s="22"/>
      <c r="AT12" s="22"/>
      <c r="AU12" s="22"/>
      <c r="AV12" s="22"/>
    </row>
    <row r="13" spans="2:48">
      <c r="B13" s="22"/>
      <c r="C13" s="22"/>
      <c r="D13" s="29"/>
      <c r="E13" s="22"/>
      <c r="F13" s="22"/>
      <c r="G13" s="22"/>
      <c r="H13" s="22"/>
      <c r="I13" s="22"/>
      <c r="J13" s="22"/>
      <c r="K13" s="22"/>
      <c r="L13" s="22"/>
      <c r="M13" s="22"/>
      <c r="N13" s="22"/>
      <c r="O13" s="468"/>
      <c r="P13" s="22"/>
      <c r="AA13" s="452" t="s">
        <v>286</v>
      </c>
      <c r="AB13" s="25">
        <f>'4.1-Settings Database'!J36</f>
        <v>0.26</v>
      </c>
      <c r="AC13" s="24"/>
      <c r="AE13" s="452" t="s">
        <v>99</v>
      </c>
      <c r="AF13" s="22"/>
      <c r="AG13" s="22"/>
      <c r="AH13" s="468">
        <f>'5.3-Unit P'!C40</f>
        <v>1.6389945322612516E-2</v>
      </c>
      <c r="AI13" s="22" t="s">
        <v>518</v>
      </c>
      <c r="AJ13" s="24"/>
      <c r="AN13" s="22"/>
      <c r="AO13" s="22"/>
      <c r="AP13" s="22"/>
      <c r="AQ13" s="22"/>
      <c r="AR13" s="22"/>
      <c r="AS13" s="22"/>
      <c r="AT13" s="22"/>
      <c r="AU13" s="22"/>
      <c r="AV13" s="22"/>
    </row>
    <row r="14" spans="2:48">
      <c r="X14" s="28"/>
      <c r="Y14" s="22"/>
      <c r="Z14" s="22"/>
      <c r="AA14" s="31" t="s">
        <v>247</v>
      </c>
      <c r="AB14" s="469" t="e">
        <f>'1.0-General input'!#REF!</f>
        <v>#REF!</v>
      </c>
      <c r="AC14" s="453" t="s">
        <v>285</v>
      </c>
      <c r="AE14" s="31" t="s">
        <v>101</v>
      </c>
      <c r="AF14" s="449"/>
      <c r="AG14" s="449"/>
      <c r="AH14" s="469">
        <f>'5.3-Unit P'!C41</f>
        <v>0</v>
      </c>
      <c r="AI14" s="449" t="s">
        <v>546</v>
      </c>
      <c r="AJ14" s="453"/>
      <c r="AN14" s="22"/>
      <c r="AO14" s="22"/>
      <c r="AP14" s="22"/>
      <c r="AQ14" s="22"/>
      <c r="AR14" s="22"/>
      <c r="AS14" s="22"/>
      <c r="AT14" s="22"/>
      <c r="AU14" s="22"/>
      <c r="AV14" s="22"/>
    </row>
    <row r="15" spans="2:48">
      <c r="AE15" s="459" t="s">
        <v>288</v>
      </c>
      <c r="AF15" s="465"/>
      <c r="AG15" s="465"/>
      <c r="AH15" s="465"/>
      <c r="AI15" s="465"/>
      <c r="AJ15" s="466"/>
      <c r="AN15" s="22"/>
      <c r="AO15" s="22"/>
      <c r="AP15" s="22"/>
      <c r="AQ15" s="22"/>
      <c r="AR15" s="22"/>
      <c r="AS15" s="22"/>
      <c r="AT15" s="22"/>
      <c r="AU15" s="22"/>
      <c r="AV15" s="22"/>
    </row>
    <row r="16" spans="2:48">
      <c r="B16" s="22"/>
      <c r="C16" s="22"/>
      <c r="D16" s="22"/>
      <c r="E16" s="22"/>
      <c r="F16" s="22"/>
      <c r="G16" s="22"/>
      <c r="H16" s="468"/>
      <c r="I16" s="22"/>
      <c r="J16" s="22"/>
      <c r="K16" s="29"/>
      <c r="L16" s="22"/>
      <c r="M16" s="22"/>
      <c r="N16" s="22"/>
      <c r="O16" s="22"/>
      <c r="P16" s="22"/>
      <c r="AE16" s="457" t="s">
        <v>4</v>
      </c>
      <c r="AG16" s="41" t="s">
        <v>289</v>
      </c>
      <c r="AH16" s="41" t="s">
        <v>119</v>
      </c>
      <c r="AI16" s="41"/>
      <c r="AJ16" s="458"/>
      <c r="AN16" s="39"/>
      <c r="AO16" s="39"/>
      <c r="AP16" s="39"/>
      <c r="AQ16" s="39"/>
      <c r="AR16" s="39"/>
      <c r="AS16" s="39"/>
      <c r="AT16" s="39"/>
      <c r="AU16" s="39"/>
      <c r="AV16" s="39"/>
    </row>
    <row r="17" spans="2:48">
      <c r="B17" s="22"/>
      <c r="C17" s="22"/>
      <c r="D17" s="39"/>
      <c r="E17" s="39"/>
      <c r="F17" s="39"/>
      <c r="G17" s="39"/>
      <c r="H17" s="39"/>
      <c r="I17" s="39"/>
      <c r="L17" s="22"/>
      <c r="M17" s="22"/>
      <c r="N17" s="26"/>
      <c r="O17" s="25"/>
      <c r="P17" s="22"/>
      <c r="AE17" s="452" t="str">
        <f>'5.3-Unit P'!C52</f>
        <v>Post-P. worker (Sanitizing)</v>
      </c>
      <c r="AG17" s="22">
        <f>'5.3-Unit P'!E52</f>
        <v>0</v>
      </c>
      <c r="AH17" s="23">
        <f>'5.3-Unit P'!F52</f>
        <v>1</v>
      </c>
      <c r="AI17" s="22"/>
      <c r="AJ17" s="24"/>
      <c r="AN17" s="22"/>
      <c r="AO17" s="22"/>
      <c r="AP17" s="22"/>
      <c r="AQ17" s="23"/>
      <c r="AR17" s="22"/>
      <c r="AS17" s="22"/>
      <c r="AT17" s="22"/>
      <c r="AU17" s="23"/>
      <c r="AV17" s="22"/>
    </row>
    <row r="18" spans="2:48">
      <c r="B18" s="22"/>
      <c r="C18" s="22"/>
      <c r="D18" s="22"/>
      <c r="E18" s="22"/>
      <c r="F18" s="22"/>
      <c r="G18" s="26"/>
      <c r="H18" s="25"/>
      <c r="K18" s="22"/>
      <c r="L18" s="22"/>
      <c r="M18" s="22"/>
      <c r="N18" s="26"/>
      <c r="O18" s="25"/>
      <c r="P18" s="22"/>
      <c r="AE18" s="452" t="str">
        <f>'5.3-Unit P'!C53</f>
        <v>Post-P. worker (Drying &amp; pressing)</v>
      </c>
      <c r="AG18" s="22">
        <f>'5.3-Unit P'!E53</f>
        <v>0</v>
      </c>
      <c r="AH18" s="23">
        <f>'5.3-Unit P'!F53</f>
        <v>1</v>
      </c>
      <c r="AI18" s="22"/>
      <c r="AJ18" s="24"/>
      <c r="AN18" s="22"/>
      <c r="AO18" s="22"/>
      <c r="AP18" s="22"/>
      <c r="AQ18" s="23"/>
      <c r="AR18" s="22"/>
      <c r="AS18" s="22"/>
      <c r="AT18" s="22"/>
      <c r="AU18" s="23"/>
      <c r="AV18" s="22"/>
    </row>
    <row r="19" spans="2:48">
      <c r="B19" s="22"/>
      <c r="C19" s="22"/>
      <c r="D19" s="22"/>
      <c r="E19" s="22"/>
      <c r="F19" s="22"/>
      <c r="G19" s="26"/>
      <c r="H19" s="25"/>
      <c r="I19" s="22"/>
      <c r="J19" s="22"/>
      <c r="K19" s="22" t="s">
        <v>1063</v>
      </c>
      <c r="L19" s="22"/>
      <c r="M19" s="22"/>
      <c r="N19" s="26"/>
      <c r="O19" s="25"/>
      <c r="P19" s="22"/>
      <c r="X19" s="28"/>
      <c r="Y19" s="22"/>
      <c r="Z19" s="22"/>
      <c r="AE19" s="452" t="str">
        <f>'5.3-Unit P'!C83</f>
        <v>Waste units manager</v>
      </c>
      <c r="AG19" s="22">
        <f>'5.3-Unit P'!E83</f>
        <v>0</v>
      </c>
      <c r="AH19" s="23">
        <f>'5.3-Unit P'!F83</f>
        <v>0.26</v>
      </c>
      <c r="AI19" s="22"/>
      <c r="AJ19" s="24"/>
      <c r="AN19" s="22"/>
      <c r="AO19" s="22"/>
      <c r="AP19" s="22"/>
      <c r="AQ19" s="23"/>
      <c r="AR19" s="22"/>
      <c r="AS19" s="22"/>
      <c r="AT19" s="22"/>
      <c r="AU19" s="23"/>
      <c r="AV19" s="22"/>
    </row>
    <row r="20" spans="2:48">
      <c r="B20" s="22"/>
      <c r="C20" s="22"/>
      <c r="D20" s="22"/>
      <c r="E20" s="22"/>
      <c r="F20" s="22"/>
      <c r="G20" s="26"/>
      <c r="H20" s="25"/>
      <c r="I20" s="22"/>
      <c r="J20" s="22"/>
      <c r="K20" s="22"/>
      <c r="L20" s="22"/>
      <c r="M20" s="22"/>
      <c r="N20" s="26"/>
      <c r="O20" s="25"/>
      <c r="P20" s="22"/>
      <c r="X20" s="28"/>
      <c r="Y20" s="22"/>
      <c r="Z20" s="22"/>
      <c r="AA20" s="478" t="s">
        <v>613</v>
      </c>
      <c r="AB20" s="479"/>
      <c r="AC20" s="480"/>
      <c r="AE20" s="31" t="str">
        <f>'5.3-Unit P'!C84</f>
        <v>Site manager</v>
      </c>
      <c r="AG20" s="449">
        <f>'5.3-Unit P'!E84</f>
        <v>0</v>
      </c>
      <c r="AH20" s="456">
        <f>'5.3-Unit P'!F84</f>
        <v>0.13</v>
      </c>
      <c r="AI20" s="449"/>
      <c r="AJ20" s="453"/>
      <c r="AN20" s="22"/>
      <c r="AO20" s="22"/>
      <c r="AP20" s="22"/>
      <c r="AQ20" s="22"/>
      <c r="AR20" s="22"/>
      <c r="AS20" s="22"/>
      <c r="AT20" s="22"/>
      <c r="AU20" s="22"/>
      <c r="AV20" s="22"/>
    </row>
    <row r="21" spans="2:48">
      <c r="B21" s="22"/>
      <c r="C21" s="22"/>
      <c r="D21" s="22"/>
      <c r="E21" s="22"/>
      <c r="F21" s="22"/>
      <c r="G21" s="26"/>
      <c r="H21" s="25"/>
      <c r="I21" s="22"/>
      <c r="J21" s="22"/>
      <c r="K21" s="22"/>
      <c r="L21" s="22"/>
      <c r="M21" s="22"/>
      <c r="N21" s="26"/>
      <c r="O21" s="25"/>
      <c r="P21" s="22"/>
      <c r="X21" s="28"/>
      <c r="Y21" s="22"/>
      <c r="Z21" s="22"/>
      <c r="AA21" s="452" t="s">
        <v>286</v>
      </c>
      <c r="AB21" s="25">
        <f>'4.1-Settings Database'!J39</f>
        <v>0.173264</v>
      </c>
      <c r="AC21" s="24"/>
      <c r="AE21" s="459" t="s">
        <v>1</v>
      </c>
      <c r="AF21" s="465"/>
      <c r="AG21" s="465"/>
      <c r="AH21" s="465"/>
      <c r="AI21" s="465"/>
      <c r="AJ21" s="466"/>
      <c r="AN21" s="22"/>
      <c r="AO21" s="39"/>
      <c r="AP21" s="39"/>
      <c r="AQ21" s="39"/>
      <c r="AR21" s="22"/>
      <c r="AS21" s="39"/>
      <c r="AT21" s="39"/>
      <c r="AU21" s="39"/>
      <c r="AV21" s="22"/>
    </row>
    <row r="22" spans="2:48">
      <c r="B22" s="22"/>
      <c r="C22" s="22"/>
      <c r="D22" s="22"/>
      <c r="E22" s="22"/>
      <c r="F22" s="22"/>
      <c r="G22" s="26"/>
      <c r="H22" s="25"/>
      <c r="I22" s="22"/>
      <c r="L22" s="22"/>
      <c r="M22" s="22"/>
      <c r="N22" s="26"/>
      <c r="O22" s="25"/>
      <c r="P22" s="22"/>
      <c r="R22" s="5"/>
      <c r="U22" s="22"/>
      <c r="V22" s="22"/>
      <c r="W22" s="22"/>
      <c r="X22" s="28"/>
      <c r="Y22" s="22"/>
      <c r="Z22" s="22"/>
      <c r="AA22" s="31" t="s">
        <v>247</v>
      </c>
      <c r="AB22" s="469" t="e">
        <f>'1.0-General input'!#REF!</f>
        <v>#REF!</v>
      </c>
      <c r="AC22" s="453" t="s">
        <v>285</v>
      </c>
      <c r="AE22" s="457" t="s">
        <v>51</v>
      </c>
      <c r="AF22" s="30"/>
      <c r="AG22" s="41" t="s">
        <v>48</v>
      </c>
      <c r="AH22" s="41" t="s">
        <v>154</v>
      </c>
      <c r="AI22" s="41"/>
      <c r="AJ22" s="458"/>
      <c r="AL22" s="22"/>
      <c r="AM22" s="22"/>
      <c r="AN22" s="22"/>
      <c r="AO22" s="22"/>
      <c r="AP22" s="22"/>
      <c r="AQ22" s="22"/>
      <c r="AR22" s="22"/>
      <c r="AS22" s="22"/>
      <c r="AT22" s="22"/>
      <c r="AU22" s="22"/>
      <c r="AV22" s="22"/>
    </row>
    <row r="23" spans="2:48">
      <c r="B23" s="22"/>
      <c r="C23" s="22"/>
      <c r="D23" s="22"/>
      <c r="E23" s="22"/>
      <c r="F23" s="22"/>
      <c r="G23" s="26"/>
      <c r="H23" s="25"/>
      <c r="I23" s="22"/>
      <c r="J23" s="22"/>
      <c r="K23" s="22"/>
      <c r="L23" s="22"/>
      <c r="M23" s="22"/>
      <c r="N23" s="26"/>
      <c r="O23" s="25"/>
      <c r="P23" s="22"/>
      <c r="Q23" s="5"/>
      <c r="X23" s="28"/>
      <c r="Y23" s="22"/>
      <c r="Z23" s="22"/>
      <c r="AE23" s="452" t="str">
        <f>'5.3-Unit P'!C110</f>
        <v>Pallets</v>
      </c>
      <c r="AF23" s="22"/>
      <c r="AG23" s="26">
        <f>'5.3-Unit P'!E110</f>
        <v>1</v>
      </c>
      <c r="AH23" s="23">
        <f>'5.3-Unit P'!M110</f>
        <v>0.13</v>
      </c>
      <c r="AI23" s="22"/>
      <c r="AJ23" s="24"/>
      <c r="AL23" s="22"/>
      <c r="AM23" s="22"/>
      <c r="AN23" s="22"/>
      <c r="AO23" s="22"/>
      <c r="AP23" s="22"/>
      <c r="AQ23" s="22"/>
      <c r="AR23" s="22"/>
      <c r="AS23" s="22"/>
      <c r="AT23" s="22"/>
      <c r="AU23" s="22"/>
      <c r="AV23" s="22"/>
    </row>
    <row r="24" spans="2:48">
      <c r="B24" s="22"/>
      <c r="C24" s="22"/>
      <c r="D24" s="22"/>
      <c r="E24" s="22"/>
      <c r="F24" s="22"/>
      <c r="G24" s="26"/>
      <c r="H24" s="25"/>
      <c r="I24" s="22"/>
      <c r="J24" s="22"/>
      <c r="K24" s="22"/>
      <c r="L24" s="22"/>
      <c r="M24" s="22"/>
      <c r="N24" s="26"/>
      <c r="O24" s="25"/>
      <c r="P24" s="22"/>
      <c r="X24" s="28"/>
      <c r="AE24" s="452" t="str">
        <f>'5.3-Unit P'!C111</f>
        <v>Pallet trolley</v>
      </c>
      <c r="AF24" s="22"/>
      <c r="AG24" s="26">
        <f>'5.3-Unit P'!E111</f>
        <v>1</v>
      </c>
      <c r="AH24" s="23">
        <f>'5.3-Unit P'!M111</f>
        <v>0.13</v>
      </c>
      <c r="AI24" s="22"/>
      <c r="AJ24" s="24"/>
      <c r="AL24" s="22"/>
      <c r="AM24" s="22"/>
      <c r="AN24" s="22"/>
      <c r="AO24" s="22"/>
      <c r="AP24" s="22"/>
      <c r="AQ24" s="22"/>
      <c r="AR24" s="22"/>
      <c r="AS24" s="22"/>
      <c r="AT24" s="22"/>
      <c r="AU24" s="22"/>
      <c r="AV24" s="22"/>
    </row>
    <row r="25" spans="2:48">
      <c r="B25" s="22"/>
      <c r="C25" s="22"/>
      <c r="D25" s="22"/>
      <c r="E25" s="22"/>
      <c r="F25" s="22"/>
      <c r="G25" s="26"/>
      <c r="H25" s="25"/>
      <c r="I25" s="22"/>
      <c r="J25" s="22"/>
      <c r="K25" s="22"/>
      <c r="L25" s="22"/>
      <c r="M25" s="22"/>
      <c r="N25" s="26"/>
      <c r="O25" s="25"/>
      <c r="P25" s="22"/>
      <c r="X25" s="28"/>
      <c r="AE25" s="452" t="str">
        <f>'5.3-Unit P'!C112</f>
        <v>High pressure cleaner</v>
      </c>
      <c r="AF25" s="22"/>
      <c r="AG25" s="26">
        <f>'5.3-Unit P'!E112</f>
        <v>1</v>
      </c>
      <c r="AH25" s="23">
        <f>'5.3-Unit P'!M112</f>
        <v>0.17</v>
      </c>
      <c r="AI25" s="22"/>
      <c r="AJ25" s="24"/>
      <c r="AL25" s="22"/>
      <c r="AM25" s="22"/>
      <c r="AN25" s="22"/>
      <c r="AO25" s="22"/>
      <c r="AP25" s="22"/>
      <c r="AQ25" s="22"/>
      <c r="AR25" s="22"/>
      <c r="AS25" s="22"/>
      <c r="AT25" s="22"/>
      <c r="AU25" s="22"/>
      <c r="AV25" s="22"/>
    </row>
    <row r="26" spans="2:48">
      <c r="B26" s="22"/>
      <c r="X26" s="28"/>
      <c r="AE26" s="452" t="str">
        <f>'5.3-Unit P'!C113</f>
        <v>Measuring balance ("heavy" duty)</v>
      </c>
      <c r="AF26" s="22"/>
      <c r="AG26" s="26">
        <f>'5.3-Unit P'!E113</f>
        <v>1</v>
      </c>
      <c r="AH26" s="23">
        <f>'5.3-Unit P'!M113</f>
        <v>0.32</v>
      </c>
      <c r="AI26" s="22"/>
      <c r="AJ26" s="24"/>
      <c r="AL26" s="22"/>
      <c r="AM26" s="22"/>
      <c r="AN26" s="22"/>
      <c r="AO26" s="22"/>
      <c r="AP26" s="22"/>
      <c r="AQ26" s="22"/>
      <c r="AR26" s="22"/>
      <c r="AS26" s="22"/>
      <c r="AT26" s="22"/>
      <c r="AU26" s="22"/>
      <c r="AV26" s="22"/>
    </row>
    <row r="27" spans="2:48">
      <c r="B27" s="22"/>
      <c r="X27" s="22"/>
      <c r="AA27" s="478" t="s">
        <v>925</v>
      </c>
      <c r="AB27" s="479"/>
      <c r="AC27" s="480"/>
      <c r="AE27" s="452" t="str">
        <f>'5.3-Unit P'!C114</f>
        <v>Measuring balance (nursery)</v>
      </c>
      <c r="AF27" s="22"/>
      <c r="AG27" s="26">
        <f>'5.3-Unit P'!E114</f>
        <v>1</v>
      </c>
      <c r="AH27" s="23">
        <f>'5.3-Unit P'!M114</f>
        <v>0.25</v>
      </c>
      <c r="AI27" s="22"/>
      <c r="AJ27" s="24"/>
      <c r="AL27" s="39"/>
      <c r="AM27" s="39"/>
      <c r="AN27" s="22"/>
      <c r="AO27" s="22"/>
      <c r="AP27" s="22"/>
      <c r="AQ27" s="22"/>
      <c r="AR27" s="22"/>
      <c r="AS27" s="22"/>
      <c r="AT27" s="22"/>
      <c r="AU27" s="22"/>
      <c r="AV27" s="22"/>
    </row>
    <row r="28" spans="2:48">
      <c r="B28" s="22"/>
      <c r="U28" s="22"/>
      <c r="V28" s="22"/>
      <c r="W28" s="22"/>
      <c r="X28" s="22"/>
      <c r="Y28" s="22"/>
      <c r="Z28" s="22"/>
      <c r="AA28" s="452" t="s">
        <v>286</v>
      </c>
      <c r="AB28" s="25">
        <f>'4.1-Settings Database'!J38</f>
        <v>7.0200000000000012E-2</v>
      </c>
      <c r="AC28" s="24"/>
      <c r="AE28" s="452">
        <f>'5.3-Unit P'!C115</f>
        <v>0</v>
      </c>
      <c r="AF28" s="22"/>
      <c r="AG28" s="26">
        <f>'5.3-Unit P'!E115</f>
        <v>0</v>
      </c>
      <c r="AH28" s="23">
        <f>'5.3-Unit P'!M115</f>
        <v>1</v>
      </c>
      <c r="AI28" s="22"/>
      <c r="AJ28" s="24"/>
      <c r="AL28" s="22"/>
      <c r="AM28" s="23"/>
      <c r="AN28" s="22"/>
      <c r="AO28" s="22"/>
      <c r="AP28" s="22"/>
      <c r="AQ28" s="22"/>
      <c r="AR28" s="22"/>
      <c r="AS28" s="22"/>
      <c r="AT28" s="22"/>
      <c r="AU28" s="22"/>
      <c r="AV28" s="22"/>
    </row>
    <row r="29" spans="2:48">
      <c r="B29" s="22"/>
      <c r="H29" s="475" t="s">
        <v>932</v>
      </c>
      <c r="I29" s="476"/>
      <c r="J29" s="476"/>
      <c r="K29" s="476"/>
      <c r="L29" s="476"/>
      <c r="M29" s="477"/>
      <c r="X29" s="22"/>
      <c r="Y29" s="22"/>
      <c r="Z29" s="22"/>
      <c r="AA29" s="31" t="s">
        <v>247</v>
      </c>
      <c r="AB29" s="469" t="e">
        <f>'1.0-General input'!#REF!</f>
        <v>#REF!</v>
      </c>
      <c r="AC29" s="453" t="s">
        <v>285</v>
      </c>
      <c r="AE29" s="452">
        <f>'5.3-Unit P'!C116</f>
        <v>0</v>
      </c>
      <c r="AF29" s="22"/>
      <c r="AG29" s="26">
        <f>'5.3-Unit P'!E116</f>
        <v>0</v>
      </c>
      <c r="AH29" s="23">
        <f>'5.3-Unit P'!M116</f>
        <v>1</v>
      </c>
      <c r="AI29" s="22"/>
      <c r="AJ29" s="24"/>
      <c r="AL29" s="22"/>
      <c r="AM29" s="23"/>
      <c r="AN29" s="22"/>
      <c r="AO29" s="22"/>
      <c r="AP29" s="22"/>
      <c r="AQ29" s="22"/>
      <c r="AR29" s="22"/>
      <c r="AS29" s="22"/>
      <c r="AT29" s="22"/>
      <c r="AU29" s="22"/>
      <c r="AV29" s="22"/>
    </row>
    <row r="30" spans="2:48">
      <c r="B30" s="22"/>
      <c r="H30" s="184" t="s">
        <v>1108</v>
      </c>
      <c r="I30" s="185"/>
      <c r="J30" s="185"/>
      <c r="K30" s="185"/>
      <c r="L30" s="186">
        <f>'1.0-General input'!E15</f>
        <v>1.825</v>
      </c>
      <c r="M30" s="187" t="s">
        <v>285</v>
      </c>
      <c r="AE30" s="452">
        <f>'5.3-Unit P'!C117</f>
        <v>0</v>
      </c>
      <c r="AF30" s="22"/>
      <c r="AG30" s="26">
        <f>'5.3-Unit P'!E117</f>
        <v>0</v>
      </c>
      <c r="AH30" s="23">
        <f>'5.3-Unit P'!M117</f>
        <v>1</v>
      </c>
      <c r="AI30" s="22"/>
      <c r="AJ30" s="24"/>
      <c r="AL30" s="22"/>
      <c r="AM30" s="23"/>
      <c r="AN30" s="22"/>
      <c r="AO30" s="22"/>
      <c r="AP30" s="22"/>
      <c r="AQ30" s="22"/>
      <c r="AR30" s="22"/>
      <c r="AS30" s="22"/>
      <c r="AT30" s="22"/>
      <c r="AU30" s="22"/>
      <c r="AV30" s="22"/>
    </row>
    <row r="31" spans="2:48">
      <c r="B31" s="22"/>
      <c r="E31" s="22"/>
      <c r="AE31" s="452">
        <f>'5.3-Unit P'!C118</f>
        <v>0</v>
      </c>
      <c r="AF31" s="22"/>
      <c r="AG31" s="26">
        <f>'5.3-Unit P'!E118</f>
        <v>0</v>
      </c>
      <c r="AH31" s="23">
        <f>'5.3-Unit P'!M118</f>
        <v>1</v>
      </c>
      <c r="AI31" s="22"/>
      <c r="AJ31" s="24"/>
      <c r="AL31" s="22"/>
      <c r="AM31" s="22"/>
      <c r="AN31" s="22"/>
      <c r="AO31" s="22"/>
      <c r="AP31" s="22"/>
      <c r="AQ31" s="22"/>
      <c r="AR31" s="22"/>
      <c r="AS31" s="22"/>
      <c r="AT31" s="22"/>
      <c r="AU31" s="22"/>
      <c r="AV31" s="22"/>
    </row>
    <row r="32" spans="2:48">
      <c r="B32" s="22"/>
      <c r="E32" s="22"/>
      <c r="AE32" s="452">
        <f>'5.3-Unit P'!C119</f>
        <v>0</v>
      </c>
      <c r="AF32" s="22"/>
      <c r="AG32" s="26">
        <f>'5.3-Unit P'!E119</f>
        <v>0</v>
      </c>
      <c r="AH32" s="23">
        <f>'5.3-Unit P'!M119</f>
        <v>1</v>
      </c>
      <c r="AI32" s="22"/>
      <c r="AJ32" s="24"/>
      <c r="AL32" s="39"/>
      <c r="AM32" s="39"/>
      <c r="AN32" s="22"/>
      <c r="AO32" s="22"/>
      <c r="AP32" s="22"/>
      <c r="AQ32" s="22"/>
      <c r="AR32" s="22"/>
      <c r="AS32" s="22"/>
      <c r="AT32" s="22"/>
      <c r="AU32" s="22"/>
      <c r="AV32" s="22"/>
    </row>
    <row r="33" spans="2:48">
      <c r="AE33" s="452">
        <f>'5.3-Unit P'!C120</f>
        <v>0</v>
      </c>
      <c r="AF33" s="22"/>
      <c r="AG33" s="26">
        <f>'5.3-Unit P'!E120</f>
        <v>0</v>
      </c>
      <c r="AH33" s="23">
        <f>'5.3-Unit P'!M120</f>
        <v>1</v>
      </c>
      <c r="AI33" s="22"/>
      <c r="AJ33" s="24"/>
      <c r="AL33" s="22"/>
      <c r="AM33" s="22"/>
      <c r="AN33" s="22"/>
      <c r="AO33" s="22"/>
      <c r="AP33" s="22"/>
      <c r="AQ33" s="22"/>
      <c r="AR33" s="22"/>
      <c r="AS33" s="22"/>
      <c r="AT33" s="22"/>
      <c r="AU33" s="22"/>
      <c r="AV33" s="22"/>
    </row>
    <row r="34" spans="2:48">
      <c r="C34" s="36" t="s">
        <v>543</v>
      </c>
      <c r="D34" s="34"/>
      <c r="E34" s="34"/>
      <c r="F34" s="34"/>
      <c r="G34" s="34"/>
      <c r="H34" s="35"/>
      <c r="J34" s="22"/>
      <c r="M34" s="36" t="s">
        <v>542</v>
      </c>
      <c r="N34" s="34"/>
      <c r="O34" s="34"/>
      <c r="P34" s="34"/>
      <c r="Q34" s="34"/>
      <c r="R34" s="35"/>
      <c r="AE34" s="452">
        <f>'5.3-Unit P'!C121</f>
        <v>0</v>
      </c>
      <c r="AF34" s="22"/>
      <c r="AG34" s="26">
        <f>'5.3-Unit P'!E121</f>
        <v>0</v>
      </c>
      <c r="AH34" s="23">
        <f>'5.3-Unit P'!M121</f>
        <v>1</v>
      </c>
      <c r="AI34" s="22"/>
      <c r="AJ34" s="24"/>
      <c r="AL34" s="22"/>
      <c r="AM34" s="22"/>
      <c r="AN34" s="22"/>
      <c r="AO34" s="22"/>
      <c r="AP34" s="22"/>
      <c r="AQ34" s="22"/>
      <c r="AR34" s="22"/>
      <c r="AS34" s="22"/>
      <c r="AT34" s="22"/>
      <c r="AU34" s="22"/>
      <c r="AV34" s="22"/>
    </row>
    <row r="35" spans="2:48">
      <c r="B35" s="22"/>
      <c r="C35" s="38" t="s">
        <v>291</v>
      </c>
      <c r="D35" s="30"/>
      <c r="E35" s="30"/>
      <c r="F35" s="30"/>
      <c r="G35" s="30"/>
      <c r="H35" s="19"/>
      <c r="J35" s="22"/>
      <c r="M35" s="38" t="s">
        <v>291</v>
      </c>
      <c r="N35" s="30"/>
      <c r="O35" s="30"/>
      <c r="P35" s="30"/>
      <c r="Q35" s="30"/>
      <c r="R35" s="19"/>
      <c r="X35" s="22"/>
      <c r="Y35" s="22"/>
      <c r="Z35" s="22"/>
      <c r="AE35" s="452">
        <f>'5.3-Unit P'!C122</f>
        <v>0</v>
      </c>
      <c r="AF35" s="22"/>
      <c r="AG35" s="26">
        <f>'5.3-Unit P'!E122</f>
        <v>0</v>
      </c>
      <c r="AH35" s="23">
        <f>'5.3-Unit P'!M122</f>
        <v>1</v>
      </c>
      <c r="AI35" s="22"/>
      <c r="AJ35" s="24"/>
      <c r="AL35" s="22"/>
      <c r="AM35" s="22"/>
      <c r="AN35" s="22"/>
      <c r="AO35" s="22"/>
      <c r="AP35" s="22"/>
      <c r="AQ35" s="22"/>
      <c r="AR35" s="22"/>
      <c r="AS35" s="22"/>
      <c r="AT35" s="22"/>
      <c r="AU35" s="22"/>
      <c r="AV35" s="22"/>
    </row>
    <row r="36" spans="2:48">
      <c r="B36" s="22"/>
      <c r="C36" s="450" t="s">
        <v>926</v>
      </c>
      <c r="D36" s="30"/>
      <c r="E36" s="30"/>
      <c r="F36" s="30"/>
      <c r="G36" s="473">
        <f>L30</f>
        <v>1.825</v>
      </c>
      <c r="H36" s="451" t="s">
        <v>285</v>
      </c>
      <c r="M36" s="450" t="s">
        <v>928</v>
      </c>
      <c r="N36" s="30"/>
      <c r="O36" s="30"/>
      <c r="P36" s="30"/>
      <c r="Q36" s="473">
        <f>'5.3-Unit N (17DOL-Egg)'!C13</f>
        <v>0</v>
      </c>
      <c r="R36" s="451" t="s">
        <v>285</v>
      </c>
      <c r="X36" s="22"/>
      <c r="Y36" s="22"/>
      <c r="Z36" s="22"/>
      <c r="AA36" s="29"/>
      <c r="AB36" s="22"/>
      <c r="AC36" s="22"/>
      <c r="AE36" s="452">
        <f>'5.3-Unit P'!C123</f>
        <v>0</v>
      </c>
      <c r="AF36" s="22"/>
      <c r="AG36" s="26">
        <f>'5.3-Unit P'!E123</f>
        <v>0</v>
      </c>
      <c r="AH36" s="23">
        <f>'5.3-Unit P'!M123</f>
        <v>1</v>
      </c>
      <c r="AI36" s="22"/>
      <c r="AJ36" s="24"/>
      <c r="AL36" s="22"/>
      <c r="AM36" s="22"/>
      <c r="AN36" s="22"/>
      <c r="AO36" s="22"/>
      <c r="AP36" s="22"/>
      <c r="AQ36" s="22"/>
      <c r="AR36" s="22"/>
      <c r="AS36" s="22"/>
      <c r="AT36" s="22"/>
      <c r="AU36" s="22"/>
      <c r="AV36" s="22"/>
    </row>
    <row r="37" spans="2:48">
      <c r="B37" s="22"/>
      <c r="C37" s="31" t="s">
        <v>927</v>
      </c>
      <c r="D37" s="449"/>
      <c r="E37" s="449"/>
      <c r="F37" s="449"/>
      <c r="G37" s="471">
        <f>'1.0-General input'!C53</f>
        <v>1.8204374999999999</v>
      </c>
      <c r="H37" s="453" t="s">
        <v>285</v>
      </c>
      <c r="M37" s="31" t="s">
        <v>929</v>
      </c>
      <c r="N37" s="449"/>
      <c r="O37" s="449"/>
      <c r="P37" s="449"/>
      <c r="Q37" s="471">
        <f>'1.0-General input'!C52</f>
        <v>0</v>
      </c>
      <c r="R37" s="453" t="s">
        <v>285</v>
      </c>
      <c r="X37" s="22"/>
      <c r="Y37" s="22"/>
      <c r="Z37" s="22"/>
      <c r="AA37" s="22"/>
      <c r="AB37" s="25"/>
      <c r="AC37" s="22"/>
      <c r="AE37" s="452" t="str">
        <f>'5.3-Unit P'!C124</f>
        <v>N/A</v>
      </c>
      <c r="AF37" s="22"/>
      <c r="AG37" s="26" t="str">
        <f>'5.3-Unit P'!E124</f>
        <v>N/A</v>
      </c>
      <c r="AH37" s="22"/>
      <c r="AI37" s="22"/>
      <c r="AJ37" s="24"/>
      <c r="AL37" s="22"/>
      <c r="AM37" s="22"/>
      <c r="AN37" s="22"/>
      <c r="AO37" s="22"/>
      <c r="AP37" s="22"/>
      <c r="AQ37" s="22"/>
      <c r="AR37" s="22"/>
      <c r="AS37" s="22"/>
      <c r="AT37" s="22"/>
      <c r="AU37" s="22"/>
      <c r="AV37" s="22"/>
    </row>
    <row r="38" spans="2:48">
      <c r="B38" s="22"/>
      <c r="C38" s="459" t="s">
        <v>923</v>
      </c>
      <c r="D38" s="460"/>
      <c r="E38" s="460"/>
      <c r="F38" s="460"/>
      <c r="G38" s="460"/>
      <c r="H38" s="461"/>
      <c r="M38" s="459" t="s">
        <v>923</v>
      </c>
      <c r="N38" s="460"/>
      <c r="O38" s="460"/>
      <c r="P38" s="460"/>
      <c r="Q38" s="460"/>
      <c r="R38" s="461"/>
      <c r="X38" s="22"/>
      <c r="Y38" s="22"/>
      <c r="Z38" s="22"/>
      <c r="AA38" s="22"/>
      <c r="AB38" s="468"/>
      <c r="AC38" s="22"/>
      <c r="AE38" s="31" t="str">
        <f>'5.3-Unit P'!C125</f>
        <v>N/A</v>
      </c>
      <c r="AF38" s="449"/>
      <c r="AG38" s="454" t="str">
        <f>'5.3-Unit P'!E125</f>
        <v>N/A</v>
      </c>
      <c r="AH38" s="449"/>
      <c r="AI38" s="449"/>
      <c r="AJ38" s="453"/>
      <c r="AL38" s="22"/>
      <c r="AM38" s="22"/>
      <c r="AN38" s="22"/>
      <c r="AO38" s="22"/>
      <c r="AP38" s="22"/>
      <c r="AQ38" s="22"/>
      <c r="AR38" s="22"/>
      <c r="AS38" s="22"/>
      <c r="AT38" s="22"/>
      <c r="AU38" s="22"/>
      <c r="AV38" s="22"/>
    </row>
    <row r="39" spans="2:48">
      <c r="B39" s="22"/>
      <c r="C39" s="457" t="s">
        <v>296</v>
      </c>
      <c r="D39" s="30"/>
      <c r="E39" s="41" t="s">
        <v>924</v>
      </c>
      <c r="F39" s="30"/>
      <c r="G39" s="30"/>
      <c r="H39" s="451"/>
      <c r="M39" s="457" t="s">
        <v>296</v>
      </c>
      <c r="N39" s="30"/>
      <c r="O39" s="41" t="s">
        <v>190</v>
      </c>
      <c r="P39" s="30"/>
      <c r="Q39" s="30"/>
      <c r="R39" s="451"/>
      <c r="AL39" s="22"/>
      <c r="AM39" s="22"/>
      <c r="AN39" s="22"/>
      <c r="AO39" s="22"/>
      <c r="AP39" s="22"/>
      <c r="AQ39" s="22"/>
      <c r="AR39" s="22"/>
      <c r="AS39" s="22"/>
      <c r="AT39" s="22"/>
      <c r="AU39" s="22"/>
      <c r="AV39" s="22"/>
    </row>
    <row r="40" spans="2:48">
      <c r="B40" s="22"/>
      <c r="C40" s="452" t="str">
        <f>'5.3-Unit N (Egg-5DOL)'!C20</f>
        <v>Cocopeat</v>
      </c>
      <c r="D40" s="22"/>
      <c r="E40" s="462">
        <f>'5.3-Unit N (Egg-5DOL)'!D20</f>
        <v>4.4279999999999996E-3</v>
      </c>
      <c r="F40" s="462"/>
      <c r="G40" s="22"/>
      <c r="H40" s="24"/>
      <c r="M40" s="452" t="str">
        <f>'5.3-Unit N (17DOL-Egg)'!C20</f>
        <v>Cocopeat</v>
      </c>
      <c r="N40" s="22"/>
      <c r="O40" s="27">
        <f>'5.3-Unit N (17DOL-Egg)'!D20</f>
        <v>3.15</v>
      </c>
      <c r="P40" s="22"/>
      <c r="Q40" s="22"/>
      <c r="R40" s="24"/>
      <c r="AL40" s="22"/>
      <c r="AM40" s="22"/>
      <c r="AN40" s="22"/>
      <c r="AO40" s="22"/>
      <c r="AP40" s="22"/>
      <c r="AQ40" s="22"/>
      <c r="AR40" s="22"/>
      <c r="AS40" s="22"/>
      <c r="AT40" s="22"/>
      <c r="AU40" s="22"/>
      <c r="AV40" s="22"/>
    </row>
    <row r="41" spans="2:48">
      <c r="C41" s="452" t="str">
        <f>'5.3-Unit N (Egg-5DOL)'!C21</f>
        <v>Chicken feed</v>
      </c>
      <c r="D41" s="22"/>
      <c r="E41" s="462">
        <f>'5.3-Unit N (Egg-5DOL)'!D21</f>
        <v>1.897</v>
      </c>
      <c r="F41" s="22"/>
      <c r="G41" s="22"/>
      <c r="H41" s="24"/>
      <c r="M41" s="452" t="str">
        <f>'5.3-Unit N (17DOL-Egg)'!C21</f>
        <v>Chicken feed</v>
      </c>
      <c r="N41" s="22"/>
      <c r="O41" s="27">
        <f>'5.3-Unit N (17DOL-Egg)'!D21</f>
        <v>10.6</v>
      </c>
      <c r="P41" s="22"/>
      <c r="Q41" s="22"/>
      <c r="R41" s="24"/>
      <c r="X41" s="22"/>
      <c r="Y41" s="22"/>
      <c r="Z41" s="22"/>
      <c r="AA41" s="22"/>
      <c r="AB41" s="22"/>
      <c r="AC41" s="22"/>
      <c r="AD41" s="22"/>
      <c r="AL41" s="22"/>
      <c r="AM41" s="22"/>
      <c r="AN41" s="22"/>
      <c r="AO41" s="22"/>
      <c r="AP41" s="22"/>
      <c r="AQ41" s="22"/>
      <c r="AR41" s="22"/>
      <c r="AS41" s="22"/>
      <c r="AT41" s="22"/>
      <c r="AU41" s="22"/>
      <c r="AV41" s="22"/>
    </row>
    <row r="42" spans="2:48">
      <c r="C42" s="452" t="str">
        <f>'5.3-Unit N (Egg-5DOL)'!C22</f>
        <v>Fruit water</v>
      </c>
      <c r="D42" s="22"/>
      <c r="E42" s="462">
        <f>'5.3-Unit N (Egg-5DOL)'!D22</f>
        <v>175.536</v>
      </c>
      <c r="F42" s="22"/>
      <c r="G42" s="22"/>
      <c r="H42" s="24"/>
      <c r="M42" s="452" t="str">
        <f>'5.3-Unit N (17DOL-Egg)'!C22</f>
        <v>Fruit water</v>
      </c>
      <c r="N42" s="22"/>
      <c r="O42" s="27">
        <f>'5.3-Unit N (17DOL-Egg)'!D22</f>
        <v>58.58</v>
      </c>
      <c r="P42" s="22"/>
      <c r="Q42" s="22"/>
      <c r="R42" s="24"/>
      <c r="X42" s="29"/>
      <c r="Y42" s="22"/>
      <c r="Z42" s="22"/>
      <c r="AA42" s="22"/>
      <c r="AB42" s="22"/>
      <c r="AC42" s="22"/>
      <c r="AD42" s="22"/>
      <c r="AL42" s="22"/>
      <c r="AM42" s="22"/>
    </row>
    <row r="43" spans="2:48">
      <c r="C43" s="452" t="str">
        <f>'5.3-Unit N (Egg-5DOL)'!C23</f>
        <v>N/A</v>
      </c>
      <c r="D43" s="22"/>
      <c r="E43" s="22" t="str">
        <f>'5.3-Unit N (Egg-5DOL)'!D23</f>
        <v>N/A</v>
      </c>
      <c r="F43" s="22"/>
      <c r="G43" s="22"/>
      <c r="H43" s="24"/>
      <c r="M43" s="452" t="str">
        <f>'5.3-Unit N (17DOL-Egg)'!C23</f>
        <v>Compost</v>
      </c>
      <c r="N43" s="22"/>
      <c r="O43" s="27">
        <f>'5.3-Unit N (17DOL-Egg)'!D23</f>
        <v>670.11898258121096</v>
      </c>
      <c r="P43" s="22"/>
      <c r="Q43" s="22"/>
      <c r="R43" s="24"/>
      <c r="X43" s="29"/>
      <c r="Y43" s="22"/>
      <c r="Z43" s="22"/>
      <c r="AA43" s="22"/>
      <c r="AB43" s="22"/>
      <c r="AC43" s="22"/>
      <c r="AD43" s="22"/>
      <c r="AL43" s="22"/>
      <c r="AM43" s="22"/>
    </row>
    <row r="44" spans="2:48">
      <c r="C44" s="31" t="str">
        <f>'5.3-Unit N (Egg-5DOL)'!C24</f>
        <v>N/A</v>
      </c>
      <c r="D44" s="449"/>
      <c r="E44" s="449" t="str">
        <f>'5.3-Unit N (Egg-5DOL)'!D24</f>
        <v>N/A</v>
      </c>
      <c r="F44" s="449"/>
      <c r="G44" s="449"/>
      <c r="H44" s="453"/>
      <c r="M44" s="31" t="str">
        <f>'5.3-Unit N (17DOL-Egg)'!C24</f>
        <v>N/A</v>
      </c>
      <c r="N44" s="449"/>
      <c r="O44" s="463" t="str">
        <f>'5.3-Unit N (17DOL-Egg)'!D24</f>
        <v>N/A</v>
      </c>
      <c r="P44" s="449"/>
      <c r="Q44" s="449"/>
      <c r="R44" s="453"/>
      <c r="X44" s="22"/>
      <c r="Y44" s="22"/>
      <c r="Z44" s="22"/>
      <c r="AA44" s="22"/>
      <c r="AB44" s="27"/>
      <c r="AC44" s="22"/>
      <c r="AD44" s="22"/>
      <c r="AL44" s="22"/>
      <c r="AM44" s="22"/>
    </row>
    <row r="45" spans="2:48">
      <c r="C45" s="464" t="s">
        <v>287</v>
      </c>
      <c r="D45" s="30"/>
      <c r="E45" s="30"/>
      <c r="F45" s="30"/>
      <c r="G45" s="30"/>
      <c r="H45" s="451"/>
      <c r="M45" s="464" t="s">
        <v>287</v>
      </c>
      <c r="N45" s="30"/>
      <c r="O45" s="30"/>
      <c r="P45" s="30"/>
      <c r="Q45" s="30"/>
      <c r="R45" s="451"/>
      <c r="X45" s="29"/>
      <c r="Y45" s="22"/>
      <c r="Z45" s="22"/>
      <c r="AA45" s="22"/>
      <c r="AB45" s="22"/>
      <c r="AC45" s="22"/>
      <c r="AD45" s="22"/>
      <c r="AL45" s="22"/>
      <c r="AM45" s="22"/>
    </row>
    <row r="46" spans="2:48">
      <c r="C46" s="457" t="s">
        <v>290</v>
      </c>
      <c r="D46" s="41"/>
      <c r="E46" s="41"/>
      <c r="F46" s="30"/>
      <c r="G46" s="41"/>
      <c r="H46" s="451"/>
      <c r="M46" s="457" t="s">
        <v>290</v>
      </c>
      <c r="N46" s="41"/>
      <c r="O46" s="41"/>
      <c r="P46" s="41"/>
      <c r="Q46" s="41"/>
      <c r="R46" s="451"/>
      <c r="X46" s="39"/>
      <c r="Y46" s="39"/>
      <c r="Z46" s="39"/>
      <c r="AA46" s="39"/>
      <c r="AB46" s="39"/>
      <c r="AC46" s="22"/>
      <c r="AD46" s="22"/>
      <c r="AL46" s="22"/>
      <c r="AM46" s="22"/>
    </row>
    <row r="47" spans="2:48">
      <c r="C47" s="452" t="str">
        <f>'5.3-Unit N (Egg-5DOL)'!B39</f>
        <v>Water</v>
      </c>
      <c r="D47" s="22"/>
      <c r="E47" s="27">
        <f>'5.3-Unit N (Egg-5DOL)'!C39</f>
        <v>2.0680254539414025E-3</v>
      </c>
      <c r="F47" s="22" t="str">
        <f>'5.3-Unit N (Egg-5DOL)'!D39</f>
        <v>m3/d</v>
      </c>
      <c r="G47" s="27"/>
      <c r="H47" s="24"/>
      <c r="M47" s="452" t="str">
        <f>'5.3-Unit N (17DOL-Egg)'!B39</f>
        <v>Water</v>
      </c>
      <c r="N47" s="22"/>
      <c r="O47" s="27">
        <f>'5.3-Unit N (17DOL-Egg)'!C39</f>
        <v>2.6884330901238234E-3</v>
      </c>
      <c r="P47" s="27" t="str">
        <f>'5.3-Unit N (17DOL-Egg)'!D39</f>
        <v>m3/d</v>
      </c>
      <c r="Q47" s="27"/>
      <c r="R47" s="24"/>
      <c r="X47" s="22"/>
      <c r="Y47" s="22"/>
      <c r="Z47" s="22"/>
      <c r="AA47" s="27"/>
      <c r="AB47" s="22"/>
      <c r="AC47" s="22"/>
      <c r="AD47" s="22"/>
      <c r="AL47" s="22"/>
      <c r="AM47" s="22"/>
    </row>
    <row r="48" spans="2:48">
      <c r="C48" s="452" t="str">
        <f>'5.3-Unit N (Egg-5DOL)'!B40</f>
        <v>Electricity</v>
      </c>
      <c r="D48" s="22"/>
      <c r="E48" s="27">
        <f>'5.3-Unit N (Egg-5DOL)'!C40</f>
        <v>0.50038333180741912</v>
      </c>
      <c r="F48" s="22" t="str">
        <f>'5.3-Unit N (Egg-5DOL)'!D40</f>
        <v>kWh/d</v>
      </c>
      <c r="G48" s="27"/>
      <c r="H48" s="24"/>
      <c r="M48" s="452" t="str">
        <f>'5.3-Unit N (17DOL-Egg)'!B40</f>
        <v>Electricity</v>
      </c>
      <c r="N48" s="22"/>
      <c r="O48" s="27">
        <f>'5.3-Unit N (17DOL-Egg)'!C40</f>
        <v>2.7782756750996449</v>
      </c>
      <c r="P48" s="27" t="str">
        <f>'5.3-Unit N (17DOL-Egg)'!D40</f>
        <v>kWh/d</v>
      </c>
      <c r="Q48" s="27"/>
      <c r="R48" s="24"/>
      <c r="X48" s="22"/>
      <c r="Y48" s="22"/>
      <c r="Z48" s="22"/>
      <c r="AA48" s="27"/>
      <c r="AB48" s="22"/>
      <c r="AC48" s="22"/>
      <c r="AD48" s="22"/>
      <c r="AL48" s="22"/>
      <c r="AM48" s="22"/>
    </row>
    <row r="49" spans="3:47">
      <c r="C49" s="31" t="str">
        <f>'5.3-Unit N (Egg-5DOL)'!B41</f>
        <v>Fuel</v>
      </c>
      <c r="D49" s="449"/>
      <c r="E49" s="463">
        <f>'5.3-Unit N (Egg-5DOL)'!C41</f>
        <v>0</v>
      </c>
      <c r="F49" s="449" t="str">
        <f>'5.3-Unit N (Egg-5DOL)'!D41</f>
        <v>L/d</v>
      </c>
      <c r="G49" s="449"/>
      <c r="H49" s="453"/>
      <c r="M49" s="31" t="str">
        <f>'5.3-Unit N (17DOL-Egg)'!B41</f>
        <v>Fuel</v>
      </c>
      <c r="N49" s="449"/>
      <c r="O49" s="463">
        <f>'5.3-Unit N (17DOL-Egg)'!C41</f>
        <v>0</v>
      </c>
      <c r="P49" s="463" t="str">
        <f>'5.3-Unit N (17DOL-Egg)'!D41</f>
        <v>L/d</v>
      </c>
      <c r="Q49" s="449"/>
      <c r="R49" s="453"/>
      <c r="X49" s="22"/>
      <c r="Y49" s="22"/>
      <c r="Z49" s="22"/>
      <c r="AA49" s="27"/>
      <c r="AB49" s="22"/>
      <c r="AC49" s="22"/>
      <c r="AD49" s="22"/>
      <c r="AL49" s="22"/>
      <c r="AM49" s="22"/>
    </row>
    <row r="50" spans="3:47">
      <c r="C50" s="470" t="s">
        <v>293</v>
      </c>
      <c r="D50" s="449"/>
      <c r="E50" s="449"/>
      <c r="F50" s="449"/>
      <c r="G50" s="449"/>
      <c r="H50" s="453"/>
      <c r="M50" s="470" t="s">
        <v>292</v>
      </c>
      <c r="N50" s="449"/>
      <c r="O50" s="449"/>
      <c r="P50" s="449"/>
      <c r="Q50" s="449"/>
      <c r="R50" s="453"/>
      <c r="X50" s="29"/>
      <c r="Y50" s="22"/>
      <c r="Z50" s="22"/>
      <c r="AA50" s="22"/>
      <c r="AB50" s="22"/>
      <c r="AC50" s="22"/>
      <c r="AD50" s="22"/>
      <c r="AL50" s="22"/>
      <c r="AM50" s="22"/>
      <c r="AN50" s="22"/>
      <c r="AO50" s="174"/>
      <c r="AP50" s="22"/>
      <c r="AQ50" s="22"/>
      <c r="AR50" s="22"/>
      <c r="AS50" s="22"/>
      <c r="AT50" s="22"/>
      <c r="AU50" s="22"/>
    </row>
    <row r="51" spans="3:47">
      <c r="C51" s="40" t="s">
        <v>4</v>
      </c>
      <c r="D51" s="41"/>
      <c r="E51" s="41"/>
      <c r="F51" s="41" t="s">
        <v>289</v>
      </c>
      <c r="G51" s="41" t="s">
        <v>119</v>
      </c>
      <c r="H51" s="43"/>
      <c r="M51" s="40" t="s">
        <v>4</v>
      </c>
      <c r="N51" s="41"/>
      <c r="O51" s="41"/>
      <c r="P51" s="41" t="s">
        <v>289</v>
      </c>
      <c r="Q51" s="41" t="s">
        <v>119</v>
      </c>
      <c r="R51" s="43"/>
      <c r="X51" s="39"/>
      <c r="Y51" s="39"/>
      <c r="Z51" s="39"/>
      <c r="AA51" s="39"/>
      <c r="AB51" s="39"/>
      <c r="AC51" s="39"/>
      <c r="AD51" s="22"/>
      <c r="AL51" s="22"/>
      <c r="AM51" s="22"/>
      <c r="AN51" s="22"/>
      <c r="AO51" s="174"/>
      <c r="AP51" s="22"/>
      <c r="AQ51" s="22"/>
      <c r="AR51" s="22"/>
      <c r="AS51" s="22"/>
      <c r="AT51" s="22"/>
      <c r="AU51" s="22"/>
    </row>
    <row r="52" spans="3:47">
      <c r="C52" s="21" t="str">
        <f>'5.3-Unit N (Egg-5DOL)'!C52</f>
        <v>Nursery staff</v>
      </c>
      <c r="D52" s="22"/>
      <c r="E52" s="22"/>
      <c r="F52" s="22">
        <f>'5.3-Unit N (Egg-5DOL)'!E52</f>
        <v>1</v>
      </c>
      <c r="G52" s="23">
        <f>'5.3-Unit N (Egg-5DOL)'!F52</f>
        <v>0.1</v>
      </c>
      <c r="H52" s="24"/>
      <c r="M52" s="21" t="str">
        <f>'5.3-Unit N (17DOL-Egg)'!C52</f>
        <v>Nursery staff</v>
      </c>
      <c r="N52" s="22"/>
      <c r="O52" s="22"/>
      <c r="P52" s="22">
        <f>'5.3-Unit N (17DOL-Egg)'!E52</f>
        <v>1</v>
      </c>
      <c r="Q52" s="23">
        <f>'5.3-Unit N (17DOL-Egg)'!F52</f>
        <v>0.9</v>
      </c>
      <c r="R52" s="24"/>
      <c r="X52" s="22"/>
      <c r="Y52" s="22"/>
      <c r="Z52" s="22"/>
      <c r="AA52" s="22"/>
      <c r="AB52" s="23"/>
      <c r="AC52" s="22"/>
      <c r="AD52" s="22"/>
      <c r="AL52" s="22"/>
      <c r="AM52" s="22"/>
      <c r="AN52" s="22"/>
      <c r="AO52" s="174"/>
      <c r="AP52" s="22"/>
      <c r="AQ52" s="22"/>
      <c r="AR52" s="22"/>
      <c r="AS52" s="22"/>
      <c r="AT52" s="22"/>
      <c r="AU52" s="22"/>
    </row>
    <row r="53" spans="3:47">
      <c r="C53" s="21" t="str">
        <f>'5.3-Unit N (Egg-5DOL)'!C83</f>
        <v>Nursery manager</v>
      </c>
      <c r="D53" s="22"/>
      <c r="E53" s="22"/>
      <c r="F53" s="22">
        <f>'5.3-Unit N (Egg-5DOL)'!E83</f>
        <v>0</v>
      </c>
      <c r="G53" s="23">
        <f>'5.3-Unit N (Egg-5DOL)'!F83</f>
        <v>0.25</v>
      </c>
      <c r="H53" s="24"/>
      <c r="M53" s="21" t="str">
        <f>'5.3-Unit N (17DOL-Egg)'!C83</f>
        <v>Nursery manager</v>
      </c>
      <c r="N53" s="22"/>
      <c r="O53" s="22"/>
      <c r="P53" s="22">
        <f>'5.3-Unit N (17DOL-Egg)'!E83</f>
        <v>0</v>
      </c>
      <c r="Q53" s="23">
        <f>'5.3-Unit N (17DOL-Egg)'!F83</f>
        <v>0.5</v>
      </c>
      <c r="R53" s="24"/>
      <c r="X53" s="22"/>
      <c r="Y53" s="22"/>
      <c r="Z53" s="22"/>
      <c r="AA53" s="22"/>
      <c r="AB53" s="23"/>
      <c r="AC53" s="22"/>
      <c r="AD53" s="22"/>
      <c r="AN53" s="22"/>
      <c r="AO53" s="174"/>
      <c r="AP53" s="22"/>
      <c r="AQ53" s="22"/>
      <c r="AR53" s="22"/>
      <c r="AS53" s="22"/>
      <c r="AT53" s="22"/>
      <c r="AU53" s="22"/>
    </row>
    <row r="54" spans="3:47">
      <c r="C54" s="31" t="str">
        <f>'5.3-Unit N (Egg-5DOL)'!C84</f>
        <v>Site manager</v>
      </c>
      <c r="D54" s="32"/>
      <c r="E54" s="32"/>
      <c r="F54" s="32">
        <f>'5.3-Unit N (Egg-5DOL)'!E84</f>
        <v>0</v>
      </c>
      <c r="G54" s="44">
        <f>'5.3-Unit N (Egg-5DOL)'!F84</f>
        <v>0.08</v>
      </c>
      <c r="H54" s="20"/>
      <c r="M54" s="21" t="str">
        <f>'5.3-Unit N (17DOL-Egg)'!C84</f>
        <v>Site manager</v>
      </c>
      <c r="N54" s="22"/>
      <c r="O54" s="22"/>
      <c r="P54" s="22">
        <f>'5.3-Unit N (17DOL-Egg)'!E84</f>
        <v>0</v>
      </c>
      <c r="Q54" s="23">
        <f>'5.3-Unit N (17DOL-Egg)'!F84</f>
        <v>0.13</v>
      </c>
      <c r="R54" s="24"/>
      <c r="X54" s="22"/>
      <c r="Y54" s="22"/>
      <c r="Z54" s="22"/>
      <c r="AA54" s="22"/>
      <c r="AB54" s="23"/>
      <c r="AC54" s="22"/>
      <c r="AD54" s="22"/>
      <c r="AN54" s="467"/>
      <c r="AO54" s="176"/>
      <c r="AP54" s="22"/>
      <c r="AQ54" s="22"/>
      <c r="AR54" s="22"/>
      <c r="AS54" s="29"/>
      <c r="AT54" s="274"/>
      <c r="AU54" s="22"/>
    </row>
    <row r="55" spans="3:47">
      <c r="C55" s="37" t="s">
        <v>295</v>
      </c>
      <c r="D55" s="17"/>
      <c r="E55" s="17"/>
      <c r="F55" s="17"/>
      <c r="G55" s="17"/>
      <c r="H55" s="18"/>
      <c r="M55" s="37" t="s">
        <v>294</v>
      </c>
      <c r="N55" s="17"/>
      <c r="O55" s="17"/>
      <c r="P55" s="17"/>
      <c r="Q55" s="17"/>
      <c r="R55" s="18"/>
      <c r="X55" s="29"/>
      <c r="Y55" s="22"/>
      <c r="Z55" s="22"/>
      <c r="AA55" s="22"/>
      <c r="AB55" s="22"/>
      <c r="AC55" s="22"/>
      <c r="AD55" s="22"/>
      <c r="AN55" s="166"/>
      <c r="AO55" s="131"/>
      <c r="AP55" s="22"/>
      <c r="AQ55" s="22"/>
      <c r="AR55" s="22"/>
      <c r="AS55" s="22"/>
      <c r="AT55" s="273"/>
      <c r="AU55" s="22"/>
    </row>
    <row r="56" spans="3:47">
      <c r="C56" s="457" t="s">
        <v>51</v>
      </c>
      <c r="D56" s="41"/>
      <c r="E56" s="41"/>
      <c r="F56" s="41" t="s">
        <v>48</v>
      </c>
      <c r="G56" s="41" t="s">
        <v>85</v>
      </c>
      <c r="H56" s="451"/>
      <c r="M56" s="457" t="s">
        <v>51</v>
      </c>
      <c r="N56" s="41"/>
      <c r="O56" s="41"/>
      <c r="P56" s="41" t="s">
        <v>48</v>
      </c>
      <c r="Q56" s="41" t="s">
        <v>85</v>
      </c>
      <c r="R56" s="458"/>
      <c r="X56" s="39"/>
      <c r="Y56" s="39"/>
      <c r="Z56" s="39"/>
      <c r="AA56" s="39"/>
      <c r="AB56" s="39"/>
      <c r="AC56" s="39"/>
      <c r="AD56" s="22"/>
      <c r="AN56" s="166"/>
      <c r="AO56" s="174"/>
      <c r="AP56" s="274"/>
      <c r="AQ56" s="22"/>
      <c r="AR56" s="22"/>
      <c r="AS56" s="22"/>
      <c r="AT56" s="273"/>
      <c r="AU56" s="22"/>
    </row>
    <row r="57" spans="3:47">
      <c r="C57" s="452" t="str">
        <f>'5.3-Unit N (Egg-5DOL)'!C110</f>
        <v>High pressure cleaner</v>
      </c>
      <c r="D57" s="22"/>
      <c r="E57" s="22"/>
      <c r="F57" s="26">
        <f>'5.3-Unit N (Egg-5DOL)'!E110</f>
        <v>1</v>
      </c>
      <c r="G57" s="23">
        <f>'5.3-Unit N (Egg-5DOL)'!M110</f>
        <v>0.1</v>
      </c>
      <c r="H57" s="24"/>
      <c r="M57" s="452" t="str">
        <f>'5.3-Unit N (17DOL-Egg)'!C110</f>
        <v>High pressure cleaner</v>
      </c>
      <c r="N57" s="22"/>
      <c r="O57" s="22"/>
      <c r="P57" s="26">
        <f>'5.3-Unit N (17DOL-Egg)'!E110</f>
        <v>1</v>
      </c>
      <c r="Q57" s="25">
        <f>'5.3-Unit N (17DOL-Egg)'!M110</f>
        <v>0.13</v>
      </c>
      <c r="R57" s="24"/>
      <c r="X57" s="22"/>
      <c r="Y57" s="22"/>
      <c r="Z57" s="22"/>
      <c r="AA57" s="26"/>
      <c r="AB57" s="25"/>
      <c r="AC57" s="22"/>
      <c r="AD57" s="22"/>
      <c r="AN57" s="22"/>
      <c r="AO57" s="174"/>
      <c r="AP57" s="271"/>
      <c r="AQ57" s="22"/>
      <c r="AR57" s="22"/>
      <c r="AS57" s="22"/>
      <c r="AT57" s="273"/>
      <c r="AU57" s="22"/>
    </row>
    <row r="58" spans="3:47">
      <c r="C58" s="452" t="str">
        <f>'5.3-Unit N (Egg-5DOL)'!C111</f>
        <v>Hatchling crate</v>
      </c>
      <c r="D58" s="22"/>
      <c r="E58" s="22"/>
      <c r="F58" s="26">
        <f>'5.3-Unit N (Egg-5DOL)'!E111</f>
        <v>1</v>
      </c>
      <c r="G58" s="23">
        <f>'5.3-Unit N (Egg-5DOL)'!M111</f>
        <v>1</v>
      </c>
      <c r="H58" s="24"/>
      <c r="M58" s="452" t="str">
        <f>'5.3-Unit N (17DOL-Egg)'!C111</f>
        <v xml:space="preserve">Pupation crates </v>
      </c>
      <c r="N58" s="22"/>
      <c r="O58" s="22"/>
      <c r="P58" s="26">
        <f>'5.3-Unit N (17DOL-Egg)'!E111</f>
        <v>8</v>
      </c>
      <c r="Q58" s="25">
        <f>'5.3-Unit N (17DOL-Egg)'!M111</f>
        <v>1</v>
      </c>
      <c r="R58" s="24"/>
      <c r="X58" s="22"/>
      <c r="Y58" s="22"/>
      <c r="Z58" s="22"/>
      <c r="AA58" s="26"/>
      <c r="AB58" s="25"/>
      <c r="AC58" s="22"/>
      <c r="AD58" s="22"/>
      <c r="AN58" s="166"/>
      <c r="AO58" s="174"/>
      <c r="AP58" s="22"/>
      <c r="AQ58" s="22"/>
      <c r="AR58" s="22"/>
      <c r="AS58" s="22"/>
      <c r="AT58" s="273"/>
      <c r="AU58" s="22"/>
    </row>
    <row r="59" spans="3:47">
      <c r="C59" s="452" t="str">
        <f>'5.3-Unit N (Egg-5DOL)'!C112</f>
        <v>Mobile hatching frame</v>
      </c>
      <c r="D59" s="22"/>
      <c r="E59" s="22"/>
      <c r="F59" s="26">
        <f>'5.3-Unit N (Egg-5DOL)'!E112</f>
        <v>1</v>
      </c>
      <c r="G59" s="23">
        <f>'5.3-Unit N (Egg-5DOL)'!M112</f>
        <v>1</v>
      </c>
      <c r="H59" s="24"/>
      <c r="M59" s="452" t="str">
        <f>'5.3-Unit N (17DOL-Egg)'!C112</f>
        <v>Pupation cage (Dark cage)</v>
      </c>
      <c r="N59" s="22"/>
      <c r="O59" s="22"/>
      <c r="P59" s="26">
        <f>'5.3-Unit N (17DOL-Egg)'!E112</f>
        <v>2</v>
      </c>
      <c r="Q59" s="25">
        <f>'5.3-Unit N (17DOL-Egg)'!M112</f>
        <v>1</v>
      </c>
      <c r="R59" s="24"/>
      <c r="X59" s="22"/>
      <c r="Y59" s="22"/>
      <c r="Z59" s="22"/>
      <c r="AA59" s="26"/>
      <c r="AB59" s="25"/>
      <c r="AC59" s="22"/>
      <c r="AD59" s="22"/>
      <c r="AN59" s="22"/>
      <c r="AO59" s="174"/>
      <c r="AP59" s="272"/>
      <c r="AQ59" s="22"/>
      <c r="AR59" s="22"/>
      <c r="AS59" s="22"/>
      <c r="AT59" s="22"/>
      <c r="AU59" s="22"/>
    </row>
    <row r="60" spans="3:47">
      <c r="C60" s="452" t="str">
        <f>'5.3-Unit N (Egg-5DOL)'!C113</f>
        <v>Oviball holder</v>
      </c>
      <c r="D60" s="22"/>
      <c r="E60" s="22"/>
      <c r="F60" s="26">
        <f>'5.3-Unit N (Egg-5DOL)'!E113</f>
        <v>1</v>
      </c>
      <c r="G60" s="23">
        <f>'5.3-Unit N (Egg-5DOL)'!M113</f>
        <v>0.5</v>
      </c>
      <c r="H60" s="24"/>
      <c r="M60" s="452" t="str">
        <f>'5.3-Unit N (17DOL-Egg)'!C113</f>
        <v>Pupation cage frame</v>
      </c>
      <c r="N60" s="22"/>
      <c r="O60" s="22"/>
      <c r="P60" s="26">
        <f>'5.3-Unit N (17DOL-Egg)'!E113</f>
        <v>2</v>
      </c>
      <c r="Q60" s="25">
        <f>'5.3-Unit N (17DOL-Egg)'!M113</f>
        <v>1</v>
      </c>
      <c r="R60" s="24"/>
      <c r="X60" s="22"/>
      <c r="Y60" s="22"/>
      <c r="Z60" s="22"/>
      <c r="AA60" s="26"/>
      <c r="AB60" s="25"/>
      <c r="AC60" s="22"/>
      <c r="AD60" s="22"/>
      <c r="AK60" s="22"/>
      <c r="AL60" s="22"/>
      <c r="AN60" s="270"/>
      <c r="AO60" s="174"/>
      <c r="AP60" s="271"/>
      <c r="AQ60" s="22"/>
      <c r="AR60" s="22"/>
      <c r="AS60" s="22"/>
      <c r="AT60" s="22"/>
      <c r="AU60" s="22"/>
    </row>
    <row r="61" spans="3:47">
      <c r="C61" s="452" t="str">
        <f>'5.3-Unit N (Egg-5DOL)'!C114</f>
        <v>Egg media</v>
      </c>
      <c r="D61" s="22"/>
      <c r="E61" s="22"/>
      <c r="F61" s="26">
        <f>'5.3-Unit N (Egg-5DOL)'!E114</f>
        <v>30</v>
      </c>
      <c r="G61" s="23">
        <f>'5.3-Unit N (Egg-5DOL)'!M114</f>
        <v>0.5</v>
      </c>
      <c r="H61" s="24"/>
      <c r="M61" s="452" t="str">
        <f>'5.3-Unit N (17DOL-Egg)'!C114</f>
        <v>Oviposition cage (Love cage)</v>
      </c>
      <c r="N61" s="22"/>
      <c r="O61" s="22"/>
      <c r="P61" s="26">
        <f>'5.3-Unit N (17DOL-Egg)'!E114</f>
        <v>3</v>
      </c>
      <c r="Q61" s="25">
        <f>'5.3-Unit N (17DOL-Egg)'!M114</f>
        <v>1</v>
      </c>
      <c r="R61" s="24"/>
      <c r="X61" s="22"/>
      <c r="Y61" s="22"/>
      <c r="Z61" s="22"/>
      <c r="AA61" s="26"/>
      <c r="AB61" s="25"/>
      <c r="AC61" s="22"/>
      <c r="AD61" s="22"/>
      <c r="AL61" s="189"/>
      <c r="AM61" s="22"/>
      <c r="AN61" s="166"/>
      <c r="AO61" s="174"/>
      <c r="AP61" s="271"/>
      <c r="AQ61" s="22"/>
      <c r="AR61" s="22"/>
      <c r="AS61" s="29"/>
      <c r="AT61" s="271"/>
      <c r="AU61" s="22"/>
    </row>
    <row r="62" spans="3:47">
      <c r="C62" s="452" t="str">
        <f>'5.3-Unit N (Egg-5DOL)'!C115</f>
        <v>Working table</v>
      </c>
      <c r="D62" s="22"/>
      <c r="E62" s="22"/>
      <c r="F62" s="26">
        <f>'5.3-Unit N (Egg-5DOL)'!E115</f>
        <v>1</v>
      </c>
      <c r="G62" s="23">
        <f>'5.3-Unit N (Egg-5DOL)'!M115</f>
        <v>0.5</v>
      </c>
      <c r="H62" s="24"/>
      <c r="M62" s="452" t="str">
        <f>'5.3-Unit N (17DOL-Egg)'!C115</f>
        <v>Attractant container</v>
      </c>
      <c r="N62" s="22"/>
      <c r="O62" s="22"/>
      <c r="P62" s="26">
        <f>'5.3-Unit N (17DOL-Egg)'!E115</f>
        <v>3</v>
      </c>
      <c r="Q62" s="25">
        <f>'5.3-Unit N (17DOL-Egg)'!M115</f>
        <v>1</v>
      </c>
      <c r="R62" s="24"/>
      <c r="X62" s="22"/>
      <c r="Y62" s="22"/>
      <c r="Z62" s="22"/>
      <c r="AA62" s="26"/>
      <c r="AB62" s="25"/>
      <c r="AC62" s="22"/>
      <c r="AD62" s="22"/>
      <c r="AL62" s="189"/>
      <c r="AM62" s="22"/>
      <c r="AN62" s="166"/>
      <c r="AO62" s="174"/>
      <c r="AP62" s="22"/>
      <c r="AQ62" s="22"/>
      <c r="AR62" s="22"/>
      <c r="AS62" s="22"/>
      <c r="AT62" s="22"/>
      <c r="AU62" s="22"/>
    </row>
    <row r="63" spans="3:47">
      <c r="C63" s="452" t="str">
        <f>'5.3-Unit N (Egg-5DOL)'!C116</f>
        <v>Measuring balance (nursery)</v>
      </c>
      <c r="D63" s="22"/>
      <c r="E63" s="22"/>
      <c r="F63" s="26">
        <f>'5.3-Unit N (Egg-5DOL)'!E116</f>
        <v>1</v>
      </c>
      <c r="G63" s="23">
        <f>'5.3-Unit N (Egg-5DOL)'!M116</f>
        <v>0.15</v>
      </c>
      <c r="H63" s="24"/>
      <c r="M63" s="452" t="str">
        <f>'5.3-Unit N (17DOL-Egg)'!C116</f>
        <v>Shade box</v>
      </c>
      <c r="N63" s="22"/>
      <c r="O63" s="22"/>
      <c r="P63" s="26">
        <f>'5.3-Unit N (17DOL-Egg)'!E116</f>
        <v>3</v>
      </c>
      <c r="Q63" s="25">
        <f>'5.3-Unit N (17DOL-Egg)'!M116</f>
        <v>1</v>
      </c>
      <c r="R63" s="24"/>
      <c r="X63" s="22"/>
      <c r="Y63" s="22"/>
      <c r="Z63" s="22"/>
      <c r="AA63" s="26"/>
      <c r="AB63" s="25"/>
      <c r="AC63" s="22"/>
      <c r="AD63" s="22"/>
      <c r="AK63" s="22"/>
      <c r="AL63" s="22"/>
      <c r="AM63" s="22"/>
      <c r="AN63" s="166"/>
      <c r="AO63" s="174"/>
      <c r="AP63" s="22"/>
      <c r="AQ63" s="22"/>
      <c r="AR63" s="22"/>
      <c r="AS63" s="22"/>
      <c r="AT63" s="22"/>
      <c r="AU63" s="22"/>
    </row>
    <row r="64" spans="3:47">
      <c r="C64" s="452" t="str">
        <f>'5.3-Unit N (Egg-5DOL)'!C117</f>
        <v>Precision balance (lab)</v>
      </c>
      <c r="D64" s="22"/>
      <c r="E64" s="22"/>
      <c r="F64" s="26">
        <f>'5.3-Unit N (Egg-5DOL)'!E117</f>
        <v>1</v>
      </c>
      <c r="G64" s="23">
        <f>'5.3-Unit N (Egg-5DOL)'!M117</f>
        <v>0.5</v>
      </c>
      <c r="H64" s="24"/>
      <c r="M64" s="452" t="str">
        <f>'5.3-Unit N (17DOL-Egg)'!C117</f>
        <v>Mobile fly harvester with attracting light</v>
      </c>
      <c r="N64" s="22"/>
      <c r="O64" s="22"/>
      <c r="P64" s="26">
        <f>'5.3-Unit N (17DOL-Egg)'!E117</f>
        <v>1</v>
      </c>
      <c r="Q64" s="25">
        <f>'5.3-Unit N (17DOL-Egg)'!M117</f>
        <v>1</v>
      </c>
      <c r="R64" s="24"/>
      <c r="X64" s="22"/>
      <c r="Y64" s="22"/>
      <c r="Z64" s="22"/>
      <c r="AA64" s="26"/>
      <c r="AB64" s="25"/>
      <c r="AC64" s="22"/>
      <c r="AD64" s="22"/>
      <c r="AK64" s="22"/>
      <c r="AL64" s="22"/>
      <c r="AM64" s="22"/>
      <c r="AN64" s="166"/>
      <c r="AO64" s="22"/>
      <c r="AP64" s="190"/>
      <c r="AQ64" s="22"/>
      <c r="AR64" s="22"/>
      <c r="AS64" s="22"/>
      <c r="AT64" s="22"/>
      <c r="AU64" s="22"/>
    </row>
    <row r="65" spans="3:47">
      <c r="C65" s="452" t="str">
        <f>'5.3-Unit N (Egg-5DOL)'!C118</f>
        <v>Mixer (compost)</v>
      </c>
      <c r="D65" s="22"/>
      <c r="E65" s="22"/>
      <c r="F65" s="26">
        <f>'5.3-Unit N (Egg-5DOL)'!E118</f>
        <v>1</v>
      </c>
      <c r="G65" s="23">
        <f>'5.3-Unit N (Egg-5DOL)'!M118</f>
        <v>0.5</v>
      </c>
      <c r="H65" s="24"/>
      <c r="M65" s="452" t="str">
        <f>'5.3-Unit N (17DOL-Egg)'!C118</f>
        <v>Oviposition cage frame</v>
      </c>
      <c r="N65" s="22"/>
      <c r="O65" s="22"/>
      <c r="P65" s="26">
        <f>'5.3-Unit N (17DOL-Egg)'!E118</f>
        <v>1</v>
      </c>
      <c r="Q65" s="25">
        <f>'5.3-Unit N (17DOL-Egg)'!M118</f>
        <v>1</v>
      </c>
      <c r="R65" s="24"/>
      <c r="X65" s="22"/>
      <c r="Y65" s="22"/>
      <c r="Z65" s="22"/>
      <c r="AA65" s="26"/>
      <c r="AB65" s="25"/>
      <c r="AC65" s="22"/>
      <c r="AD65" s="22"/>
      <c r="AK65" s="22"/>
      <c r="AL65" s="22"/>
      <c r="AM65" s="188"/>
      <c r="AN65" s="22"/>
      <c r="AO65" s="22"/>
      <c r="AP65" s="22"/>
      <c r="AQ65" s="22"/>
      <c r="AR65" s="22"/>
      <c r="AS65" s="22"/>
      <c r="AT65" s="22"/>
      <c r="AU65" s="22"/>
    </row>
    <row r="66" spans="3:47">
      <c r="C66" s="452" t="str">
        <f>'5.3-Unit N (Egg-5DOL)'!C119</f>
        <v>Blower</v>
      </c>
      <c r="D66" s="22"/>
      <c r="E66" s="22"/>
      <c r="F66" s="26">
        <f>'5.3-Unit N (Egg-5DOL)'!E119</f>
        <v>5.2875000000000014</v>
      </c>
      <c r="G66" s="23">
        <f>'5.3-Unit N (Egg-5DOL)'!M119</f>
        <v>0.5</v>
      </c>
      <c r="H66" s="24"/>
      <c r="M66" s="452" t="str">
        <f>'5.3-Unit N (17DOL-Egg)'!C119</f>
        <v>Oviball holder</v>
      </c>
      <c r="N66" s="22"/>
      <c r="O66" s="22"/>
      <c r="P66" s="26">
        <f>'5.3-Unit N (17DOL-Egg)'!E119</f>
        <v>1</v>
      </c>
      <c r="Q66" s="25">
        <f>'5.3-Unit N (17DOL-Egg)'!M119</f>
        <v>0.5</v>
      </c>
      <c r="R66" s="42"/>
      <c r="X66" s="22"/>
      <c r="Y66" s="22"/>
      <c r="Z66" s="22"/>
      <c r="AA66" s="26"/>
      <c r="AB66" s="25"/>
      <c r="AC66" s="22"/>
      <c r="AD66" s="22"/>
      <c r="AK66" s="22"/>
      <c r="AL66" s="178"/>
      <c r="AM66" s="166"/>
      <c r="AN66" s="22"/>
      <c r="AO66" s="22"/>
      <c r="AP66" s="22"/>
      <c r="AQ66" s="22"/>
      <c r="AR66" s="22"/>
      <c r="AS66" s="22"/>
      <c r="AT66" s="22"/>
      <c r="AU66" s="22"/>
    </row>
    <row r="67" spans="3:47">
      <c r="C67" s="452" t="str">
        <f>'5.3-Unit N (Egg-5DOL)'!C120</f>
        <v>N/A</v>
      </c>
      <c r="D67" s="22"/>
      <c r="E67" s="22"/>
      <c r="F67" s="26" t="str">
        <f>'5.3-Unit N (Egg-5DOL)'!E120</f>
        <v>N/A</v>
      </c>
      <c r="G67" s="23" t="str">
        <f>'5.3-Unit N (Egg-5DOL)'!M120</f>
        <v/>
      </c>
      <c r="H67" s="24"/>
      <c r="M67" s="452" t="str">
        <f>'5.3-Unit N (17DOL-Egg)'!C120</f>
        <v>Egg media</v>
      </c>
      <c r="N67" s="22"/>
      <c r="O67" s="22"/>
      <c r="P67" s="26">
        <f>'5.3-Unit N (17DOL-Egg)'!E120</f>
        <v>30</v>
      </c>
      <c r="Q67" s="25">
        <f>'5.3-Unit N (17DOL-Egg)'!M120</f>
        <v>0.5</v>
      </c>
      <c r="R67" s="24"/>
      <c r="X67" s="22"/>
      <c r="Y67" s="22"/>
      <c r="Z67" s="22"/>
      <c r="AA67" s="26"/>
      <c r="AB67" s="25"/>
      <c r="AC67" s="22"/>
      <c r="AD67" s="22"/>
      <c r="AK67" s="22"/>
      <c r="AL67" s="178"/>
      <c r="AM67" s="166"/>
      <c r="AN67" s="22"/>
      <c r="AO67" s="22"/>
      <c r="AP67" s="22"/>
      <c r="AQ67" s="22"/>
      <c r="AR67" s="22"/>
      <c r="AS67" s="22"/>
      <c r="AT67" s="22"/>
      <c r="AU67" s="22"/>
    </row>
    <row r="68" spans="3:47">
      <c r="C68" s="452" t="str">
        <f>'5.3-Unit N (Egg-5DOL)'!C121</f>
        <v>N/A</v>
      </c>
      <c r="D68" s="22"/>
      <c r="E68" s="22"/>
      <c r="F68" s="26" t="str">
        <f>'5.3-Unit N (Egg-5DOL)'!E121</f>
        <v>N/A</v>
      </c>
      <c r="G68" s="23" t="str">
        <f>'5.3-Unit N (Egg-5DOL)'!M121</f>
        <v/>
      </c>
      <c r="H68" s="24"/>
      <c r="M68" s="452" t="str">
        <f>'5.3-Unit N (17DOL-Egg)'!C121</f>
        <v>Working table</v>
      </c>
      <c r="N68" s="22"/>
      <c r="O68" s="22"/>
      <c r="P68" s="26">
        <f>'5.3-Unit N (17DOL-Egg)'!E121</f>
        <v>1</v>
      </c>
      <c r="Q68" s="25">
        <f>'5.3-Unit N (17DOL-Egg)'!M121</f>
        <v>0.5</v>
      </c>
      <c r="R68" s="24"/>
      <c r="X68" s="22"/>
      <c r="Y68" s="22"/>
      <c r="Z68" s="22"/>
      <c r="AA68" s="26"/>
      <c r="AB68" s="25"/>
      <c r="AC68" s="22"/>
      <c r="AD68" s="22"/>
      <c r="AK68" s="22"/>
      <c r="AL68" s="178"/>
      <c r="AM68" s="166"/>
      <c r="AN68" s="22"/>
      <c r="AO68" s="22"/>
      <c r="AP68" s="22"/>
      <c r="AQ68" s="22"/>
      <c r="AR68" s="22"/>
      <c r="AS68" s="22"/>
      <c r="AT68" s="22"/>
      <c r="AU68" s="22"/>
    </row>
    <row r="69" spans="3:47">
      <c r="C69" s="452" t="str">
        <f>'5.3-Unit N (Egg-5DOL)'!C122</f>
        <v>N/A</v>
      </c>
      <c r="D69" s="22"/>
      <c r="E69" s="22"/>
      <c r="F69" s="26" t="str">
        <f>'5.3-Unit N (Egg-5DOL)'!E122</f>
        <v>N/A</v>
      </c>
      <c r="G69" s="23" t="str">
        <f>'5.3-Unit N (Egg-5DOL)'!M122</f>
        <v/>
      </c>
      <c r="H69" s="24"/>
      <c r="M69" s="452" t="str">
        <f>'5.3-Unit N (17DOL-Egg)'!C122</f>
        <v>Nursery Larvero</v>
      </c>
      <c r="N69" s="22"/>
      <c r="O69" s="22"/>
      <c r="P69" s="26">
        <f>'5.3-Unit N (17DOL-Egg)'!E122</f>
        <v>1</v>
      </c>
      <c r="Q69" s="25">
        <f>'5.3-Unit N (17DOL-Egg)'!M122</f>
        <v>1</v>
      </c>
      <c r="R69" s="24"/>
      <c r="X69" s="22"/>
      <c r="Y69" s="22"/>
      <c r="Z69" s="22"/>
      <c r="AA69" s="22"/>
      <c r="AB69" s="22"/>
      <c r="AC69" s="22"/>
      <c r="AD69" s="22"/>
      <c r="AK69" s="22"/>
      <c r="AL69" s="188"/>
      <c r="AM69" s="166"/>
      <c r="AN69" s="22"/>
      <c r="AO69" s="22"/>
      <c r="AP69" s="22"/>
      <c r="AQ69" s="22"/>
      <c r="AR69" s="22"/>
      <c r="AS69" s="22"/>
      <c r="AT69" s="22"/>
      <c r="AU69" s="22"/>
    </row>
    <row r="70" spans="3:47">
      <c r="C70" s="452" t="str">
        <f>'5.3-Unit N (Egg-5DOL)'!C123</f>
        <v>N/A</v>
      </c>
      <c r="D70" s="22"/>
      <c r="E70" s="22"/>
      <c r="F70" s="26" t="str">
        <f>'5.3-Unit N (Egg-5DOL)'!E123</f>
        <v>N/A</v>
      </c>
      <c r="G70" s="23" t="str">
        <f>'5.3-Unit N (Egg-5DOL)'!M123</f>
        <v/>
      </c>
      <c r="H70" s="24"/>
      <c r="M70" s="452" t="str">
        <f>'5.3-Unit N (17DOL-Egg)'!C123</f>
        <v>Outer box</v>
      </c>
      <c r="N70" s="22"/>
      <c r="O70" s="22"/>
      <c r="P70" s="26">
        <f>'5.3-Unit N (17DOL-Egg)'!E123</f>
        <v>1</v>
      </c>
      <c r="Q70" s="25">
        <f>'5.3-Unit N (17DOL-Egg)'!M123</f>
        <v>1</v>
      </c>
      <c r="R70" s="24"/>
      <c r="AK70" s="22"/>
      <c r="AL70" s="275"/>
      <c r="AM70" s="22"/>
    </row>
    <row r="71" spans="3:47">
      <c r="C71" s="452" t="str">
        <f>'5.3-Unit N (Egg-5DOL)'!C124</f>
        <v>N/A</v>
      </c>
      <c r="D71" s="22"/>
      <c r="E71" s="22"/>
      <c r="F71" s="26" t="str">
        <f>'5.3-Unit N (Egg-5DOL)'!E124</f>
        <v>N/A</v>
      </c>
      <c r="G71" s="23" t="str">
        <f>'5.3-Unit N (Egg-5DOL)'!M124</f>
        <v/>
      </c>
      <c r="H71" s="24"/>
      <c r="M71" s="452" t="str">
        <f>'5.3-Unit N (17DOL-Egg)'!C124</f>
        <v>Mobile Larvero frame</v>
      </c>
      <c r="N71" s="22"/>
      <c r="O71" s="22"/>
      <c r="P71" s="26">
        <f>'5.3-Unit N (17DOL-Egg)'!E124</f>
        <v>1</v>
      </c>
      <c r="Q71" s="25">
        <f>'5.3-Unit N (17DOL-Egg)'!M124</f>
        <v>1</v>
      </c>
      <c r="R71" s="24"/>
    </row>
    <row r="72" spans="3:47">
      <c r="C72" s="452" t="str">
        <f>'5.3-Unit N (Egg-5DOL)'!C125</f>
        <v>N/A</v>
      </c>
      <c r="D72" s="22"/>
      <c r="E72" s="22"/>
      <c r="F72" s="26" t="str">
        <f>'5.3-Unit N (Egg-5DOL)'!E125</f>
        <v>N/A</v>
      </c>
      <c r="G72" s="23" t="str">
        <f>'5.3-Unit N (Egg-5DOL)'!M125</f>
        <v/>
      </c>
      <c r="H72" s="24"/>
      <c r="M72" s="452" t="str">
        <f>'5.3-Unit N (17DOL-Egg)'!C125</f>
        <v>Measuring balance (nursery)</v>
      </c>
      <c r="N72" s="22"/>
      <c r="O72" s="22"/>
      <c r="P72" s="26">
        <f>'5.3-Unit N (17DOL-Egg)'!E125</f>
        <v>1</v>
      </c>
      <c r="Q72" s="25">
        <f>'5.3-Unit N (17DOL-Egg)'!M125</f>
        <v>0.15</v>
      </c>
      <c r="R72" s="24"/>
    </row>
    <row r="73" spans="3:47">
      <c r="C73" s="452" t="str">
        <f>'5.3-Unit N (Egg-5DOL)'!C126</f>
        <v>N/A</v>
      </c>
      <c r="D73" s="22"/>
      <c r="E73" s="22"/>
      <c r="F73" s="26" t="str">
        <f>'5.3-Unit N (Egg-5DOL)'!E126</f>
        <v>N/A</v>
      </c>
      <c r="G73" s="23" t="str">
        <f>'5.3-Unit N (Egg-5DOL)'!M126</f>
        <v/>
      </c>
      <c r="H73" s="24"/>
      <c r="M73" s="452" t="str">
        <f>'5.3-Unit N (17DOL-Egg)'!C126</f>
        <v>Precision balance (lab)</v>
      </c>
      <c r="N73" s="22"/>
      <c r="O73" s="22"/>
      <c r="P73" s="26">
        <f>'5.3-Unit N (17DOL-Egg)'!E126</f>
        <v>1</v>
      </c>
      <c r="Q73" s="25">
        <f>'5.3-Unit N (17DOL-Egg)'!M126</f>
        <v>0.5</v>
      </c>
      <c r="R73" s="24"/>
    </row>
    <row r="74" spans="3:47">
      <c r="C74" s="452" t="str">
        <f>'5.3-Unit N (Egg-5DOL)'!C127</f>
        <v>N/A</v>
      </c>
      <c r="D74" s="22"/>
      <c r="E74" s="22"/>
      <c r="F74" s="26" t="str">
        <f>'5.3-Unit N (Egg-5DOL)'!E127</f>
        <v>N/A</v>
      </c>
      <c r="G74" s="23" t="str">
        <f>'5.3-Unit N (Egg-5DOL)'!M127</f>
        <v/>
      </c>
      <c r="H74" s="24"/>
      <c r="M74" s="452" t="str">
        <f>'5.3-Unit N (17DOL-Egg)'!C127</f>
        <v>Washing machine</v>
      </c>
      <c r="N74" s="22"/>
      <c r="O74" s="22"/>
      <c r="P74" s="26">
        <f>'5.3-Unit N (17DOL-Egg)'!E127</f>
        <v>1</v>
      </c>
      <c r="Q74" s="25">
        <f>'5.3-Unit N (17DOL-Egg)'!M127</f>
        <v>1</v>
      </c>
      <c r="R74" s="24"/>
    </row>
    <row r="75" spans="3:47">
      <c r="C75" s="452" t="str">
        <f>'5.3-Unit N (Egg-5DOL)'!C128</f>
        <v>N/A</v>
      </c>
      <c r="D75" s="22"/>
      <c r="E75" s="22"/>
      <c r="F75" s="26" t="str">
        <f>'5.3-Unit N (Egg-5DOL)'!E128</f>
        <v>N/A</v>
      </c>
      <c r="G75" s="23" t="str">
        <f>'5.3-Unit N (Egg-5DOL)'!M128</f>
        <v/>
      </c>
      <c r="H75" s="24"/>
      <c r="M75" s="452" t="str">
        <f>'5.3-Unit N (17DOL-Egg)'!C128</f>
        <v>Mixer (compost)</v>
      </c>
      <c r="N75" s="22"/>
      <c r="O75" s="22"/>
      <c r="P75" s="26">
        <f>'5.3-Unit N (17DOL-Egg)'!E128</f>
        <v>1</v>
      </c>
      <c r="Q75" s="25">
        <f>'5.3-Unit N (17DOL-Egg)'!M128</f>
        <v>0.5</v>
      </c>
      <c r="R75" s="24"/>
    </row>
    <row r="76" spans="3:47">
      <c r="C76" s="452" t="str">
        <f>'5.3-Unit N (Egg-5DOL)'!C129</f>
        <v>N/A</v>
      </c>
      <c r="D76" s="22"/>
      <c r="E76" s="22"/>
      <c r="F76" s="26" t="str">
        <f>'5.3-Unit N (Egg-5DOL)'!E129</f>
        <v>N/A</v>
      </c>
      <c r="G76" s="23" t="str">
        <f>'5.3-Unit N (Egg-5DOL)'!M129</f>
        <v/>
      </c>
      <c r="H76" s="24"/>
      <c r="M76" s="452" t="str">
        <f>'5.3-Unit N (17DOL-Egg)'!C129</f>
        <v>Blower</v>
      </c>
      <c r="N76" s="22"/>
      <c r="O76" s="22"/>
      <c r="P76" s="26">
        <f>'5.3-Unit N (17DOL-Egg)'!E129</f>
        <v>5.2875000000000014</v>
      </c>
      <c r="Q76" s="25">
        <f>'5.3-Unit N (17DOL-Egg)'!M129</f>
        <v>0.5</v>
      </c>
      <c r="R76" s="24"/>
    </row>
    <row r="77" spans="3:47">
      <c r="C77" s="452" t="str">
        <f>'5.3-Unit N (Egg-5DOL)'!C130</f>
        <v>N/A</v>
      </c>
      <c r="D77" s="22"/>
      <c r="E77" s="22"/>
      <c r="F77" s="26" t="str">
        <f>'5.3-Unit N (Egg-5DOL)'!E130</f>
        <v>N/A</v>
      </c>
      <c r="G77" s="23" t="str">
        <f>'5.3-Unit N (Egg-5DOL)'!M130</f>
        <v/>
      </c>
      <c r="H77" s="24"/>
      <c r="M77" s="452" t="str">
        <f>'5.3-Unit N (17DOL-Egg)'!C130</f>
        <v>N/A</v>
      </c>
      <c r="N77" s="22"/>
      <c r="O77" s="22"/>
      <c r="P77" s="26" t="str">
        <f>'5.3-Unit N (17DOL-Egg)'!E130</f>
        <v>N/A</v>
      </c>
      <c r="Q77" s="25" t="str">
        <f>'5.3-Unit N (17DOL-Egg)'!M130</f>
        <v/>
      </c>
      <c r="R77" s="24"/>
    </row>
    <row r="78" spans="3:47">
      <c r="C78" s="31" t="str">
        <f>'5.3-Unit N (Egg-5DOL)'!C131</f>
        <v>N/A</v>
      </c>
      <c r="D78" s="449"/>
      <c r="E78" s="449"/>
      <c r="F78" s="454" t="str">
        <f>'5.3-Unit N (Egg-5DOL)'!E131</f>
        <v>N/A</v>
      </c>
      <c r="G78" s="456" t="str">
        <f>'5.3-Unit N (Egg-5DOL)'!M131</f>
        <v/>
      </c>
      <c r="H78" s="453"/>
      <c r="M78" s="31" t="str">
        <f>'5.3-Unit N (17DOL-Egg)'!C131</f>
        <v>N/A</v>
      </c>
      <c r="N78" s="449"/>
      <c r="O78" s="449"/>
      <c r="P78" s="454" t="str">
        <f>'5.3-Unit N (17DOL-Egg)'!E131</f>
        <v>N/A</v>
      </c>
      <c r="Q78" s="455" t="str">
        <f>'5.3-Unit N (17DOL-Egg)'!M131</f>
        <v/>
      </c>
      <c r="R78" s="453"/>
    </row>
  </sheetData>
  <sheetProtection algorithmName="SHA-512" hashValue="15DHsz4OBO43gY4z7MvLvNZv3ZasyrHbC9PoMTYQ7cDUxqSjupmMBmr1ZJxAQnbWho7Nu14zPRbRCUyj3jzGnA==" saltValue="6UDMcOIzRRLTy6TkdzxgEg==" spinCount="100000" sheet="1" objects="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79998168889431442"/>
  </sheetPr>
  <dimension ref="B1:AO128"/>
  <sheetViews>
    <sheetView showGridLines="0" showRowColHeaders="0" topLeftCell="A13" zoomScale="70" zoomScaleNormal="70" workbookViewId="0">
      <selection activeCell="D6" sqref="D6"/>
    </sheetView>
  </sheetViews>
  <sheetFormatPr defaultColWidth="8.7265625" defaultRowHeight="14.5"/>
  <cols>
    <col min="1" max="1" width="1.54296875" style="6" customWidth="1"/>
    <col min="2" max="2" width="30" style="6" customWidth="1"/>
    <col min="3" max="3" width="13.453125" style="6" customWidth="1"/>
    <col min="4" max="4" width="8.7265625" style="6"/>
    <col min="5" max="5" width="3.1796875" style="6" customWidth="1"/>
    <col min="6" max="6" width="28.453125" style="6" customWidth="1"/>
    <col min="7" max="7" width="19.1796875" style="6" bestFit="1" customWidth="1"/>
    <col min="8" max="8" width="7.81640625" style="6" customWidth="1"/>
    <col min="9" max="9" width="3.26953125" style="6" customWidth="1"/>
    <col min="10" max="10" width="28" style="6" customWidth="1"/>
    <col min="11" max="11" width="18.7265625" style="6" customWidth="1"/>
    <col min="12" max="12" width="5.453125" style="6" customWidth="1"/>
    <col min="13" max="13" width="3.7265625" style="6" customWidth="1"/>
    <col min="14" max="14" width="31.81640625" style="6" customWidth="1"/>
    <col min="15" max="15" width="11.453125" style="6" customWidth="1"/>
    <col min="16" max="16" width="8.81640625" style="6" customWidth="1"/>
    <col min="17" max="19" width="8.7265625" style="6"/>
    <col min="20" max="20" width="12.1796875" style="6" customWidth="1"/>
    <col min="21" max="16384" width="8.7265625" style="6"/>
  </cols>
  <sheetData>
    <row r="1" spans="2:32" ht="5.15" customHeight="1"/>
    <row r="2" spans="2:32" ht="18.5">
      <c r="B2" s="872" t="s">
        <v>884</v>
      </c>
      <c r="C2" s="872"/>
      <c r="D2" s="872"/>
      <c r="E2" s="872"/>
      <c r="F2" s="872"/>
      <c r="G2" s="872"/>
      <c r="H2" s="872"/>
      <c r="I2" s="872"/>
      <c r="J2" s="872"/>
      <c r="K2" s="872"/>
      <c r="L2" s="872"/>
      <c r="M2" s="872"/>
      <c r="N2" s="872"/>
      <c r="O2" s="872"/>
      <c r="P2" s="872"/>
    </row>
    <row r="3" spans="2:32" s="422" customFormat="1">
      <c r="B3" s="390"/>
    </row>
    <row r="4" spans="2:32" s="432" customFormat="1" ht="15.5">
      <c r="B4" s="873" t="s">
        <v>882</v>
      </c>
      <c r="C4" s="873"/>
      <c r="D4" s="873"/>
      <c r="F4" s="873" t="s">
        <v>896</v>
      </c>
      <c r="G4" s="873"/>
      <c r="H4" s="873"/>
      <c r="J4" s="873" t="s">
        <v>885</v>
      </c>
      <c r="K4" s="873"/>
      <c r="L4" s="873"/>
      <c r="N4" s="873" t="s">
        <v>886</v>
      </c>
      <c r="O4" s="873"/>
      <c r="P4" s="873"/>
    </row>
    <row r="5" spans="2:32">
      <c r="B5" s="390"/>
      <c r="F5" s="390"/>
      <c r="G5" s="390"/>
    </row>
    <row r="6" spans="2:32">
      <c r="B6" s="390" t="s">
        <v>145</v>
      </c>
      <c r="C6" s="390" t="s">
        <v>755</v>
      </c>
      <c r="D6" s="390" t="s">
        <v>76</v>
      </c>
      <c r="F6" s="390" t="s">
        <v>145</v>
      </c>
      <c r="G6" s="390" t="s">
        <v>755</v>
      </c>
      <c r="H6" s="390" t="s">
        <v>76</v>
      </c>
      <c r="J6" s="390" t="s">
        <v>145</v>
      </c>
      <c r="K6" s="390" t="s">
        <v>755</v>
      </c>
      <c r="L6" s="390" t="s">
        <v>76</v>
      </c>
      <c r="N6" s="390" t="s">
        <v>145</v>
      </c>
      <c r="O6" s="390" t="s">
        <v>755</v>
      </c>
      <c r="P6" s="390" t="s">
        <v>76</v>
      </c>
    </row>
    <row r="7" spans="2:32">
      <c r="B7" s="238" t="s">
        <v>1065</v>
      </c>
      <c r="C7" s="154">
        <f>'1.0-General input'!E14</f>
        <v>5</v>
      </c>
      <c r="D7" s="15" t="s">
        <v>834</v>
      </c>
      <c r="F7" s="15" t="s">
        <v>891</v>
      </c>
      <c r="G7" s="285">
        <f>'5.1-Financial Analysis'!C13</f>
        <v>7146.3640277520108</v>
      </c>
      <c r="H7" s="15"/>
      <c r="J7" s="15" t="s">
        <v>90</v>
      </c>
      <c r="K7" s="114">
        <f>'5.1-Financial Analysis'!D110</f>
        <v>45510.937499999985</v>
      </c>
      <c r="L7" s="15"/>
      <c r="N7" s="15" t="s">
        <v>93</v>
      </c>
      <c r="O7" s="278">
        <f>'5.1-Financial Analysis'!D119</f>
        <v>0.8259646773085717</v>
      </c>
      <c r="P7" s="15"/>
    </row>
    <row r="8" spans="2:32">
      <c r="B8" s="15"/>
      <c r="C8" s="154">
        <f>'1.0-General input'!E15</f>
        <v>1.825</v>
      </c>
      <c r="D8" s="15" t="s">
        <v>769</v>
      </c>
      <c r="F8" s="15"/>
      <c r="G8" s="285"/>
      <c r="H8" s="15"/>
      <c r="J8" s="15" t="s">
        <v>846</v>
      </c>
      <c r="K8" s="114">
        <f>'5.1-Financial Analysis'!D111</f>
        <v>7920.5106938019253</v>
      </c>
      <c r="L8" s="15"/>
      <c r="N8" s="15" t="s">
        <v>159</v>
      </c>
      <c r="O8" s="278">
        <f>'5.1-Financial Analysis'!D121</f>
        <v>0.85477215157258224</v>
      </c>
      <c r="P8" s="15"/>
    </row>
    <row r="9" spans="2:32">
      <c r="B9" s="15" t="s">
        <v>881</v>
      </c>
      <c r="C9" s="15">
        <f>'2.3-Staff input'!K3</f>
        <v>2</v>
      </c>
      <c r="D9" s="15"/>
      <c r="F9" s="15" t="s">
        <v>892</v>
      </c>
      <c r="G9" s="285">
        <f>'5.1-Financial Analysis'!D28+'5.1-Financial Analysis'!D47+'5.1-Financial Analysis'!D80</f>
        <v>8287.1190543085359</v>
      </c>
      <c r="H9" s="15"/>
      <c r="J9" s="15" t="s">
        <v>135</v>
      </c>
      <c r="K9" s="114">
        <f>'5.1-Financial Analysis'!D80</f>
        <v>366.60836050661129</v>
      </c>
      <c r="L9" s="15"/>
      <c r="N9" s="15" t="s">
        <v>889</v>
      </c>
      <c r="O9" s="278">
        <f>'5.1-Financial Analysis'!D120</f>
        <v>0.81790928709590882</v>
      </c>
      <c r="P9" s="15"/>
    </row>
    <row r="10" spans="2:32">
      <c r="B10" s="15" t="s">
        <v>883</v>
      </c>
      <c r="C10" s="196">
        <f>'5.3-Unit SG&amp;A'!D42</f>
        <v>51.006739209136754</v>
      </c>
      <c r="D10" s="15" t="s">
        <v>880</v>
      </c>
      <c r="F10" s="15"/>
      <c r="G10" s="285"/>
      <c r="H10" s="15"/>
      <c r="J10" s="15" t="s">
        <v>91</v>
      </c>
      <c r="K10" s="114">
        <f>'5.1-Financial Analysis'!D112</f>
        <v>37590.426806198062</v>
      </c>
      <c r="L10" s="15"/>
      <c r="N10" s="15" t="s">
        <v>890</v>
      </c>
      <c r="O10" s="278">
        <f>'5.1-Financial Analysis'!D122</f>
        <v>0.6288692596753418</v>
      </c>
      <c r="P10" s="15"/>
    </row>
    <row r="11" spans="2:32">
      <c r="B11" s="15"/>
      <c r="C11" s="15"/>
      <c r="D11" s="15"/>
      <c r="F11" s="15" t="s">
        <v>805</v>
      </c>
      <c r="G11" s="33">
        <f>'5.1-Financial Analysis'!C126</f>
        <v>0.19300613749793971</v>
      </c>
      <c r="H11" s="15" t="s">
        <v>757</v>
      </c>
      <c r="J11" s="15" t="s">
        <v>157</v>
      </c>
      <c r="K11" s="114">
        <f>'5.1-Financial Analysis'!D113</f>
        <v>38901.481966960302</v>
      </c>
      <c r="L11" s="15"/>
      <c r="N11" s="15" t="s">
        <v>645</v>
      </c>
      <c r="O11" s="278">
        <f>'5.1-Financial Analysis'!D123</f>
        <v>4.7459599840719715</v>
      </c>
      <c r="P11" s="15"/>
    </row>
    <row r="12" spans="2:32">
      <c r="B12" s="15"/>
      <c r="C12" s="15"/>
      <c r="D12" s="15"/>
      <c r="F12" s="15" t="s">
        <v>806</v>
      </c>
      <c r="G12" s="33">
        <f>'5.1-Financial Analysis'!C127</f>
        <v>9.6315990174063781E-2</v>
      </c>
      <c r="H12" s="15" t="s">
        <v>757</v>
      </c>
      <c r="J12" s="15" t="s">
        <v>155</v>
      </c>
      <c r="K12" s="114">
        <f>'5.1-Financial Analysis'!D114</f>
        <v>37223.818445691453</v>
      </c>
      <c r="L12" s="15"/>
      <c r="N12" s="15"/>
      <c r="O12" s="15"/>
      <c r="P12" s="15"/>
    </row>
    <row r="13" spans="2:32">
      <c r="B13" s="15"/>
      <c r="C13" s="15"/>
      <c r="D13" s="15"/>
      <c r="F13" s="15" t="s">
        <v>660</v>
      </c>
      <c r="G13" s="278">
        <f>'5.1-Financial Analysis'!C128</f>
        <v>5.1498719254121248</v>
      </c>
      <c r="H13" s="15"/>
      <c r="J13" s="15" t="s">
        <v>746</v>
      </c>
      <c r="K13" s="114">
        <f>'5.1-Financial Analysis'!D115</f>
        <v>8189.2400580521198</v>
      </c>
      <c r="L13" s="15"/>
      <c r="N13" s="15"/>
      <c r="O13" s="15"/>
      <c r="P13" s="15"/>
      <c r="AD13" s="424"/>
      <c r="AE13" s="424"/>
      <c r="AF13" s="424"/>
    </row>
    <row r="14" spans="2:32">
      <c r="B14" s="15"/>
      <c r="C14" s="15"/>
      <c r="D14" s="15"/>
      <c r="E14" s="390"/>
      <c r="F14" s="238" t="s">
        <v>897</v>
      </c>
      <c r="G14" s="114">
        <f>'5.1-Financial Analysis'!C130</f>
        <v>134992.45550083354</v>
      </c>
      <c r="H14" s="15"/>
      <c r="J14" s="15" t="s">
        <v>747</v>
      </c>
      <c r="K14" s="114">
        <f>'5.1-Financial Analysis'!D116</f>
        <v>414.14881488358799</v>
      </c>
      <c r="L14" s="15"/>
      <c r="N14" s="15"/>
      <c r="O14" s="22"/>
      <c r="P14" s="22"/>
      <c r="Q14" s="424"/>
      <c r="R14" s="424"/>
      <c r="AD14" s="424"/>
      <c r="AE14" s="361"/>
      <c r="AF14" s="424"/>
    </row>
    <row r="15" spans="2:32">
      <c r="B15" s="15"/>
      <c r="C15" s="15"/>
      <c r="D15" s="15"/>
      <c r="E15" s="390"/>
      <c r="F15" s="15"/>
      <c r="G15" s="15"/>
      <c r="H15" s="15"/>
      <c r="J15" s="15" t="s">
        <v>92</v>
      </c>
      <c r="K15" s="114">
        <f>'5.1-Financial Analysis'!D117</f>
        <v>28620.429572755744</v>
      </c>
      <c r="L15" s="15"/>
      <c r="M15" s="424"/>
      <c r="N15" s="22"/>
      <c r="O15" s="22"/>
      <c r="P15" s="22"/>
      <c r="Q15" s="424"/>
      <c r="R15" s="424"/>
      <c r="AD15" s="424"/>
      <c r="AE15" s="361"/>
      <c r="AF15" s="424"/>
    </row>
    <row r="16" spans="2:32">
      <c r="J16" s="423"/>
      <c r="K16" s="423"/>
      <c r="L16" s="424"/>
      <c r="M16" s="424"/>
      <c r="N16" s="424"/>
      <c r="O16" s="424"/>
      <c r="P16" s="424"/>
      <c r="Q16" s="424"/>
      <c r="R16" s="424"/>
      <c r="AD16" s="424"/>
      <c r="AE16" s="423"/>
      <c r="AF16" s="424"/>
    </row>
    <row r="17" spans="5:32">
      <c r="F17" s="6" t="str">
        <f>"Amount in "&amp;General_Currency_Selection</f>
        <v>Amount in USD</v>
      </c>
      <c r="J17" s="423"/>
      <c r="K17" s="424"/>
      <c r="L17" s="424"/>
      <c r="M17" s="424"/>
      <c r="N17" s="424"/>
      <c r="O17" s="424"/>
      <c r="P17" s="424"/>
      <c r="Q17" s="424"/>
      <c r="R17" s="424"/>
      <c r="AD17" s="424"/>
      <c r="AE17" s="423"/>
      <c r="AF17" s="424"/>
    </row>
    <row r="18" spans="5:32">
      <c r="J18" s="424"/>
      <c r="K18" s="424"/>
      <c r="L18" s="424"/>
      <c r="M18" s="424"/>
      <c r="N18" s="424"/>
      <c r="O18" s="424"/>
      <c r="P18" s="424"/>
      <c r="Q18" s="424"/>
      <c r="R18" s="424"/>
      <c r="AD18" s="424"/>
      <c r="AE18" s="424"/>
      <c r="AF18" s="424"/>
    </row>
    <row r="19" spans="5:32">
      <c r="J19" s="424"/>
      <c r="K19" s="424"/>
      <c r="L19" s="424"/>
      <c r="M19" s="424"/>
      <c r="N19" s="424"/>
      <c r="O19" s="424"/>
      <c r="P19" s="424"/>
      <c r="Q19" s="424"/>
      <c r="R19" s="424"/>
      <c r="AD19" s="424"/>
      <c r="AE19" s="424"/>
      <c r="AF19" s="424"/>
    </row>
    <row r="20" spans="5:32">
      <c r="J20" s="424"/>
      <c r="K20" s="424"/>
      <c r="L20" s="424"/>
      <c r="M20" s="424"/>
      <c r="N20" s="424"/>
      <c r="O20" s="424"/>
      <c r="P20" s="424"/>
      <c r="Q20" s="424"/>
      <c r="R20" s="424"/>
      <c r="AD20" s="424"/>
      <c r="AE20" s="424"/>
      <c r="AF20" s="424"/>
    </row>
    <row r="21" spans="5:32">
      <c r="J21" s="424"/>
      <c r="K21" s="424"/>
      <c r="L21" s="424"/>
      <c r="M21" s="424"/>
      <c r="N21" s="424"/>
      <c r="O21" s="424"/>
      <c r="P21" s="424"/>
      <c r="Q21" s="424"/>
      <c r="R21" s="424"/>
      <c r="AD21" s="424"/>
      <c r="AE21" s="424"/>
      <c r="AF21" s="424"/>
    </row>
    <row r="22" spans="5:32">
      <c r="J22" s="424"/>
      <c r="K22" s="424"/>
      <c r="L22" s="424"/>
      <c r="M22" s="424"/>
      <c r="N22" s="424"/>
      <c r="O22" s="424"/>
      <c r="P22" s="424"/>
      <c r="Q22" s="424"/>
      <c r="R22" s="424"/>
      <c r="AB22" s="425"/>
      <c r="AD22" s="424"/>
      <c r="AE22" s="424"/>
      <c r="AF22" s="424"/>
    </row>
    <row r="23" spans="5:32">
      <c r="J23" s="424"/>
      <c r="K23" s="424"/>
      <c r="L23" s="424"/>
      <c r="M23" s="424"/>
      <c r="N23" s="424"/>
      <c r="O23" s="424"/>
      <c r="P23" s="424"/>
      <c r="Q23" s="424"/>
      <c r="R23" s="424"/>
      <c r="AD23" s="424"/>
      <c r="AE23" s="424"/>
      <c r="AF23" s="424"/>
    </row>
    <row r="24" spans="5:32">
      <c r="F24" s="424"/>
      <c r="J24" s="424"/>
      <c r="K24" s="424"/>
      <c r="L24" s="424"/>
      <c r="M24" s="424"/>
      <c r="N24" s="424"/>
      <c r="O24" s="424"/>
      <c r="P24" s="424"/>
      <c r="Q24" s="424"/>
      <c r="R24" s="424"/>
      <c r="AD24" s="424"/>
      <c r="AE24" s="424"/>
      <c r="AF24" s="424"/>
    </row>
    <row r="25" spans="5:32">
      <c r="E25" s="390"/>
      <c r="J25" s="424"/>
      <c r="K25" s="424"/>
      <c r="L25" s="424"/>
      <c r="M25" s="424"/>
      <c r="N25" s="424"/>
      <c r="O25" s="424"/>
      <c r="P25" s="424"/>
      <c r="Q25" s="424"/>
      <c r="R25" s="424"/>
      <c r="T25" s="426"/>
    </row>
    <row r="26" spans="5:32">
      <c r="J26" s="424"/>
      <c r="K26" s="424"/>
      <c r="L26" s="424"/>
      <c r="M26" s="424"/>
      <c r="N26" s="424"/>
      <c r="O26" s="424"/>
      <c r="P26" s="424"/>
      <c r="Q26" s="424"/>
      <c r="R26" s="424"/>
      <c r="T26" s="426"/>
    </row>
    <row r="27" spans="5:32">
      <c r="J27" s="424"/>
      <c r="K27" s="424"/>
      <c r="L27" s="424"/>
      <c r="M27" s="424"/>
      <c r="N27" s="424"/>
      <c r="O27" s="424"/>
      <c r="P27" s="424"/>
      <c r="Q27" s="424"/>
      <c r="R27" s="424"/>
      <c r="T27" s="426"/>
    </row>
    <row r="28" spans="5:32">
      <c r="T28" s="426"/>
    </row>
    <row r="29" spans="5:32">
      <c r="T29" s="426"/>
    </row>
    <row r="30" spans="5:32">
      <c r="T30" s="426"/>
    </row>
    <row r="31" spans="5:32">
      <c r="T31" s="426"/>
    </row>
    <row r="32" spans="5:32">
      <c r="T32" s="426"/>
    </row>
    <row r="33" spans="2:34">
      <c r="T33" s="426"/>
    </row>
    <row r="34" spans="2:34">
      <c r="T34" s="426"/>
    </row>
    <row r="35" spans="2:34">
      <c r="T35" s="426"/>
    </row>
    <row r="36" spans="2:34">
      <c r="T36" s="426"/>
    </row>
    <row r="37" spans="2:34">
      <c r="E37" s="390"/>
      <c r="T37" s="426"/>
    </row>
    <row r="38" spans="2:34">
      <c r="T38" s="426"/>
    </row>
    <row r="39" spans="2:34">
      <c r="T39" s="426"/>
    </row>
    <row r="40" spans="2:34">
      <c r="T40" s="426"/>
    </row>
    <row r="41" spans="2:34">
      <c r="T41" s="426"/>
    </row>
    <row r="42" spans="2:34">
      <c r="T42" s="426"/>
    </row>
    <row r="43" spans="2:34">
      <c r="T43" s="426"/>
    </row>
    <row r="44" spans="2:34">
      <c r="F44" s="424"/>
      <c r="T44" s="426"/>
    </row>
    <row r="45" spans="2:34">
      <c r="F45" s="424"/>
    </row>
    <row r="46" spans="2:34">
      <c r="B46" s="424"/>
      <c r="C46" s="424"/>
      <c r="D46" s="424"/>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row>
    <row r="47" spans="2:34">
      <c r="B47" s="361"/>
      <c r="C47" s="361"/>
      <c r="D47" s="361"/>
      <c r="E47" s="42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row>
    <row r="48" spans="2:3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row>
    <row r="49" spans="2:41">
      <c r="B49" s="361"/>
      <c r="C49" s="424"/>
      <c r="D49" s="424"/>
      <c r="E49" s="424"/>
      <c r="F49" s="424"/>
      <c r="G49" s="424"/>
      <c r="H49" s="424"/>
      <c r="I49" s="424"/>
      <c r="J49" s="424"/>
      <c r="K49" s="424"/>
      <c r="L49" s="424"/>
      <c r="M49" s="424"/>
      <c r="N49" s="424"/>
      <c r="O49" s="424"/>
      <c r="P49" s="361"/>
      <c r="Q49" s="424"/>
      <c r="R49" s="424"/>
      <c r="S49" s="424"/>
      <c r="T49" s="424"/>
      <c r="U49" s="424"/>
      <c r="V49" s="424"/>
      <c r="W49" s="424"/>
      <c r="X49" s="361"/>
      <c r="Y49" s="424"/>
      <c r="Z49" s="424"/>
      <c r="AA49" s="424"/>
      <c r="AB49" s="424"/>
      <c r="AC49" s="424"/>
      <c r="AD49" s="424"/>
      <c r="AE49" s="424"/>
      <c r="AF49" s="424"/>
      <c r="AG49" s="424"/>
      <c r="AH49" s="424"/>
      <c r="AO49" s="390"/>
    </row>
    <row r="50" spans="2:41">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row>
    <row r="51" spans="2:41">
      <c r="B51" s="424"/>
      <c r="C51" s="424"/>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row>
    <row r="52" spans="2:41">
      <c r="B52" s="424"/>
      <c r="C52" s="424"/>
      <c r="D52" s="424"/>
      <c r="E52" s="424"/>
      <c r="F52" s="424"/>
      <c r="G52" s="424"/>
      <c r="H52" s="424"/>
      <c r="I52" s="424"/>
      <c r="J52" s="424"/>
      <c r="K52" s="424"/>
      <c r="L52" s="424"/>
      <c r="M52" s="424"/>
      <c r="N52" s="424"/>
      <c r="O52" s="424"/>
      <c r="P52" s="424"/>
      <c r="Q52" s="424"/>
      <c r="R52" s="424"/>
      <c r="S52" s="424"/>
      <c r="T52" s="424"/>
      <c r="U52" s="424"/>
      <c r="V52" s="424"/>
      <c r="W52" s="424"/>
      <c r="X52" s="424"/>
      <c r="Y52" s="424"/>
      <c r="Z52" s="424"/>
      <c r="AA52" s="424"/>
      <c r="AB52" s="424"/>
      <c r="AC52" s="424"/>
      <c r="AD52" s="424"/>
      <c r="AE52" s="424"/>
      <c r="AF52" s="424"/>
      <c r="AG52" s="424"/>
      <c r="AH52" s="424"/>
    </row>
    <row r="53" spans="2:41">
      <c r="B53" s="424"/>
      <c r="C53" s="424"/>
      <c r="D53" s="424"/>
      <c r="E53" s="424"/>
      <c r="F53" s="424"/>
      <c r="G53" s="424"/>
      <c r="H53" s="424"/>
      <c r="I53" s="424"/>
      <c r="J53" s="424"/>
      <c r="K53" s="424"/>
      <c r="L53" s="424"/>
      <c r="M53" s="424"/>
      <c r="N53" s="424"/>
      <c r="O53" s="424"/>
      <c r="P53" s="424"/>
      <c r="Q53" s="424"/>
      <c r="R53" s="424"/>
      <c r="S53" s="424"/>
      <c r="T53" s="424"/>
      <c r="U53" s="424"/>
      <c r="V53" s="424"/>
      <c r="W53" s="424"/>
      <c r="X53" s="424"/>
      <c r="Y53" s="424"/>
      <c r="Z53" s="424"/>
      <c r="AA53" s="424"/>
      <c r="AB53" s="424"/>
      <c r="AC53" s="424"/>
      <c r="AD53" s="424"/>
      <c r="AE53" s="424"/>
      <c r="AF53" s="424"/>
      <c r="AG53" s="424"/>
      <c r="AH53" s="424"/>
    </row>
    <row r="54" spans="2:41">
      <c r="B54" s="424"/>
      <c r="C54" s="424"/>
      <c r="D54" s="424"/>
      <c r="E54" s="424"/>
      <c r="F54" s="424"/>
      <c r="G54" s="424"/>
      <c r="H54" s="424"/>
      <c r="I54" s="424"/>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row>
    <row r="55" spans="2:41">
      <c r="B55" s="424"/>
      <c r="C55" s="424"/>
      <c r="D55" s="424"/>
      <c r="E55" s="424"/>
      <c r="F55" s="424"/>
      <c r="G55" s="424"/>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row>
    <row r="56" spans="2:41">
      <c r="B56" s="424"/>
      <c r="C56" s="424"/>
      <c r="D56" s="424"/>
      <c r="E56" s="424"/>
      <c r="F56" s="424"/>
      <c r="G56" s="42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row>
    <row r="57" spans="2:41">
      <c r="B57" s="424"/>
      <c r="C57" s="424"/>
      <c r="D57" s="424"/>
      <c r="E57" s="424"/>
      <c r="F57" s="424"/>
      <c r="G57" s="424"/>
      <c r="H57" s="424"/>
      <c r="I57" s="424"/>
      <c r="J57" s="424"/>
      <c r="K57" s="424"/>
      <c r="L57" s="424"/>
      <c r="M57" s="424"/>
      <c r="N57" s="424"/>
      <c r="O57" s="424"/>
      <c r="P57" s="424"/>
      <c r="Q57" s="424"/>
      <c r="R57" s="424"/>
      <c r="S57" s="424"/>
      <c r="T57" s="424"/>
      <c r="U57" s="424"/>
      <c r="V57" s="424"/>
      <c r="W57" s="424"/>
      <c r="X57" s="424"/>
      <c r="Y57" s="424"/>
      <c r="Z57" s="424"/>
      <c r="AA57" s="424"/>
      <c r="AB57" s="424"/>
      <c r="AC57" s="424"/>
      <c r="AD57" s="424"/>
      <c r="AE57" s="424"/>
      <c r="AF57" s="424"/>
      <c r="AG57" s="424"/>
      <c r="AH57" s="424"/>
    </row>
    <row r="58" spans="2:41">
      <c r="B58" s="424"/>
      <c r="C58" s="424"/>
      <c r="D58" s="424"/>
      <c r="E58" s="424"/>
      <c r="F58" s="424"/>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row>
    <row r="59" spans="2:41">
      <c r="B59" s="424"/>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row>
    <row r="60" spans="2:41">
      <c r="B60" s="424"/>
      <c r="C60" s="424"/>
      <c r="D60" s="424"/>
      <c r="E60" s="424"/>
      <c r="F60" s="424"/>
      <c r="G60" s="424"/>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row>
    <row r="61" spans="2:41">
      <c r="B61" s="424"/>
      <c r="C61" s="424"/>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row>
    <row r="62" spans="2:41" ht="15.5">
      <c r="B62" s="873" t="s">
        <v>893</v>
      </c>
      <c r="C62" s="873"/>
      <c r="D62" s="873"/>
      <c r="E62" s="873"/>
      <c r="F62" s="873"/>
      <c r="G62" s="873"/>
      <c r="H62" s="873"/>
      <c r="I62" s="873"/>
      <c r="J62" s="873"/>
      <c r="K62" s="873"/>
      <c r="L62" s="873"/>
      <c r="M62" s="873"/>
      <c r="N62" s="873"/>
      <c r="O62" s="873"/>
      <c r="P62" s="873"/>
      <c r="Q62" s="424"/>
      <c r="R62" s="424"/>
      <c r="S62" s="424"/>
      <c r="T62" s="424"/>
      <c r="U62" s="424"/>
      <c r="V62" s="424"/>
      <c r="W62" s="424"/>
      <c r="X62" s="424"/>
      <c r="Y62" s="424"/>
      <c r="Z62" s="424"/>
      <c r="AA62" s="424"/>
      <c r="AB62" s="424"/>
      <c r="AC62" s="424"/>
      <c r="AD62" s="424"/>
      <c r="AE62" s="424"/>
      <c r="AF62" s="424"/>
      <c r="AG62" s="424"/>
      <c r="AH62" s="424"/>
    </row>
    <row r="63" spans="2:41">
      <c r="B63" s="424"/>
      <c r="C63" s="424"/>
      <c r="D63" s="424"/>
      <c r="E63" s="424"/>
      <c r="F63" s="424"/>
      <c r="G63" s="424"/>
      <c r="H63" s="424"/>
      <c r="I63" s="424"/>
      <c r="J63" s="424"/>
      <c r="K63" s="424"/>
      <c r="L63" s="424"/>
      <c r="M63" s="424"/>
      <c r="N63" s="424"/>
      <c r="O63" s="424"/>
      <c r="P63" s="424"/>
      <c r="Q63" s="424"/>
      <c r="R63" s="424"/>
      <c r="S63" s="424"/>
      <c r="T63" s="424"/>
      <c r="U63" s="424"/>
      <c r="V63" s="424"/>
      <c r="W63" s="424"/>
      <c r="X63" s="424"/>
      <c r="Y63" s="424"/>
      <c r="Z63" s="424"/>
      <c r="AA63" s="424"/>
      <c r="AB63" s="424"/>
      <c r="AC63" s="424"/>
      <c r="AD63" s="424"/>
      <c r="AE63" s="424"/>
      <c r="AF63" s="424"/>
      <c r="AG63" s="424"/>
      <c r="AH63" s="424"/>
    </row>
    <row r="64" spans="2:41">
      <c r="B64" s="424"/>
      <c r="C64" s="424"/>
      <c r="D64" s="424"/>
      <c r="E64" s="424"/>
      <c r="F64" s="424"/>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row>
    <row r="65" spans="2:34">
      <c r="B65" s="424"/>
      <c r="C65" s="424"/>
      <c r="D65" s="424"/>
      <c r="E65" s="424"/>
      <c r="F65" s="424"/>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row>
    <row r="66" spans="2:34">
      <c r="B66" s="424"/>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row>
    <row r="67" spans="2:34">
      <c r="B67" s="361"/>
      <c r="C67" s="424"/>
      <c r="D67" s="424"/>
      <c r="E67" s="424"/>
      <c r="F67" s="424"/>
      <c r="G67" s="424"/>
      <c r="H67" s="424"/>
      <c r="I67" s="424"/>
      <c r="J67" s="424"/>
      <c r="K67" s="361"/>
      <c r="L67" s="424"/>
      <c r="M67" s="424"/>
      <c r="N67" s="424"/>
      <c r="O67" s="424"/>
      <c r="P67" s="424"/>
      <c r="Q67" s="424"/>
      <c r="R67" s="424"/>
      <c r="S67" s="424"/>
      <c r="T67" s="424"/>
      <c r="U67" s="361"/>
      <c r="V67" s="424"/>
      <c r="W67" s="424"/>
      <c r="X67" s="424"/>
      <c r="Y67" s="424"/>
      <c r="Z67" s="424"/>
      <c r="AA67" s="424"/>
      <c r="AB67" s="424"/>
      <c r="AC67" s="424"/>
      <c r="AD67" s="424"/>
      <c r="AE67" s="424"/>
      <c r="AF67" s="424"/>
      <c r="AG67" s="424"/>
      <c r="AH67" s="424"/>
    </row>
    <row r="68" spans="2:34">
      <c r="B68" s="424"/>
      <c r="C68" s="424"/>
      <c r="D68" s="42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row>
    <row r="69" spans="2:34">
      <c r="B69" s="424"/>
      <c r="C69" s="424"/>
      <c r="D69" s="424"/>
      <c r="E69" s="424"/>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row>
    <row r="70" spans="2:34">
      <c r="B70" s="424"/>
      <c r="C70" s="424"/>
      <c r="D70" s="424"/>
      <c r="E70" s="424"/>
      <c r="F70" s="424"/>
      <c r="G70" s="424"/>
      <c r="H70" s="424"/>
      <c r="I70" s="424"/>
      <c r="J70" s="424"/>
      <c r="K70" s="424"/>
      <c r="L70" s="424"/>
      <c r="M70" s="424"/>
      <c r="N70" s="424"/>
      <c r="O70" s="424"/>
      <c r="P70" s="424"/>
      <c r="Q70" s="424"/>
      <c r="R70" s="424"/>
      <c r="S70" s="424"/>
      <c r="T70" s="424"/>
      <c r="U70" s="424"/>
      <c r="V70" s="424"/>
      <c r="W70" s="424"/>
      <c r="X70" s="424"/>
      <c r="Y70" s="424"/>
      <c r="Z70" s="424"/>
      <c r="AA70" s="424"/>
      <c r="AB70" s="424"/>
      <c r="AC70" s="424"/>
      <c r="AD70" s="424"/>
      <c r="AE70" s="424"/>
      <c r="AF70" s="424"/>
      <c r="AG70" s="424"/>
      <c r="AH70" s="424"/>
    </row>
    <row r="71" spans="2:34">
      <c r="B71" s="424"/>
      <c r="C71" s="424"/>
      <c r="D71" s="424"/>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row>
    <row r="72" spans="2:34">
      <c r="B72" s="424"/>
      <c r="C72" s="424"/>
      <c r="D72" s="424"/>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row>
    <row r="73" spans="2:34">
      <c r="B73" s="424"/>
      <c r="C73" s="424"/>
      <c r="D73" s="424"/>
      <c r="E73" s="424"/>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row>
    <row r="74" spans="2:34">
      <c r="B74" s="424"/>
      <c r="C74" s="424"/>
      <c r="D74" s="424"/>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row>
    <row r="75" spans="2:34">
      <c r="B75" s="424"/>
      <c r="C75" s="424"/>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row>
    <row r="76" spans="2:34">
      <c r="B76" s="424"/>
      <c r="C76" s="424"/>
      <c r="D76" s="424"/>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row>
    <row r="77" spans="2:34">
      <c r="B77" s="424"/>
      <c r="C77" s="424"/>
      <c r="D77" s="424"/>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row>
    <row r="78" spans="2:34">
      <c r="B78" s="424"/>
      <c r="C78" s="424"/>
      <c r="D78" s="424"/>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row>
    <row r="79" spans="2:34">
      <c r="B79" s="424"/>
      <c r="C79" s="424"/>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row>
    <row r="80" spans="2:34">
      <c r="B80" s="424"/>
      <c r="C80" s="424"/>
      <c r="D80" s="424"/>
      <c r="E80" s="424"/>
      <c r="F80" s="424"/>
      <c r="G80" s="424"/>
      <c r="H80" s="424"/>
      <c r="I80" s="424"/>
      <c r="J80" s="424"/>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row>
    <row r="81" spans="2:34">
      <c r="B81" s="424"/>
      <c r="C81" s="424"/>
      <c r="D81" s="424"/>
      <c r="E81" s="424"/>
      <c r="F81" s="424"/>
      <c r="G81" s="424"/>
      <c r="H81" s="424"/>
      <c r="I81" s="424"/>
      <c r="J81" s="424"/>
      <c r="K81" s="424"/>
      <c r="L81" s="424"/>
      <c r="M81" s="424"/>
      <c r="N81" s="424"/>
      <c r="O81" s="424"/>
      <c r="P81" s="424"/>
      <c r="Q81" s="424"/>
      <c r="R81" s="424"/>
      <c r="S81" s="424"/>
      <c r="T81" s="424"/>
      <c r="U81" s="424"/>
      <c r="V81" s="424"/>
      <c r="W81" s="424"/>
      <c r="X81" s="424"/>
      <c r="Y81" s="424"/>
      <c r="Z81" s="424"/>
      <c r="AA81" s="424"/>
      <c r="AB81" s="424"/>
      <c r="AC81" s="424"/>
      <c r="AD81" s="424"/>
      <c r="AE81" s="424"/>
      <c r="AF81" s="424"/>
      <c r="AG81" s="424"/>
      <c r="AH81" s="424"/>
    </row>
    <row r="82" spans="2:34">
      <c r="B82" s="424"/>
      <c r="C82" s="424"/>
      <c r="D82" s="424"/>
      <c r="E82" s="424"/>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c r="AE82" s="424"/>
      <c r="AF82" s="424"/>
      <c r="AG82" s="424"/>
      <c r="AH82" s="424"/>
    </row>
    <row r="83" spans="2:34">
      <c r="B83" s="424"/>
      <c r="C83" s="424"/>
      <c r="D83" s="424"/>
      <c r="E83" s="424"/>
      <c r="F83" s="424"/>
      <c r="G83" s="424"/>
      <c r="H83" s="424"/>
      <c r="I83" s="424"/>
      <c r="J83" s="424"/>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row>
    <row r="84" spans="2:34">
      <c r="B84" s="424"/>
      <c r="C84" s="424"/>
      <c r="D84" s="424"/>
      <c r="E84" s="424"/>
      <c r="F84" s="424"/>
      <c r="G84" s="424"/>
      <c r="H84" s="424"/>
      <c r="I84" s="424"/>
      <c r="J84" s="424"/>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row>
    <row r="85" spans="2:34">
      <c r="B85" s="361"/>
      <c r="C85" s="424"/>
      <c r="D85" s="424"/>
      <c r="E85" s="424"/>
      <c r="F85" s="424"/>
      <c r="G85" s="424"/>
      <c r="H85" s="424"/>
      <c r="I85" s="427"/>
      <c r="J85" s="427"/>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row>
    <row r="86" spans="2:34">
      <c r="B86" s="424"/>
      <c r="C86" s="424"/>
      <c r="D86" s="424"/>
      <c r="E86" s="424"/>
      <c r="F86" s="424"/>
      <c r="G86" s="424"/>
      <c r="H86" s="424"/>
      <c r="I86" s="424"/>
      <c r="J86" s="424"/>
      <c r="K86" s="424"/>
      <c r="L86" s="424"/>
      <c r="M86" s="424"/>
      <c r="N86" s="424"/>
      <c r="O86" s="424"/>
      <c r="P86" s="424"/>
      <c r="Q86" s="424"/>
      <c r="R86" s="424"/>
      <c r="S86" s="424"/>
      <c r="T86" s="424"/>
      <c r="U86" s="424"/>
      <c r="V86" s="424"/>
      <c r="W86" s="424"/>
      <c r="X86" s="424"/>
      <c r="Y86" s="424"/>
      <c r="Z86" s="424"/>
      <c r="AA86" s="424"/>
      <c r="AB86" s="424"/>
      <c r="AC86" s="424"/>
      <c r="AD86" s="424"/>
      <c r="AE86" s="424"/>
      <c r="AF86" s="424"/>
      <c r="AG86" s="424"/>
      <c r="AH86" s="424"/>
    </row>
    <row r="87" spans="2:34">
      <c r="B87" s="428"/>
      <c r="C87" s="424"/>
      <c r="D87" s="424"/>
      <c r="E87" s="424"/>
      <c r="F87" s="424"/>
      <c r="G87" s="871"/>
      <c r="H87" s="871"/>
      <c r="I87" s="871"/>
      <c r="J87" s="871"/>
      <c r="K87" s="871"/>
      <c r="L87" s="427"/>
      <c r="M87" s="427"/>
      <c r="N87" s="424"/>
      <c r="O87" s="424"/>
      <c r="P87" s="424"/>
      <c r="Q87" s="424"/>
      <c r="R87" s="424"/>
      <c r="S87" s="424"/>
      <c r="T87" s="424"/>
      <c r="U87" s="424"/>
      <c r="V87" s="424"/>
      <c r="W87" s="424"/>
      <c r="X87" s="424"/>
      <c r="Y87" s="424"/>
      <c r="Z87" s="424"/>
      <c r="AA87" s="424"/>
      <c r="AB87" s="424"/>
      <c r="AC87" s="424"/>
      <c r="AD87" s="424"/>
      <c r="AE87" s="424"/>
      <c r="AF87" s="424"/>
      <c r="AG87" s="424"/>
      <c r="AH87" s="424"/>
    </row>
    <row r="88" spans="2:34">
      <c r="B88" s="424"/>
      <c r="C88" s="424"/>
      <c r="D88" s="424"/>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row>
    <row r="89" spans="2:34">
      <c r="B89" s="424"/>
      <c r="C89" s="424"/>
      <c r="D89" s="424"/>
      <c r="E89" s="424"/>
      <c r="F89" s="424"/>
      <c r="G89" s="424"/>
      <c r="H89" s="424"/>
      <c r="I89" s="424"/>
      <c r="J89" s="424"/>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row>
    <row r="90" spans="2:34">
      <c r="B90" s="424"/>
      <c r="C90" s="424"/>
      <c r="D90" s="424"/>
      <c r="E90" s="424"/>
      <c r="F90" s="424"/>
      <c r="G90" s="424"/>
      <c r="H90" s="424"/>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row>
    <row r="91" spans="2:34">
      <c r="B91" s="424"/>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row>
    <row r="92" spans="2:34">
      <c r="B92" s="424"/>
      <c r="C92" s="424"/>
      <c r="D92" s="424"/>
      <c r="E92" s="424"/>
      <c r="F92" s="424"/>
      <c r="G92" s="424"/>
      <c r="H92" s="424"/>
      <c r="I92" s="424"/>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row>
    <row r="93" spans="2:34">
      <c r="B93" s="424"/>
      <c r="C93" s="424"/>
      <c r="D93" s="424"/>
      <c r="E93" s="424"/>
      <c r="F93" s="424"/>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row>
    <row r="94" spans="2:34">
      <c r="B94" s="424"/>
      <c r="C94" s="424"/>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row>
    <row r="95" spans="2:34">
      <c r="B95" s="424"/>
      <c r="C95" s="424"/>
      <c r="D95" s="424"/>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row>
    <row r="96" spans="2:34">
      <c r="B96" s="424"/>
      <c r="C96" s="424"/>
      <c r="D96" s="424"/>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row>
    <row r="97" spans="2:34">
      <c r="B97" s="424"/>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row>
    <row r="98" spans="2:34">
      <c r="B98" s="424"/>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row>
    <row r="99" spans="2:34">
      <c r="B99" s="424"/>
      <c r="C99" s="424"/>
      <c r="D99" s="424"/>
      <c r="E99" s="424"/>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row>
    <row r="100" spans="2:34">
      <c r="B100" s="424"/>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row>
    <row r="101" spans="2:34">
      <c r="B101" s="424"/>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row>
    <row r="102" spans="2:34">
      <c r="B102" s="424"/>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row>
    <row r="103" spans="2:34">
      <c r="B103" s="424"/>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c r="AH103" s="424"/>
    </row>
    <row r="104" spans="2:34">
      <c r="B104" s="424"/>
      <c r="C104" s="424"/>
      <c r="D104" s="424"/>
      <c r="E104" s="424"/>
      <c r="F104" s="424"/>
      <c r="G104" s="424"/>
      <c r="H104" s="429"/>
      <c r="I104" s="429"/>
      <c r="J104" s="424"/>
      <c r="K104" s="424"/>
      <c r="L104" s="424"/>
      <c r="M104" s="430"/>
      <c r="N104" s="430"/>
      <c r="O104" s="430"/>
      <c r="P104" s="424"/>
      <c r="Q104" s="424"/>
      <c r="R104" s="424"/>
      <c r="S104" s="424"/>
      <c r="T104" s="424"/>
      <c r="U104" s="424"/>
      <c r="V104" s="424"/>
      <c r="W104" s="424"/>
      <c r="X104" s="424"/>
      <c r="Y104" s="424"/>
      <c r="Z104" s="424"/>
      <c r="AA104" s="424"/>
      <c r="AB104" s="424"/>
      <c r="AC104" s="424"/>
      <c r="AD104" s="424"/>
      <c r="AE104" s="424"/>
      <c r="AF104" s="424"/>
      <c r="AG104" s="424"/>
      <c r="AH104" s="424"/>
    </row>
    <row r="105" spans="2:34">
      <c r="B105" s="424"/>
      <c r="C105" s="424"/>
      <c r="D105" s="424"/>
      <c r="E105" s="424"/>
      <c r="F105" s="424"/>
      <c r="G105" s="424"/>
      <c r="H105" s="429"/>
      <c r="I105" s="429"/>
      <c r="J105" s="424"/>
      <c r="K105" s="424"/>
      <c r="L105" s="424"/>
      <c r="M105" s="430"/>
      <c r="N105" s="430"/>
      <c r="O105" s="430"/>
      <c r="P105" s="424"/>
      <c r="Q105" s="424"/>
      <c r="R105" s="424"/>
      <c r="S105" s="424"/>
      <c r="T105" s="424"/>
      <c r="U105" s="424"/>
      <c r="V105" s="424"/>
      <c r="W105" s="424"/>
      <c r="X105" s="424"/>
      <c r="Y105" s="424"/>
      <c r="Z105" s="424"/>
      <c r="AA105" s="424"/>
      <c r="AB105" s="424"/>
      <c r="AC105" s="424"/>
      <c r="AD105" s="424"/>
      <c r="AE105" s="424"/>
      <c r="AF105" s="424"/>
      <c r="AG105" s="424"/>
      <c r="AH105" s="424"/>
    </row>
    <row r="106" spans="2:34" ht="31" customHeight="1">
      <c r="B106" s="870" t="s">
        <v>933</v>
      </c>
      <c r="C106" s="870"/>
      <c r="D106" s="870"/>
      <c r="E106" s="870"/>
      <c r="F106" s="870"/>
      <c r="G106" s="870"/>
      <c r="H106" s="870"/>
      <c r="I106" s="870"/>
      <c r="J106" s="870"/>
      <c r="K106" s="870"/>
      <c r="L106" s="870"/>
      <c r="M106" s="870"/>
      <c r="N106" s="870"/>
      <c r="O106" s="870"/>
      <c r="P106" s="870"/>
      <c r="Q106" s="424"/>
      <c r="R106" s="424"/>
      <c r="S106" s="424"/>
      <c r="T106" s="424"/>
      <c r="U106" s="424"/>
      <c r="V106" s="424"/>
      <c r="W106" s="424"/>
      <c r="X106" s="424"/>
      <c r="Y106" s="424"/>
      <c r="Z106" s="424"/>
      <c r="AA106" s="424"/>
      <c r="AB106" s="424"/>
      <c r="AC106" s="424"/>
      <c r="AD106" s="424"/>
      <c r="AE106" s="424"/>
      <c r="AF106" s="424"/>
      <c r="AG106" s="424"/>
      <c r="AH106" s="424"/>
    </row>
    <row r="107" spans="2:34">
      <c r="B107" s="424"/>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row>
    <row r="108" spans="2:34">
      <c r="J108" s="6" t="str">
        <f>"NPV in "&amp;General_Currency_Selection</f>
        <v>NPV in USD</v>
      </c>
    </row>
    <row r="128" spans="3:3">
      <c r="C128" s="614"/>
    </row>
  </sheetData>
  <sheetProtection algorithmName="SHA-512" hashValue="8iKZUDikyL2pvR52Df8LGd1dbc7THU9eBnRiDt39T17vMUxQ3RiLqle3V4Gqq0BOUsiU6nvkUBaHixTI1lGunQ==" saltValue="w5iok4NPa+f411AQszUw+g==" spinCount="100000" sheet="1" objects="1" scenarios="1"/>
  <mergeCells count="8">
    <mergeCell ref="B106:P106"/>
    <mergeCell ref="G87:K87"/>
    <mergeCell ref="B2:P2"/>
    <mergeCell ref="B4:D4"/>
    <mergeCell ref="F4:H4"/>
    <mergeCell ref="J4:L4"/>
    <mergeCell ref="N4:P4"/>
    <mergeCell ref="B62:P62"/>
  </mergeCells>
  <conditionalFormatting sqref="G7 K7:K8 K10:K15 T25:T44">
    <cfRule type="expression" dxfId="934" priority="33">
      <formula>IF(INDIRECT("General_Currency_Selection")="CHF",TRUE)</formula>
    </cfRule>
    <cfRule type="expression" dxfId="933" priority="34">
      <formula>IF(INDIRECT("General_Currency_Selection")="EUR",TRUE)</formula>
    </cfRule>
    <cfRule type="expression" dxfId="932" priority="35">
      <formula>IF(INDIRECT("General_Currency_Selection")="USD",TRUE)</formula>
    </cfRule>
  </conditionalFormatting>
  <conditionalFormatting sqref="K9">
    <cfRule type="expression" dxfId="931" priority="15">
      <formula>IF(INDIRECT("General_Currency_Selection")="CHF",TRUE)</formula>
    </cfRule>
    <cfRule type="expression" dxfId="930" priority="16">
      <formula>IF(INDIRECT("General_Currency_Selection")="EUR",TRUE)</formula>
    </cfRule>
    <cfRule type="expression" dxfId="929" priority="17">
      <formula>IF(INDIRECT("General_Currency_Selection")="USD",TRUE)</formula>
    </cfRule>
  </conditionalFormatting>
  <conditionalFormatting sqref="G9">
    <cfRule type="expression" dxfId="928" priority="12">
      <formula>IF(INDIRECT("General_Currency_Selection")="CHF",TRUE)</formula>
    </cfRule>
    <cfRule type="expression" dxfId="927" priority="13">
      <formula>IF(INDIRECT("General_Currency_Selection")="EUR",TRUE)</formula>
    </cfRule>
    <cfRule type="expression" dxfId="926" priority="14">
      <formula>IF(INDIRECT("General_Currency_Selection")="USD",TRUE)</formula>
    </cfRule>
  </conditionalFormatting>
  <conditionalFormatting sqref="G10">
    <cfRule type="expression" dxfId="925" priority="9">
      <formula>IF(INDIRECT("General_Currency_Selection")="CHF",TRUE)</formula>
    </cfRule>
    <cfRule type="expression" dxfId="924" priority="10">
      <formula>IF(INDIRECT("General_Currency_Selection")="EUR",TRUE)</formula>
    </cfRule>
    <cfRule type="expression" dxfId="923" priority="11">
      <formula>IF(INDIRECT("General_Currency_Selection")="USD",TRUE)</formula>
    </cfRule>
  </conditionalFormatting>
  <conditionalFormatting sqref="G8">
    <cfRule type="expression" dxfId="922" priority="6">
      <formula>IF(INDIRECT("General_Currency_Selection")="CHF",TRUE)</formula>
    </cfRule>
    <cfRule type="expression" dxfId="921" priority="7">
      <formula>IF(INDIRECT("General_Currency_Selection")="EUR",TRUE)</formula>
    </cfRule>
    <cfRule type="expression" dxfId="920" priority="8">
      <formula>IF(INDIRECT("General_Currency_Selection")="USD",TRUE)</formula>
    </cfRule>
  </conditionalFormatting>
  <conditionalFormatting sqref="G14">
    <cfRule type="expression" dxfId="919" priority="1">
      <formula>IF(INDIRECT("General_Currency_Selection")="CHF",TRUE)</formula>
    </cfRule>
    <cfRule type="expression" dxfId="918" priority="2">
      <formula>IF(INDIRECT("General_Currency_Selection")="EUR",TRUE)</formula>
    </cfRule>
    <cfRule type="expression" dxfId="917" priority="3">
      <formula>IF(INDIRECT("General_Currency_Selection")="USD",TRUE)</formula>
    </cfRule>
  </conditionalFormatting>
  <conditionalFormatting sqref="G14">
    <cfRule type="cellIs" dxfId="916" priority="5" operator="greaterThan">
      <formula>0</formula>
    </cfRule>
  </conditionalFormatting>
  <conditionalFormatting sqref="G14">
    <cfRule type="cellIs" dxfId="915" priority="4"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'1.0-General input'!$C$40:$C$46</xm:f>
          </x14:formula1>
          <xm:sqref>G87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14999847407452621"/>
  </sheetPr>
  <dimension ref="B1:T69"/>
  <sheetViews>
    <sheetView showGridLines="0" showRowColHeaders="0" topLeftCell="A43" zoomScale="70" zoomScaleNormal="70" workbookViewId="0">
      <selection activeCell="C69" sqref="C69"/>
    </sheetView>
  </sheetViews>
  <sheetFormatPr defaultColWidth="8.7265625" defaultRowHeight="14.5"/>
  <cols>
    <col min="1" max="1" width="0.81640625" style="15" customWidth="1"/>
    <col min="2" max="2" width="45.1796875" style="15" bestFit="1" customWidth="1"/>
    <col min="3" max="3" width="52" style="15" customWidth="1"/>
    <col min="4" max="4" width="31" style="15" customWidth="1"/>
    <col min="5" max="5" width="20.453125" style="15" bestFit="1" customWidth="1"/>
    <col min="6" max="6" width="29.1796875" style="15" customWidth="1"/>
    <col min="7" max="7" width="27.81640625" style="15" customWidth="1"/>
    <col min="8" max="8" width="33" style="15" customWidth="1"/>
    <col min="9" max="9" width="27.453125" style="15" bestFit="1" customWidth="1"/>
    <col min="10" max="10" width="24.81640625" style="15" customWidth="1"/>
    <col min="11" max="11" width="16.1796875" style="15" bestFit="1" customWidth="1"/>
    <col min="12" max="12" width="50.1796875" style="15" bestFit="1" customWidth="1"/>
    <col min="13" max="13" width="17.7265625" style="15" customWidth="1"/>
    <col min="14" max="14" width="53.81640625" style="15" bestFit="1" customWidth="1"/>
    <col min="15" max="15" width="19.26953125" style="15" customWidth="1"/>
    <col min="16" max="16" width="28.54296875" style="15" customWidth="1"/>
    <col min="17" max="17" width="26.26953125" style="15" customWidth="1"/>
    <col min="18" max="18" width="21.453125" style="15" customWidth="1"/>
    <col min="19" max="19" width="16.453125" style="15" customWidth="1"/>
    <col min="20" max="20" width="20.26953125" style="15" customWidth="1"/>
    <col min="21" max="16384" width="8.7265625" style="15"/>
  </cols>
  <sheetData>
    <row r="1" spans="2:15" ht="5.15" customHeight="1">
      <c r="B1" s="22"/>
      <c r="C1" s="22"/>
      <c r="D1" s="22"/>
      <c r="E1" s="22"/>
      <c r="F1" s="22"/>
      <c r="G1" s="22"/>
    </row>
    <row r="2" spans="2:15" ht="18.5">
      <c r="B2" s="487" t="s">
        <v>172</v>
      </c>
      <c r="C2" s="487"/>
      <c r="D2" s="487"/>
      <c r="E2" s="487"/>
      <c r="F2" s="487"/>
      <c r="G2" s="487"/>
      <c r="H2" s="487"/>
      <c r="I2" s="487"/>
      <c r="J2" s="487"/>
      <c r="K2" s="487"/>
      <c r="L2" s="487"/>
      <c r="M2" s="487"/>
      <c r="N2" s="487"/>
      <c r="O2" s="487"/>
    </row>
    <row r="3" spans="2:15">
      <c r="C3" s="22"/>
      <c r="D3" s="22"/>
      <c r="E3" s="22"/>
      <c r="F3" s="22"/>
      <c r="G3" s="22"/>
    </row>
    <row r="4" spans="2:15">
      <c r="B4" s="15" t="s">
        <v>1102</v>
      </c>
      <c r="C4" s="22"/>
      <c r="D4" s="22"/>
      <c r="E4" s="22"/>
      <c r="F4" s="22"/>
      <c r="G4" s="22"/>
    </row>
    <row r="5" spans="2:15" s="22" customFormat="1">
      <c r="B5" s="15" t="s">
        <v>1103</v>
      </c>
    </row>
    <row r="6" spans="2:15">
      <c r="B6" s="15" t="s">
        <v>1104</v>
      </c>
      <c r="C6" s="22"/>
      <c r="D6" s="22"/>
      <c r="E6" s="22"/>
      <c r="F6" s="22"/>
      <c r="G6" s="22"/>
    </row>
    <row r="7" spans="2:15" ht="15" thickBot="1">
      <c r="C7" s="22"/>
      <c r="D7" s="22"/>
      <c r="E7" s="22"/>
      <c r="F7" s="22"/>
      <c r="G7" s="22"/>
    </row>
    <row r="8" spans="2:15" ht="16" thickBot="1">
      <c r="B8" s="181" t="s">
        <v>540</v>
      </c>
      <c r="C8" s="820" t="s">
        <v>537</v>
      </c>
      <c r="D8" s="22"/>
      <c r="E8" s="22"/>
      <c r="F8" s="23"/>
      <c r="G8" s="22"/>
      <c r="H8" s="192"/>
    </row>
    <row r="9" spans="2:15" ht="15" thickBot="1">
      <c r="C9" s="22"/>
      <c r="D9" s="22"/>
      <c r="E9" s="22"/>
      <c r="F9" s="22"/>
      <c r="G9" s="22"/>
      <c r="L9" s="22"/>
      <c r="M9" s="22"/>
      <c r="N9" s="22"/>
      <c r="O9" s="22"/>
    </row>
    <row r="10" spans="2:15" ht="18.649999999999999" customHeight="1">
      <c r="B10" s="883" t="s">
        <v>280</v>
      </c>
      <c r="C10" s="524"/>
      <c r="D10" s="171" t="s">
        <v>536</v>
      </c>
      <c r="E10" s="180" t="s">
        <v>537</v>
      </c>
      <c r="F10" s="168"/>
      <c r="G10" s="527" t="s">
        <v>541</v>
      </c>
      <c r="H10" s="528"/>
      <c r="I10" s="528"/>
      <c r="J10" s="529"/>
      <c r="L10" s="878" t="s">
        <v>753</v>
      </c>
      <c r="M10" s="878"/>
      <c r="N10" s="22"/>
      <c r="O10" s="22"/>
    </row>
    <row r="11" spans="2:15" ht="14.5" customHeight="1">
      <c r="B11" s="884"/>
      <c r="C11" s="553" t="s">
        <v>538</v>
      </c>
      <c r="D11" s="525" t="s">
        <v>643</v>
      </c>
      <c r="E11" s="821"/>
      <c r="F11" s="169"/>
      <c r="G11" s="52"/>
      <c r="H11" s="22"/>
      <c r="I11" s="22"/>
      <c r="J11" s="53"/>
      <c r="L11" s="57" t="s">
        <v>706</v>
      </c>
      <c r="M11" s="319">
        <f>J18*M20*1000/Staff_Days_Operation</f>
        <v>15184.802284185123</v>
      </c>
      <c r="N11" s="135"/>
      <c r="O11" s="22"/>
    </row>
    <row r="12" spans="2:15" ht="14.5" customHeight="1">
      <c r="B12" s="885"/>
      <c r="C12" s="548" t="s">
        <v>847</v>
      </c>
      <c r="D12" s="403">
        <v>0.03</v>
      </c>
      <c r="E12" s="822"/>
      <c r="F12" s="169"/>
      <c r="G12" s="52"/>
      <c r="H12" s="22"/>
      <c r="I12" s="22"/>
      <c r="J12" s="53"/>
      <c r="L12" s="401"/>
      <c r="M12" s="402"/>
      <c r="N12" s="135"/>
      <c r="O12" s="22"/>
    </row>
    <row r="13" spans="2:15" ht="22.5" customHeight="1">
      <c r="B13" s="886" t="s">
        <v>215</v>
      </c>
      <c r="C13" s="548" t="s">
        <v>182</v>
      </c>
      <c r="D13" s="619">
        <v>0.45</v>
      </c>
      <c r="E13" s="823">
        <v>1</v>
      </c>
      <c r="F13" s="170"/>
      <c r="G13" s="882" t="s">
        <v>215</v>
      </c>
      <c r="H13" s="530" t="s">
        <v>182</v>
      </c>
      <c r="I13" s="531"/>
      <c r="J13" s="532">
        <f>INDEX('4.1-Settings Database'!$D$13:$E$44,MATCH(H13,$C$13:$C$44,0),MATCH('4.1-Settings Database'!$C$8,'4.1-Settings Database'!$D$10:$E$10,0))</f>
        <v>1</v>
      </c>
      <c r="L13" s="57" t="s">
        <v>736</v>
      </c>
      <c r="M13" s="319">
        <f>M11/J29</f>
        <v>21692.574691693037</v>
      </c>
      <c r="N13" s="351"/>
      <c r="O13" s="22"/>
    </row>
    <row r="14" spans="2:15">
      <c r="B14" s="887"/>
      <c r="C14" s="553" t="s">
        <v>183</v>
      </c>
      <c r="D14" s="620">
        <v>0.98</v>
      </c>
      <c r="E14" s="823">
        <v>1</v>
      </c>
      <c r="F14" s="170"/>
      <c r="G14" s="882"/>
      <c r="H14" s="530" t="s">
        <v>183</v>
      </c>
      <c r="I14" s="531"/>
      <c r="J14" s="532">
        <f>INDEX('4.1-Settings Database'!$D$13:$E$44,MATCH(H14,$C$13:$C$44,0),MATCH('4.1-Settings Database'!$C$8,'4.1-Settings Database'!$D$10:$E$10,0))</f>
        <v>1</v>
      </c>
      <c r="L14" s="57" t="s">
        <v>704</v>
      </c>
      <c r="M14" s="319">
        <f>M13/J27</f>
        <v>86.770298766772143</v>
      </c>
      <c r="N14" s="351"/>
      <c r="O14" s="22"/>
    </row>
    <row r="15" spans="2:15">
      <c r="B15" s="887"/>
      <c r="C15" s="553" t="s">
        <v>184</v>
      </c>
      <c r="D15" s="620">
        <v>1</v>
      </c>
      <c r="E15" s="823">
        <v>1</v>
      </c>
      <c r="F15" s="170"/>
      <c r="G15" s="882"/>
      <c r="H15" s="530" t="s">
        <v>184</v>
      </c>
      <c r="I15" s="531"/>
      <c r="J15" s="532">
        <f>INDEX('4.1-Settings Database'!$D$13:$E$44,MATCH(H15,$C$13:$C$44,0),MATCH('4.1-Settings Database'!$C$8,'4.1-Settings Database'!$D$10:$E$10,0))</f>
        <v>1</v>
      </c>
      <c r="L15" s="57" t="s">
        <v>705</v>
      </c>
      <c r="M15" s="319">
        <f>M14/J25</f>
        <v>96.411443074191268</v>
      </c>
      <c r="N15" s="351"/>
      <c r="O15" s="22"/>
    </row>
    <row r="16" spans="2:15" ht="29.15" customHeight="1">
      <c r="B16" s="879" t="s">
        <v>216</v>
      </c>
      <c r="C16" s="553" t="s">
        <v>822</v>
      </c>
      <c r="D16" s="621">
        <v>12</v>
      </c>
      <c r="E16" s="824">
        <v>12</v>
      </c>
      <c r="F16" s="351"/>
      <c r="G16" s="882" t="s">
        <v>216</v>
      </c>
      <c r="H16" s="888" t="s">
        <v>822</v>
      </c>
      <c r="I16" s="889"/>
      <c r="J16" s="533">
        <f>INDEX('4.1-Settings Database'!$D$13:$E$44,MATCH(H16,$C$13:$C$44,0),MATCH('4.1-Settings Database'!$C$8,'4.1-Settings Database'!$D$10:$E$10,0))</f>
        <v>12</v>
      </c>
      <c r="L16" s="57" t="s">
        <v>707</v>
      </c>
      <c r="M16" s="319">
        <f>M15/J23</f>
        <v>104.79504681977312</v>
      </c>
      <c r="N16" s="352"/>
      <c r="O16" s="22"/>
    </row>
    <row r="17" spans="2:20" ht="29">
      <c r="B17" s="880"/>
      <c r="C17" s="549" t="s">
        <v>210</v>
      </c>
      <c r="D17" s="622">
        <v>0.7</v>
      </c>
      <c r="E17" s="823">
        <v>0.98</v>
      </c>
      <c r="F17" s="22"/>
      <c r="G17" s="882"/>
      <c r="H17" s="888" t="s">
        <v>210</v>
      </c>
      <c r="I17" s="889"/>
      <c r="J17" s="532">
        <f>INDEX('4.1-Settings Database'!$D$13:$E$44,MATCH(H17,$C$13:$C$44,0),MATCH('4.1-Settings Database'!$C$8,'4.1-Settings Database'!$D$10:$E$10,0))</f>
        <v>0.98</v>
      </c>
      <c r="L17" s="175"/>
      <c r="M17" s="177"/>
      <c r="N17" s="351"/>
      <c r="O17" s="22"/>
      <c r="P17" s="22"/>
      <c r="Q17" s="22"/>
      <c r="R17" s="22"/>
      <c r="S17" s="22"/>
      <c r="T17" s="22"/>
    </row>
    <row r="18" spans="2:20" ht="15" customHeight="1">
      <c r="B18" s="880"/>
      <c r="C18" s="549" t="s">
        <v>211</v>
      </c>
      <c r="D18" s="621">
        <v>830</v>
      </c>
      <c r="E18" s="824">
        <v>1000</v>
      </c>
      <c r="F18" s="22"/>
      <c r="G18" s="882"/>
      <c r="H18" s="888" t="s">
        <v>211</v>
      </c>
      <c r="I18" s="889"/>
      <c r="J18" s="533">
        <f>INDEX('4.1-Settings Database'!$D$13:$E$44,MATCH(H18,$C$13:$C$44,0),MATCH('4.1-Settings Database'!$C$8,'4.1-Settings Database'!$D$10:$E$10,0))</f>
        <v>1000</v>
      </c>
      <c r="L18" s="874" t="s">
        <v>754</v>
      </c>
      <c r="M18" s="875"/>
      <c r="N18" s="875"/>
      <c r="O18" s="876"/>
      <c r="P18" s="22"/>
      <c r="Q18" s="22"/>
      <c r="R18" s="22"/>
      <c r="S18" s="22"/>
      <c r="T18" s="22"/>
    </row>
    <row r="19" spans="2:20">
      <c r="B19" s="880"/>
      <c r="C19" s="549" t="s">
        <v>213</v>
      </c>
      <c r="D19" s="623">
        <v>2.3188166049382094E-3</v>
      </c>
      <c r="E19" s="824">
        <v>2.3188166049382098E-3</v>
      </c>
      <c r="F19" s="22"/>
      <c r="G19" s="882"/>
      <c r="H19" s="530" t="s">
        <v>213</v>
      </c>
      <c r="I19" s="531"/>
      <c r="J19" s="534">
        <f>INDEX('4.1-Settings Database'!$D$13:$E$44,MATCH(H19,$C$13:$C$44,0),MATCH('4.1-Settings Database'!$C$8,'4.1-Settings Database'!$D$10:$E$10,0))</f>
        <v>2.3188166049382098E-3</v>
      </c>
      <c r="L19" s="516" t="s">
        <v>173</v>
      </c>
      <c r="M19" s="662">
        <f>'1.0-General input'!E18</f>
        <v>5.5424528337275705</v>
      </c>
      <c r="N19" s="519"/>
      <c r="O19" s="451"/>
      <c r="P19" s="22"/>
      <c r="Q19" s="22"/>
      <c r="R19" s="22"/>
      <c r="S19" s="22"/>
      <c r="T19" s="22"/>
    </row>
    <row r="20" spans="2:20" ht="15" thickBot="1">
      <c r="B20" s="880"/>
      <c r="C20" s="549" t="s">
        <v>212</v>
      </c>
      <c r="D20" s="624">
        <v>0.15326179744017801</v>
      </c>
      <c r="E20" s="824">
        <v>0.25</v>
      </c>
      <c r="F20" s="22"/>
      <c r="G20" s="882"/>
      <c r="H20" s="530" t="s">
        <v>212</v>
      </c>
      <c r="I20" s="531"/>
      <c r="J20" s="534">
        <f>INDEX('4.1-Settings Database'!$D$13:$E$44,MATCH(H20,$C$13:$C$44,0),MATCH('4.1-Settings Database'!$C$8,'4.1-Settings Database'!$D$10:$E$10,0))</f>
        <v>0.25</v>
      </c>
      <c r="L20" s="517" t="s">
        <v>266</v>
      </c>
      <c r="M20" s="652">
        <f>M19*J13*J14*J15</f>
        <v>5.5424528337275705</v>
      </c>
      <c r="N20" s="520"/>
      <c r="O20" s="453"/>
      <c r="P20" s="22"/>
      <c r="Q20" s="22"/>
      <c r="R20" s="22"/>
      <c r="S20" s="22"/>
      <c r="T20" s="22"/>
    </row>
    <row r="21" spans="2:20">
      <c r="B21" s="880"/>
      <c r="C21" s="554" t="s">
        <v>214</v>
      </c>
      <c r="D21" s="616">
        <f>(D18*D17*D20-D18*D19)/1000</f>
        <v>8.7120486530644706E-2</v>
      </c>
      <c r="E21" s="617">
        <f>(E18*E17*E20-E18*E19)/1000</f>
        <v>0.24268118339506178</v>
      </c>
      <c r="F21" s="135"/>
      <c r="G21" s="882"/>
      <c r="H21" s="888" t="s">
        <v>214</v>
      </c>
      <c r="I21" s="889"/>
      <c r="J21" s="532">
        <f>INDEX('4.1-Settings Database'!$D$13:$E$44,MATCH(H21,$C$13:$C$44,0),MATCH('4.1-Settings Database'!$C$8,'4.1-Settings Database'!$D$10:$E$10,0))</f>
        <v>0.24268118339506178</v>
      </c>
      <c r="L21" s="518"/>
      <c r="M21" s="663" t="s">
        <v>166</v>
      </c>
      <c r="N21" s="515" t="s">
        <v>949</v>
      </c>
      <c r="O21" s="523" t="s">
        <v>162</v>
      </c>
      <c r="P21" s="22"/>
      <c r="Q21" s="22"/>
      <c r="R21" s="22"/>
      <c r="S21" s="22"/>
      <c r="T21" s="22"/>
    </row>
    <row r="22" spans="2:20" ht="14.5" customHeight="1" thickBot="1">
      <c r="B22" s="881"/>
      <c r="C22" s="555" t="s">
        <v>185</v>
      </c>
      <c r="D22" s="625">
        <v>0.45</v>
      </c>
      <c r="E22" s="825">
        <v>0.8</v>
      </c>
      <c r="F22" s="22"/>
      <c r="G22" s="882"/>
      <c r="H22" s="888" t="s">
        <v>185</v>
      </c>
      <c r="I22" s="889"/>
      <c r="J22" s="532">
        <f>INDEX('4.1-Settings Database'!$D$13:$E$44,MATCH(H22,$C$13:$C$44,0),MATCH('4.1-Settings Database'!$C$8,'4.1-Settings Database'!$D$10:$E$10,0))</f>
        <v>0.8</v>
      </c>
      <c r="L22" s="508" t="s">
        <v>165</v>
      </c>
      <c r="M22" s="664">
        <f>M20*J18*J17*J20/1000</f>
        <v>1.3579009442632548</v>
      </c>
      <c r="N22" s="665">
        <f>M16*Staff_Days_Operation*J20/1000/1000</f>
        <v>9.5625480223042979E-3</v>
      </c>
      <c r="O22" s="666">
        <f>M22-N22</f>
        <v>1.3483383962409505</v>
      </c>
      <c r="P22" s="22"/>
      <c r="Q22" s="22"/>
      <c r="R22" s="22"/>
      <c r="S22" s="22"/>
      <c r="T22" s="22"/>
    </row>
    <row r="23" spans="2:20" ht="14.5" customHeight="1">
      <c r="B23" s="892" t="s">
        <v>815</v>
      </c>
      <c r="C23" s="547" t="s">
        <v>160</v>
      </c>
      <c r="D23" s="626">
        <v>0.92</v>
      </c>
      <c r="E23" s="826">
        <v>0.92</v>
      </c>
      <c r="F23" s="22"/>
      <c r="G23" s="894" t="s">
        <v>815</v>
      </c>
      <c r="H23" s="530" t="s">
        <v>160</v>
      </c>
      <c r="I23" s="531"/>
      <c r="J23" s="532">
        <f>INDEX('4.1-Settings Database'!$D$13:$E$44,MATCH(H23,$C$13:$C$44,0),MATCH('4.1-Settings Database'!$C$8,'4.1-Settings Database'!$D$10:$E$10,0))</f>
        <v>0.92</v>
      </c>
      <c r="L23" s="508" t="s">
        <v>167</v>
      </c>
      <c r="M23" s="647">
        <f>N23</f>
        <v>2.3040768208781756E-4</v>
      </c>
      <c r="N23" s="667">
        <f>M13*Staff_Days_Operation*J33/1000/1000</f>
        <v>2.3040768208781756E-4</v>
      </c>
      <c r="O23" s="668"/>
      <c r="P23" s="22"/>
      <c r="Q23" s="22"/>
      <c r="R23" s="22"/>
      <c r="S23" s="22"/>
      <c r="T23" s="22"/>
    </row>
    <row r="24" spans="2:20">
      <c r="B24" s="893"/>
      <c r="C24" s="548" t="s">
        <v>731</v>
      </c>
      <c r="D24" s="627">
        <v>10</v>
      </c>
      <c r="E24" s="824">
        <v>10</v>
      </c>
      <c r="F24" s="22"/>
      <c r="G24" s="893"/>
      <c r="H24" s="530" t="s">
        <v>731</v>
      </c>
      <c r="I24" s="531"/>
      <c r="J24" s="533">
        <f>INDEX('4.1-Settings Database'!$D$13:$E$44,MATCH(H24,$C$13:$C$44,0),MATCH('4.1-Settings Database'!$C$8,'4.1-Settings Database'!$D$10:$E$10,0))</f>
        <v>10</v>
      </c>
      <c r="L24" s="508" t="s">
        <v>168</v>
      </c>
      <c r="M24" s="647">
        <f>N24</f>
        <v>1.2851931662934324E-2</v>
      </c>
      <c r="N24" s="669">
        <f>M11*Staff_Days_Operation*J19/1000/1000</f>
        <v>1.2851931662934324E-2</v>
      </c>
      <c r="O24" s="670"/>
      <c r="P24" s="22"/>
      <c r="Q24" s="509"/>
      <c r="R24" s="510"/>
      <c r="S24" s="205"/>
      <c r="T24" s="22"/>
    </row>
    <row r="25" spans="2:20" ht="14.5" customHeight="1">
      <c r="B25" s="893"/>
      <c r="C25" s="548" t="s">
        <v>161</v>
      </c>
      <c r="D25" s="628">
        <v>0.9</v>
      </c>
      <c r="E25" s="823">
        <v>0.9</v>
      </c>
      <c r="F25" s="22"/>
      <c r="G25" s="893"/>
      <c r="H25" s="530" t="s">
        <v>161</v>
      </c>
      <c r="I25" s="531"/>
      <c r="J25" s="532">
        <f>INDEX('4.1-Settings Database'!$D$13:$E$44,MATCH(H25,$C$13:$C$44,0),MATCH('4.1-Settings Database'!$C$8,'4.1-Settings Database'!$D$10:$E$10,0))</f>
        <v>0.9</v>
      </c>
      <c r="L25" s="508" t="s">
        <v>274</v>
      </c>
      <c r="M25" s="648">
        <f>M20*(1-J22)</f>
        <v>1.1084905667455138</v>
      </c>
      <c r="N25" s="521"/>
      <c r="O25" s="522"/>
      <c r="P25" s="22"/>
      <c r="Q25" s="511"/>
      <c r="R25" s="512"/>
      <c r="S25" s="22"/>
      <c r="T25" s="22"/>
    </row>
    <row r="26" spans="2:20" ht="14.5" customHeight="1">
      <c r="B26" s="893"/>
      <c r="C26" s="548" t="s">
        <v>732</v>
      </c>
      <c r="D26" s="627">
        <v>23</v>
      </c>
      <c r="E26" s="824">
        <v>23</v>
      </c>
      <c r="F26" s="135"/>
      <c r="G26" s="893"/>
      <c r="H26" s="530" t="s">
        <v>732</v>
      </c>
      <c r="I26" s="531"/>
      <c r="J26" s="533">
        <f>INDEX('4.1-Settings Database'!$D$13:$E$44,MATCH(H26,$C$13:$C$44,0),MATCH('4.1-Settings Database'!$C$8,'4.1-Settings Database'!$D$10:$E$10,0))</f>
        <v>23</v>
      </c>
      <c r="N26" s="22"/>
      <c r="P26" s="22"/>
      <c r="Q26" s="513"/>
      <c r="R26" s="512"/>
      <c r="S26" s="22"/>
      <c r="T26" s="22"/>
    </row>
    <row r="27" spans="2:20" ht="14.5" customHeight="1">
      <c r="B27" s="893"/>
      <c r="C27" s="548" t="s">
        <v>730</v>
      </c>
      <c r="D27" s="629">
        <v>250</v>
      </c>
      <c r="E27" s="824">
        <v>250</v>
      </c>
      <c r="F27" s="22"/>
      <c r="G27" s="893"/>
      <c r="H27" s="530" t="s">
        <v>730</v>
      </c>
      <c r="I27" s="531"/>
      <c r="J27" s="533">
        <f>INDEX('4.1-Settings Database'!$D$13:$E$44,MATCH(H27,$C$13:$C$44,0),MATCH('4.1-Settings Database'!$C$8,'4.1-Settings Database'!$D$10:$E$10,0))</f>
        <v>250</v>
      </c>
      <c r="N27" s="22"/>
      <c r="P27" s="22"/>
      <c r="Q27" s="514"/>
      <c r="R27" s="512"/>
      <c r="S27" s="22"/>
      <c r="T27" s="22"/>
    </row>
    <row r="28" spans="2:20">
      <c r="B28" s="893"/>
      <c r="C28" s="548" t="s">
        <v>733</v>
      </c>
      <c r="D28" s="627">
        <v>4</v>
      </c>
      <c r="E28" s="824">
        <v>4</v>
      </c>
      <c r="F28" s="22"/>
      <c r="G28" s="893"/>
      <c r="H28" s="530" t="s">
        <v>733</v>
      </c>
      <c r="I28" s="531"/>
      <c r="J28" s="533">
        <f>INDEX('4.1-Settings Database'!$D$13:$E$44,MATCH(H28,$C$13:$C$44,0),MATCH('4.1-Settings Database'!$C$8,'4.1-Settings Database'!$D$10:$E$10,0))</f>
        <v>4</v>
      </c>
      <c r="L28" s="874" t="s">
        <v>1023</v>
      </c>
      <c r="M28" s="877"/>
      <c r="N28" s="22"/>
      <c r="O28" s="22"/>
      <c r="P28" s="22"/>
      <c r="Q28" s="22"/>
      <c r="R28" s="510"/>
      <c r="S28" s="22"/>
      <c r="T28" s="22"/>
    </row>
    <row r="29" spans="2:20" ht="14.25" customHeight="1">
      <c r="B29" s="893"/>
      <c r="C29" s="548" t="s">
        <v>181</v>
      </c>
      <c r="D29" s="628">
        <v>0.7</v>
      </c>
      <c r="E29" s="823">
        <v>0.7</v>
      </c>
      <c r="F29" s="22"/>
      <c r="G29" s="893"/>
      <c r="H29" s="530" t="s">
        <v>181</v>
      </c>
      <c r="I29" s="531"/>
      <c r="J29" s="532">
        <f>INDEX('4.1-Settings Database'!$D$13:$E$44,MATCH(H29,$C$13:$C$44,0),MATCH('4.1-Settings Database'!$C$8,'4.1-Settings Database'!$D$10:$E$10,0))</f>
        <v>0.7</v>
      </c>
      <c r="L29" s="640" t="s">
        <v>175</v>
      </c>
      <c r="M29" s="649">
        <f>'1.0-General input'!E13</f>
        <v>0</v>
      </c>
      <c r="N29" s="22"/>
      <c r="O29" s="22"/>
      <c r="P29" s="22"/>
      <c r="Q29" s="22"/>
      <c r="R29" s="512"/>
      <c r="S29" s="22"/>
      <c r="T29" s="22"/>
    </row>
    <row r="30" spans="2:20">
      <c r="B30" s="893"/>
      <c r="C30" s="548" t="s">
        <v>734</v>
      </c>
      <c r="D30" s="630">
        <v>5</v>
      </c>
      <c r="E30" s="824">
        <v>5</v>
      </c>
      <c r="F30" s="22"/>
      <c r="G30" s="893"/>
      <c r="H30" s="530" t="s">
        <v>734</v>
      </c>
      <c r="I30" s="531"/>
      <c r="J30" s="533">
        <f>INDEX('4.1-Settings Database'!$D$13:$E$44,MATCH(H30,$C$13:$C$44,0),MATCH('4.1-Settings Database'!$C$8,'4.1-Settings Database'!$D$10:$E$10,0))</f>
        <v>5</v>
      </c>
      <c r="L30" s="640" t="s">
        <v>177</v>
      </c>
      <c r="M30" s="649">
        <f>'1.0-General input'!E15</f>
        <v>1.825</v>
      </c>
      <c r="N30" s="22"/>
      <c r="O30" s="22"/>
      <c r="P30" s="22"/>
      <c r="Q30" s="22"/>
      <c r="R30" s="512"/>
      <c r="S30" s="22"/>
      <c r="T30" s="22"/>
    </row>
    <row r="31" spans="2:20" ht="29">
      <c r="B31" s="893"/>
      <c r="C31" s="548" t="s">
        <v>217</v>
      </c>
      <c r="D31" s="630" t="s">
        <v>169</v>
      </c>
      <c r="E31" s="823" t="s">
        <v>169</v>
      </c>
      <c r="F31" s="135"/>
      <c r="G31" s="893"/>
      <c r="H31" s="715" t="s">
        <v>217</v>
      </c>
      <c r="I31" s="710"/>
      <c r="J31" s="532" t="str">
        <f>INDEX('4.1-Settings Database'!$D$13:$E$44,MATCH(H31,$C$13:$C$44,0),MATCH('4.1-Settings Database'!$C$8,'4.1-Settings Database'!$D$10:$E$10,0))</f>
        <v>n/a</v>
      </c>
      <c r="L31" s="640" t="s">
        <v>176</v>
      </c>
      <c r="M31" s="650">
        <f>M29*1000000/J33/J27/J25/J23*J20/1000000</f>
        <v>0</v>
      </c>
      <c r="O31" s="22"/>
      <c r="P31" s="22"/>
      <c r="Q31" s="22"/>
      <c r="R31" s="512"/>
      <c r="S31" s="22"/>
      <c r="T31" s="22"/>
    </row>
    <row r="32" spans="2:20" ht="30" customHeight="1">
      <c r="B32" s="893"/>
      <c r="C32" s="548" t="s">
        <v>735</v>
      </c>
      <c r="D32" s="631">
        <v>12</v>
      </c>
      <c r="E32" s="824">
        <v>12</v>
      </c>
      <c r="F32" s="167"/>
      <c r="G32" s="893"/>
      <c r="H32" s="530" t="s">
        <v>735</v>
      </c>
      <c r="I32" s="531"/>
      <c r="J32" s="533">
        <f>INDEX('4.1-Settings Database'!$D$13:$E$44,MATCH(H32,$C$13:$C$44,0),MATCH('4.1-Settings Database'!$C$8,'4.1-Settings Database'!$D$10:$E$10,0))</f>
        <v>12</v>
      </c>
      <c r="L32" s="640" t="s">
        <v>178</v>
      </c>
      <c r="M32" s="650">
        <f>M30*1000000/J19/J29/J27/J25/J23*J20/1000000</f>
        <v>1.3579009442632548</v>
      </c>
      <c r="N32" s="344"/>
      <c r="O32" s="343"/>
      <c r="P32" s="22"/>
      <c r="Q32" s="22"/>
      <c r="R32" s="512"/>
      <c r="S32" s="22"/>
      <c r="T32" s="22"/>
    </row>
    <row r="33" spans="2:20">
      <c r="B33" s="893"/>
      <c r="C33" s="549" t="s">
        <v>218</v>
      </c>
      <c r="D33" s="623">
        <v>2.9099999999999999E-5</v>
      </c>
      <c r="E33" s="824">
        <v>2.9099999999999999E-5</v>
      </c>
      <c r="F33" s="167"/>
      <c r="G33" s="893"/>
      <c r="H33" s="530" t="s">
        <v>218</v>
      </c>
      <c r="I33" s="531"/>
      <c r="J33" s="534">
        <f>INDEX('4.1-Settings Database'!$D$13:$E$44,MATCH(H33,$C$13:$C$44,0),MATCH('4.1-Settings Database'!$C$8,'4.1-Settings Database'!$D$10:$E$10,0))</f>
        <v>2.9099999999999999E-5</v>
      </c>
      <c r="L33" s="640" t="s">
        <v>179</v>
      </c>
      <c r="M33" s="649">
        <f>M31+M32</f>
        <v>1.3579009442632548</v>
      </c>
      <c r="N33" s="344"/>
      <c r="O33" s="343"/>
      <c r="P33" s="22"/>
      <c r="Q33" s="22"/>
      <c r="R33" s="510"/>
      <c r="S33" s="22"/>
      <c r="T33" s="22"/>
    </row>
    <row r="34" spans="2:20">
      <c r="B34" s="886"/>
      <c r="C34" s="549" t="s">
        <v>219</v>
      </c>
      <c r="D34" s="630" t="s">
        <v>169</v>
      </c>
      <c r="E34" s="823" t="s">
        <v>169</v>
      </c>
      <c r="F34" s="167"/>
      <c r="G34" s="886"/>
      <c r="H34" s="530" t="s">
        <v>219</v>
      </c>
      <c r="I34" s="531"/>
      <c r="J34" s="532" t="str">
        <f>INDEX('4.1-Settings Database'!$D$13:$E$44,MATCH(H34,$C$13:$C$44,0),MATCH('4.1-Settings Database'!$C$8,'4.1-Settings Database'!$D$10:$E$10,0))</f>
        <v>n/a</v>
      </c>
      <c r="L34" s="641" t="s">
        <v>174</v>
      </c>
      <c r="M34" s="651">
        <f>M33*1000000/J20*J23*J25*J27*J33/1000000</f>
        <v>3.2718351671834268E-2</v>
      </c>
      <c r="N34" s="343"/>
      <c r="O34" s="22"/>
      <c r="P34" s="22"/>
      <c r="Q34" s="22"/>
      <c r="R34" s="512"/>
      <c r="S34" s="22"/>
      <c r="T34" s="22"/>
    </row>
    <row r="35" spans="2:20" ht="22.5" customHeight="1">
      <c r="B35" s="894" t="s">
        <v>559</v>
      </c>
      <c r="C35" s="550" t="s">
        <v>558</v>
      </c>
      <c r="D35" s="632">
        <v>0.26</v>
      </c>
      <c r="E35" s="823">
        <v>0.26</v>
      </c>
      <c r="F35" s="167"/>
      <c r="G35" s="894" t="s">
        <v>559</v>
      </c>
      <c r="H35" s="530" t="s">
        <v>558</v>
      </c>
      <c r="I35" s="531"/>
      <c r="J35" s="532">
        <f>INDEX('4.1-Settings Database'!$D$13:$E$44,MATCH(H35,$C$13:$C$44,0),MATCH('4.1-Settings Database'!$C$8,'4.1-Settings Database'!$D$10:$E$10,0))</f>
        <v>0.26</v>
      </c>
      <c r="L35" s="640" t="s">
        <v>266</v>
      </c>
      <c r="M35" s="652">
        <f>M37*J13*J14*J15</f>
        <v>5.5424528337275705</v>
      </c>
      <c r="N35" s="345"/>
      <c r="O35" s="22"/>
      <c r="P35" s="22"/>
      <c r="Q35" s="22"/>
      <c r="R35" s="512"/>
      <c r="S35" s="22"/>
      <c r="T35" s="22"/>
    </row>
    <row r="36" spans="2:20" ht="30.75" customHeight="1">
      <c r="B36" s="893"/>
      <c r="C36" s="550" t="s">
        <v>554</v>
      </c>
      <c r="D36" s="632">
        <v>0.26</v>
      </c>
      <c r="E36" s="823">
        <v>0.26</v>
      </c>
      <c r="F36" s="167"/>
      <c r="G36" s="893"/>
      <c r="H36" s="530" t="s">
        <v>554</v>
      </c>
      <c r="I36" s="531"/>
      <c r="J36" s="532">
        <f>INDEX('4.1-Settings Database'!$D$13:$E$44,MATCH(H36,$C$13:$C$44,0),MATCH('4.1-Settings Database'!$C$8,'4.1-Settings Database'!$D$10:$E$10,0))</f>
        <v>0.26</v>
      </c>
      <c r="L36" s="518"/>
      <c r="M36" s="646" t="s">
        <v>171</v>
      </c>
      <c r="N36" s="640" t="s">
        <v>163</v>
      </c>
      <c r="O36" s="640" t="s">
        <v>164</v>
      </c>
      <c r="P36" s="22"/>
      <c r="Q36" s="22"/>
      <c r="R36" s="512"/>
      <c r="S36" s="22"/>
      <c r="T36" s="22"/>
    </row>
    <row r="37" spans="2:20">
      <c r="B37" s="893"/>
      <c r="C37" s="550" t="s">
        <v>555</v>
      </c>
      <c r="D37" s="618">
        <f>D40*D36</f>
        <v>0.17680000000000001</v>
      </c>
      <c r="E37" s="823">
        <f>E40*E36</f>
        <v>0.17680000000000001</v>
      </c>
      <c r="F37" s="167"/>
      <c r="G37" s="893"/>
      <c r="H37" s="530" t="s">
        <v>555</v>
      </c>
      <c r="I37" s="531"/>
      <c r="J37" s="532">
        <f>INDEX('4.1-Settings Database'!$D$13:$E$44,MATCH(H37,$C$13:$C$44,0),MATCH('4.1-Settings Database'!$C$8,'4.1-Settings Database'!$D$10:$E$10,0))</f>
        <v>0.17680000000000001</v>
      </c>
      <c r="L37" s="518" t="s">
        <v>170</v>
      </c>
      <c r="M37" s="653">
        <f>(M38*1000000/$J$20/$J$17/$J$18/1000)/$J$13/$J$14/$J$15</f>
        <v>5.5424528337275705</v>
      </c>
      <c r="N37" s="660">
        <f>(N38*1000000/$J$20/$J$17/$J$18/1000)/$J$13/$J$14/$J$15</f>
        <v>0</v>
      </c>
      <c r="O37" s="661">
        <f>(O38*1000000/$J$20/$J$17/$J$18/1000)/$J$13/$J$14/$J$15</f>
        <v>5.5424528337275705</v>
      </c>
      <c r="P37" s="22"/>
      <c r="Q37" s="22"/>
      <c r="R37" s="512"/>
      <c r="S37" s="22"/>
      <c r="T37" s="22"/>
    </row>
    <row r="38" spans="2:20">
      <c r="B38" s="893"/>
      <c r="C38" s="550" t="s">
        <v>556</v>
      </c>
      <c r="D38" s="632">
        <f>0.27*D36</f>
        <v>7.0200000000000012E-2</v>
      </c>
      <c r="E38" s="823">
        <v>7.0200000000000012E-2</v>
      </c>
      <c r="F38" s="167"/>
      <c r="G38" s="893"/>
      <c r="H38" s="530" t="s">
        <v>556</v>
      </c>
      <c r="I38" s="531"/>
      <c r="J38" s="532">
        <f>INDEX('4.1-Settings Database'!$D$13:$E$44,MATCH(H38,$C$13:$C$44,0),MATCH('4.1-Settings Database'!$C$8,'4.1-Settings Database'!$D$10:$E$10,0))</f>
        <v>7.0200000000000012E-2</v>
      </c>
      <c r="L38" s="508" t="s">
        <v>165</v>
      </c>
      <c r="M38" s="647">
        <f>M31+M32</f>
        <v>1.3579009442632548</v>
      </c>
      <c r="N38" s="654">
        <f>M31</f>
        <v>0</v>
      </c>
      <c r="O38" s="654">
        <f>M32</f>
        <v>1.3579009442632548</v>
      </c>
      <c r="P38" s="22"/>
      <c r="Q38" s="22"/>
      <c r="R38" s="512"/>
      <c r="S38" s="22"/>
      <c r="T38" s="22"/>
    </row>
    <row r="39" spans="2:20">
      <c r="B39" s="893"/>
      <c r="C39" s="550" t="s">
        <v>557</v>
      </c>
      <c r="D39" s="618">
        <f>D37*0.98</f>
        <v>0.173264</v>
      </c>
      <c r="E39" s="823">
        <v>0.173264</v>
      </c>
      <c r="F39" s="167"/>
      <c r="G39" s="893"/>
      <c r="H39" s="530" t="s">
        <v>557</v>
      </c>
      <c r="I39" s="531"/>
      <c r="J39" s="532">
        <f>INDEX('4.1-Settings Database'!$D$13:$E$44,MATCH(H39,$C$13:$C$44,0),MATCH('4.1-Settings Database'!$C$8,'4.1-Settings Database'!$D$10:$E$10,0))</f>
        <v>0.173264</v>
      </c>
      <c r="L39" s="508" t="s">
        <v>167</v>
      </c>
      <c r="M39" s="647">
        <f>N39+O39</f>
        <v>3.2718351671834268E-2</v>
      </c>
      <c r="N39" s="655">
        <f>M29</f>
        <v>0</v>
      </c>
      <c r="O39" s="656">
        <f>M30*1000000/J19/J29*J33/1000000</f>
        <v>3.2718351671834268E-2</v>
      </c>
      <c r="P39" s="348"/>
      <c r="Q39" s="22"/>
      <c r="R39" s="512"/>
      <c r="S39" s="22"/>
      <c r="T39" s="22"/>
    </row>
    <row r="40" spans="2:20">
      <c r="B40" s="886"/>
      <c r="C40" s="551" t="s">
        <v>708</v>
      </c>
      <c r="D40" s="633">
        <v>0.68</v>
      </c>
      <c r="E40" s="823">
        <v>0.68</v>
      </c>
      <c r="F40" s="167"/>
      <c r="G40" s="886"/>
      <c r="H40" s="530" t="s">
        <v>708</v>
      </c>
      <c r="I40" s="531"/>
      <c r="J40" s="537">
        <f>INDEX('4.1-Settings Database'!$D$13:$E$40,MATCH(H40,$C$13:$C$40,0),MATCH('4.1-Settings Database'!$C$8,'4.1-Settings Database'!$D$10:$E$10,0))</f>
        <v>0.68</v>
      </c>
      <c r="L40" s="508" t="s">
        <v>168</v>
      </c>
      <c r="M40" s="647">
        <f>O40</f>
        <v>1.825</v>
      </c>
      <c r="N40" s="657" t="s">
        <v>169</v>
      </c>
      <c r="O40" s="654">
        <f>M30</f>
        <v>1.825</v>
      </c>
      <c r="P40" s="343"/>
      <c r="Q40" s="22"/>
      <c r="R40" s="512"/>
      <c r="S40" s="22"/>
      <c r="T40" s="22"/>
    </row>
    <row r="41" spans="2:20" ht="29.5" thickBot="1">
      <c r="B41" s="526" t="s">
        <v>817</v>
      </c>
      <c r="C41" s="552" t="s">
        <v>816</v>
      </c>
      <c r="D41" s="634">
        <v>0.30303030303030304</v>
      </c>
      <c r="E41" s="825">
        <v>0.30303030303030304</v>
      </c>
      <c r="F41" s="167"/>
      <c r="G41" s="526" t="s">
        <v>817</v>
      </c>
      <c r="H41" s="535" t="s">
        <v>816</v>
      </c>
      <c r="I41" s="536"/>
      <c r="J41" s="538">
        <f>INDEX('4.1-Settings Database'!$D$13:$E$44,MATCH(H41,$C$13:$C$44,0),MATCH('4.1-Settings Database'!$C$8,'4.1-Settings Database'!$D$10:$E$10,0))</f>
        <v>0.30303030303030304</v>
      </c>
      <c r="L41" s="642" t="s">
        <v>274</v>
      </c>
      <c r="M41" s="648">
        <f>M35*(1-J22)</f>
        <v>1.1084905667455138</v>
      </c>
      <c r="N41" s="658" t="s">
        <v>169</v>
      </c>
      <c r="O41" s="659" t="s">
        <v>169</v>
      </c>
      <c r="P41" s="166"/>
      <c r="Q41" s="166"/>
      <c r="R41" s="512"/>
      <c r="S41" s="22"/>
      <c r="T41" s="22"/>
    </row>
    <row r="42" spans="2:20">
      <c r="D42" s="238"/>
      <c r="E42" s="238"/>
      <c r="F42" s="167"/>
      <c r="P42" s="643"/>
      <c r="Q42" s="644"/>
      <c r="R42" s="512"/>
      <c r="S42" s="22"/>
      <c r="T42" s="22"/>
    </row>
    <row r="43" spans="2:20">
      <c r="B43" s="178"/>
      <c r="C43" s="175"/>
      <c r="D43" s="174"/>
      <c r="E43" s="174"/>
      <c r="F43" s="167"/>
      <c r="G43" s="178"/>
      <c r="H43" s="22"/>
      <c r="I43" s="22"/>
      <c r="J43" s="22"/>
      <c r="K43" s="22"/>
      <c r="P43" s="259"/>
      <c r="Q43" s="259"/>
      <c r="R43" s="512"/>
      <c r="S43" s="22"/>
      <c r="T43" s="22"/>
    </row>
    <row r="44" spans="2:20">
      <c r="B44" s="178"/>
      <c r="C44" s="506"/>
      <c r="D44" s="507"/>
      <c r="E44" s="174"/>
      <c r="F44" s="167"/>
      <c r="G44" s="178"/>
      <c r="H44" s="506"/>
      <c r="I44" s="448"/>
      <c r="J44" s="174"/>
      <c r="K44" s="22"/>
      <c r="P44" s="645"/>
      <c r="Q44" s="639"/>
    </row>
    <row r="45" spans="2:20" ht="17.149999999999999" customHeight="1">
      <c r="B45" s="487" t="s">
        <v>1100</v>
      </c>
      <c r="C45" s="489"/>
      <c r="D45" s="489"/>
      <c r="E45" s="489"/>
      <c r="F45" s="489"/>
      <c r="G45" s="709"/>
      <c r="H45" s="489"/>
      <c r="I45" s="489"/>
      <c r="J45" s="489"/>
      <c r="K45" s="489"/>
      <c r="L45" s="489"/>
      <c r="M45" s="709"/>
      <c r="N45" s="709"/>
      <c r="O45" s="709"/>
    </row>
    <row r="46" spans="2:20">
      <c r="B46" s="895" t="s">
        <v>1101</v>
      </c>
      <c r="C46" s="895"/>
      <c r="D46" s="895"/>
      <c r="E46" s="895"/>
      <c r="F46" s="895"/>
      <c r="H46" s="22"/>
      <c r="I46" s="189"/>
      <c r="J46" s="22"/>
      <c r="K46" s="22"/>
      <c r="L46" s="22"/>
    </row>
    <row r="47" spans="2:20">
      <c r="B47" s="189"/>
      <c r="C47" s="22"/>
      <c r="D47" s="22"/>
      <c r="E47" s="22"/>
      <c r="F47" s="22"/>
      <c r="H47" s="22"/>
      <c r="I47" s="189"/>
      <c r="J47" s="22"/>
      <c r="K47" s="22"/>
      <c r="L47" s="22"/>
    </row>
    <row r="48" spans="2:20">
      <c r="E48" s="350"/>
      <c r="F48" s="313"/>
      <c r="G48" s="22"/>
      <c r="H48" s="22"/>
      <c r="J48" s="22"/>
      <c r="K48" s="22"/>
      <c r="L48" s="22"/>
    </row>
    <row r="49" spans="2:14">
      <c r="B49" s="151"/>
      <c r="C49" s="346"/>
      <c r="D49" s="347"/>
      <c r="J49" s="22"/>
      <c r="K49" s="22"/>
      <c r="L49" s="22"/>
    </row>
    <row r="50" spans="2:14">
      <c r="B50" s="151"/>
      <c r="C50" s="896" t="s">
        <v>741</v>
      </c>
      <c r="D50" s="897"/>
      <c r="E50" s="897"/>
      <c r="F50" s="898"/>
      <c r="J50" s="22"/>
      <c r="K50" s="22"/>
      <c r="L50" s="22"/>
    </row>
    <row r="51" spans="2:14">
      <c r="B51" s="151"/>
      <c r="C51" s="13" t="s">
        <v>276</v>
      </c>
      <c r="D51" s="13" t="s">
        <v>277</v>
      </c>
      <c r="E51" s="13" t="s">
        <v>278</v>
      </c>
      <c r="F51" s="540" t="s">
        <v>279</v>
      </c>
      <c r="J51" s="22"/>
      <c r="K51" s="22"/>
      <c r="L51" s="208"/>
    </row>
    <row r="52" spans="2:14">
      <c r="B52" s="153" t="s">
        <v>130</v>
      </c>
      <c r="C52" s="827">
        <f>L52</f>
        <v>0</v>
      </c>
      <c r="D52" s="827">
        <v>9.5999999999999992E-3</v>
      </c>
      <c r="E52" s="827">
        <v>0.1149</v>
      </c>
      <c r="F52" s="828">
        <v>2.5000000000000001E-2</v>
      </c>
      <c r="G52" s="539"/>
      <c r="H52" s="539"/>
      <c r="I52" s="539"/>
      <c r="J52" s="539"/>
      <c r="K52" s="22"/>
      <c r="L52" s="208"/>
    </row>
    <row r="53" spans="2:14">
      <c r="B53" s="153" t="s">
        <v>275</v>
      </c>
      <c r="C53" s="349">
        <f>C52*1000*'4.1-Settings Database'!$J$13*'4.1-Settings Database'!$J$14*'4.1-Settings Database'!$J$15</f>
        <v>0</v>
      </c>
      <c r="D53" s="349">
        <f>D52*1000*('4.1-Settings Database'!$J$13*'4.1-Settings Database'!$J$14*'4.1-Settings Database'!$J$15*('4.1-Settings Database'!$J$21+1-'4.1-Settings Database'!$J$22+('4.1-Settings Database'!$J$18*'4.1-Settings Database'!$J$19/1000)))</f>
        <v>4.2719999999999985</v>
      </c>
      <c r="E53" s="349">
        <f>E52*1000*'4.1-Settings Database'!$J$13*'4.1-Settings Database'!$J$14*'4.1-Settings Database'!$J$15*('4.1-Settings Database'!$J$21+('4.1-Settings Database'!$J$18*'4.1-Settings Database'!$J$19/1000))</f>
        <v>28.150500000000001</v>
      </c>
      <c r="F53" s="545">
        <f>F52*1000*'4.1-Settings Database'!$J$13*'4.1-Settings Database'!$J$14*'4.1-Settings Database'!$J$15*(1-'4.1-Settings Database'!$J$22)</f>
        <v>4.9999999999999991</v>
      </c>
      <c r="G53" s="539"/>
      <c r="H53" s="539"/>
      <c r="I53" s="539"/>
      <c r="J53" s="539"/>
      <c r="K53" s="22"/>
      <c r="L53" s="208"/>
    </row>
    <row r="54" spans="2:14">
      <c r="B54" s="153" t="s">
        <v>281</v>
      </c>
      <c r="C54" s="14">
        <f>C53/SUM($C$53:$F$53)</f>
        <v>0</v>
      </c>
      <c r="D54" s="10">
        <f>D53/SUM($C$53:$F$53)</f>
        <v>0.11415592223929451</v>
      </c>
      <c r="E54" s="10">
        <f>E53/SUM($C$53:$F$53)</f>
        <v>0.75223461821096937</v>
      </c>
      <c r="F54" s="541">
        <f>F53/SUM($C$53:$F$53)</f>
        <v>0.1336094595497361</v>
      </c>
      <c r="J54" s="468"/>
      <c r="K54" s="22"/>
      <c r="L54" s="22"/>
    </row>
    <row r="55" spans="2:14">
      <c r="B55" s="151"/>
      <c r="C55" s="155"/>
      <c r="D55" s="155"/>
      <c r="E55" s="155"/>
      <c r="F55" s="155"/>
      <c r="G55" s="154"/>
      <c r="H55" s="154"/>
      <c r="J55" s="22"/>
      <c r="K55" s="22"/>
      <c r="L55" s="22"/>
    </row>
    <row r="56" spans="2:14">
      <c r="B56" s="151"/>
      <c r="C56" s="891" t="s">
        <v>272</v>
      </c>
      <c r="D56" s="891"/>
      <c r="J56" s="22"/>
      <c r="K56" s="22"/>
      <c r="L56" s="22"/>
    </row>
    <row r="57" spans="2:14">
      <c r="B57" s="151"/>
      <c r="C57" s="152" t="s">
        <v>270</v>
      </c>
      <c r="D57" s="152" t="s">
        <v>271</v>
      </c>
    </row>
    <row r="58" spans="2:14">
      <c r="B58" s="714" t="s">
        <v>116</v>
      </c>
      <c r="C58" s="829">
        <v>287.32</v>
      </c>
      <c r="D58" s="829">
        <v>0.76</v>
      </c>
      <c r="E58" s="539"/>
      <c r="F58" s="539"/>
      <c r="G58" s="539"/>
      <c r="H58" s="539"/>
      <c r="I58" s="539"/>
      <c r="J58" s="539"/>
      <c r="K58" s="539"/>
      <c r="L58" s="539"/>
      <c r="M58" s="539"/>
      <c r="N58" s="539"/>
    </row>
    <row r="59" spans="2:14">
      <c r="B59" s="713"/>
      <c r="C59" s="22"/>
      <c r="D59" s="22"/>
    </row>
    <row r="60" spans="2:14">
      <c r="B60" s="712"/>
      <c r="C60" s="890" t="s">
        <v>562</v>
      </c>
      <c r="D60" s="890"/>
      <c r="E60" s="890"/>
      <c r="F60" s="890"/>
      <c r="G60" s="890"/>
      <c r="H60" s="890"/>
      <c r="I60" s="890"/>
      <c r="J60" s="890"/>
      <c r="K60" s="539"/>
      <c r="L60" s="539"/>
      <c r="M60" s="539"/>
      <c r="N60" s="539"/>
    </row>
    <row r="61" spans="2:14" ht="29">
      <c r="B61" s="711" t="s">
        <v>514</v>
      </c>
      <c r="C61" s="542" t="s">
        <v>590</v>
      </c>
      <c r="D61" s="542" t="s">
        <v>712</v>
      </c>
      <c r="E61" s="542" t="s">
        <v>713</v>
      </c>
      <c r="F61" s="542" t="s">
        <v>714</v>
      </c>
      <c r="G61" s="542" t="s">
        <v>715</v>
      </c>
      <c r="H61" s="542" t="s">
        <v>716</v>
      </c>
      <c r="I61" s="543" t="s">
        <v>717</v>
      </c>
      <c r="J61" s="543" t="s">
        <v>563</v>
      </c>
    </row>
    <row r="62" spans="2:14">
      <c r="B62" s="544" t="s">
        <v>1076</v>
      </c>
      <c r="C62" s="544" t="s">
        <v>1078</v>
      </c>
      <c r="D62" s="544" t="s">
        <v>1077</v>
      </c>
      <c r="E62" s="830">
        <v>1</v>
      </c>
      <c r="F62" s="830">
        <v>320</v>
      </c>
      <c r="G62" s="541">
        <v>1</v>
      </c>
      <c r="H62" s="546">
        <f>F62*G62</f>
        <v>320</v>
      </c>
      <c r="I62" s="546">
        <f>H62*E62</f>
        <v>320</v>
      </c>
      <c r="J62" s="705">
        <f>'1.0-General input'!$E$97/I62</f>
        <v>2.5000000000000001E-2</v>
      </c>
    </row>
    <row r="63" spans="2:14">
      <c r="B63" s="544" t="s">
        <v>586</v>
      </c>
      <c r="C63" s="544" t="s">
        <v>583</v>
      </c>
      <c r="D63" s="544" t="s">
        <v>718</v>
      </c>
      <c r="E63" s="830">
        <v>3</v>
      </c>
      <c r="F63" s="830">
        <v>210</v>
      </c>
      <c r="G63" s="541">
        <f>D35</f>
        <v>0.26</v>
      </c>
      <c r="H63" s="546">
        <f>F63*G63</f>
        <v>54.6</v>
      </c>
      <c r="I63" s="546">
        <f>H63*E63</f>
        <v>163.80000000000001</v>
      </c>
      <c r="J63" s="705">
        <f>'1.0-General input'!$E$97/I63</f>
        <v>4.884004884004884E-2</v>
      </c>
    </row>
    <row r="64" spans="2:14">
      <c r="B64" s="544" t="s">
        <v>586</v>
      </c>
      <c r="C64" s="544" t="s">
        <v>719</v>
      </c>
      <c r="D64" s="544" t="s">
        <v>720</v>
      </c>
      <c r="E64" s="830">
        <v>3</v>
      </c>
      <c r="F64" s="830">
        <v>160</v>
      </c>
      <c r="G64" s="541">
        <f>D35</f>
        <v>0.26</v>
      </c>
      <c r="H64" s="546">
        <f>F64*G64</f>
        <v>41.6</v>
      </c>
      <c r="I64" s="546">
        <f>H64*E64</f>
        <v>124.80000000000001</v>
      </c>
      <c r="J64" s="705">
        <f>'1.0-General input'!$E$97/I64</f>
        <v>6.4102564102564097E-2</v>
      </c>
    </row>
    <row r="65" spans="2:10">
      <c r="B65" s="544" t="s">
        <v>587</v>
      </c>
      <c r="C65" s="544" t="s">
        <v>584</v>
      </c>
      <c r="D65" s="544" t="s">
        <v>721</v>
      </c>
      <c r="E65" s="830">
        <v>2</v>
      </c>
      <c r="F65" s="830">
        <v>160</v>
      </c>
      <c r="G65" s="541">
        <f>D40</f>
        <v>0.68</v>
      </c>
      <c r="H65" s="546">
        <f>F65*G65</f>
        <v>108.80000000000001</v>
      </c>
      <c r="I65" s="546">
        <f>H65*E65</f>
        <v>217.60000000000002</v>
      </c>
      <c r="J65" s="705">
        <f>'1.0-General input'!$E$97/I65</f>
        <v>3.6764705882352935E-2</v>
      </c>
    </row>
    <row r="66" spans="2:10">
      <c r="B66" s="544" t="s">
        <v>588</v>
      </c>
      <c r="C66" s="544" t="s">
        <v>585</v>
      </c>
      <c r="D66" s="544" t="s">
        <v>722</v>
      </c>
      <c r="E66" s="830">
        <v>2</v>
      </c>
      <c r="F66" s="830">
        <v>135</v>
      </c>
      <c r="G66" s="541">
        <v>0.98</v>
      </c>
      <c r="H66" s="546">
        <f>F66*G66</f>
        <v>132.30000000000001</v>
      </c>
      <c r="I66" s="546">
        <f>H66*E66</f>
        <v>264.60000000000002</v>
      </c>
      <c r="J66" s="705">
        <f>'1.0-General input'!$E$97/I66</f>
        <v>3.023431594860166E-2</v>
      </c>
    </row>
    <row r="67" spans="2:10">
      <c r="B67" s="544" t="s">
        <v>589</v>
      </c>
      <c r="C67" s="544" t="s">
        <v>723</v>
      </c>
      <c r="D67" s="544" t="s">
        <v>639</v>
      </c>
      <c r="E67" s="544" t="s">
        <v>639</v>
      </c>
      <c r="F67" s="544" t="s">
        <v>639</v>
      </c>
      <c r="G67" s="544"/>
      <c r="H67" s="544"/>
      <c r="I67" s="544"/>
      <c r="J67" s="544"/>
    </row>
    <row r="69" spans="2:10">
      <c r="B69" s="714" t="s">
        <v>273</v>
      </c>
      <c r="C69" s="831">
        <v>0.1</v>
      </c>
    </row>
  </sheetData>
  <sheetProtection algorithmName="SHA-512" hashValue="mCPUGd0mroM3K0AZM0hmRqzY8eF/aLZKbTUViWq6Sjkkp4i17eoArz6YlZhAaoFwnd3UTb4t4cqmPucjaAcLlw==" saltValue="jQTfSBX4FXeimAb7rmZY+A==" spinCount="100000" sheet="1" objects="1" scenarios="1" selectLockedCells="1"/>
  <mergeCells count="21">
    <mergeCell ref="C60:J60"/>
    <mergeCell ref="H21:I21"/>
    <mergeCell ref="H22:I22"/>
    <mergeCell ref="C56:D56"/>
    <mergeCell ref="B23:B34"/>
    <mergeCell ref="B35:B40"/>
    <mergeCell ref="G35:G40"/>
    <mergeCell ref="G23:G34"/>
    <mergeCell ref="B46:F46"/>
    <mergeCell ref="C50:F50"/>
    <mergeCell ref="L18:O18"/>
    <mergeCell ref="L28:M28"/>
    <mergeCell ref="L10:M10"/>
    <mergeCell ref="B16:B22"/>
    <mergeCell ref="G16:G22"/>
    <mergeCell ref="B10:B12"/>
    <mergeCell ref="G13:G15"/>
    <mergeCell ref="B13:B15"/>
    <mergeCell ref="H16:I16"/>
    <mergeCell ref="H17:I17"/>
    <mergeCell ref="H18:I18"/>
  </mergeCells>
  <dataValidations count="1">
    <dataValidation type="list" allowBlank="1" showInputMessage="1" showErrorMessage="1" sqref="C8">
      <formula1>$D$10:$E$10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66</vt:i4>
      </vt:variant>
    </vt:vector>
  </HeadingPairs>
  <TitlesOfParts>
    <vt:vector size="88" baseType="lpstr">
      <vt:lpstr>Info</vt:lpstr>
      <vt:lpstr>1.0-General input</vt:lpstr>
      <vt:lpstr>2.1-Material input</vt:lpstr>
      <vt:lpstr>2.2-Equipment input</vt:lpstr>
      <vt:lpstr>2.3-Staff input</vt:lpstr>
      <vt:lpstr>2.4-Transport Input</vt:lpstr>
      <vt:lpstr>3.1-Process Overview</vt:lpstr>
      <vt:lpstr>3.2-Results Dashboard</vt:lpstr>
      <vt:lpstr>4.1-Settings Database</vt:lpstr>
      <vt:lpstr>4.2-Settings Internal</vt:lpstr>
      <vt:lpstr>5.0 Appendix</vt:lpstr>
      <vt:lpstr>5.1-Financial Analysis</vt:lpstr>
      <vt:lpstr>5.2-Cost Breakdown Analysis</vt:lpstr>
      <vt:lpstr>5.3-Unit W</vt:lpstr>
      <vt:lpstr>5.3-Unit T</vt:lpstr>
      <vt:lpstr>5.3-Unit H</vt:lpstr>
      <vt:lpstr>5.3-Unit N (17DOL-Egg)</vt:lpstr>
      <vt:lpstr>5.3-Unit N (Egg-5DOL)</vt:lpstr>
      <vt:lpstr>5.3-Unit N (5DOL-17DOL)</vt:lpstr>
      <vt:lpstr>5.3-Unit P</vt:lpstr>
      <vt:lpstr>5.3-Unit R</vt:lpstr>
      <vt:lpstr>5.3-Unit SG&amp;A</vt:lpstr>
      <vt:lpstr>Equipment_Allocation_New</vt:lpstr>
      <vt:lpstr>Equipment_Allocation_Unit_H</vt:lpstr>
      <vt:lpstr>Equipment_Allocation_Unit_N_17DOL</vt:lpstr>
      <vt:lpstr>Equipment_Allocation_Unit_N_5DOL</vt:lpstr>
      <vt:lpstr>Equipment_Allocation_Unit_N_Egg</vt:lpstr>
      <vt:lpstr>Equipment_Allocation_Unit_P</vt:lpstr>
      <vt:lpstr>Equipment_Allocation_Unit_R</vt:lpstr>
      <vt:lpstr>Equipment_Allocation_Unit_T</vt:lpstr>
      <vt:lpstr>Equipment_Allocation_Unit_W</vt:lpstr>
      <vt:lpstr>Equipment_Capital_Cost</vt:lpstr>
      <vt:lpstr>Equipment_Depreciation</vt:lpstr>
      <vt:lpstr>equipment_ID</vt:lpstr>
      <vt:lpstr>Equipment_Lifetime</vt:lpstr>
      <vt:lpstr>Equipment_Quantity_New</vt:lpstr>
      <vt:lpstr>Equipment_Space_Footprint</vt:lpstr>
      <vt:lpstr>Equipment_Space_Selection</vt:lpstr>
      <vt:lpstr>Equipment_Utility_Decision</vt:lpstr>
      <vt:lpstr>Equipment_Utility_Electricity</vt:lpstr>
      <vt:lpstr>Equipment_Utility_Fuel</vt:lpstr>
      <vt:lpstr>Equipment_Utility_Fuel_Selection</vt:lpstr>
      <vt:lpstr>Equipment_Utility_Run</vt:lpstr>
      <vt:lpstr>Equipment_Utility_Spec_List</vt:lpstr>
      <vt:lpstr>Equipment_Utility_Water</vt:lpstr>
      <vt:lpstr>General_5DOLProduction_Total</vt:lpstr>
      <vt:lpstr>General_Currency_Selection</vt:lpstr>
      <vt:lpstr>General_EggProduction_Total</vt:lpstr>
      <vt:lpstr>General_Electricity_Price</vt:lpstr>
      <vt:lpstr>General_EquipmentQuant_Auto</vt:lpstr>
      <vt:lpstr>General_Factory_Construction</vt:lpstr>
      <vt:lpstr>General_Factory_Decision</vt:lpstr>
      <vt:lpstr>General_Factory_Land</vt:lpstr>
      <vt:lpstr>General_Factory_Rent</vt:lpstr>
      <vt:lpstr>General_Financial_SalaryIncrease</vt:lpstr>
      <vt:lpstr>General_Financial_WACC</vt:lpstr>
      <vt:lpstr>General_FreshLarvae_TotalProd</vt:lpstr>
      <vt:lpstr>General_MRT</vt:lpstr>
      <vt:lpstr>General_Process_Amounts</vt:lpstr>
      <vt:lpstr>General_Process_InstallCost</vt:lpstr>
      <vt:lpstr>General_Process_Specs</vt:lpstr>
      <vt:lpstr>General_Products</vt:lpstr>
      <vt:lpstr>General_Products_Amount</vt:lpstr>
      <vt:lpstr>General_Products_Prices</vt:lpstr>
      <vt:lpstr>General_Residue_TotalProd</vt:lpstr>
      <vt:lpstr>General_StaffNr_Auto</vt:lpstr>
      <vt:lpstr>General_Utilities</vt:lpstr>
      <vt:lpstr>General_Utilities_Type</vt:lpstr>
      <vt:lpstr>General_Waste_toTreatment</vt:lpstr>
      <vt:lpstr>General_WasteInput</vt:lpstr>
      <vt:lpstr>General_Water_Price</vt:lpstr>
      <vt:lpstr>Maintenance_cost_setting</vt:lpstr>
      <vt:lpstr>Material_Code</vt:lpstr>
      <vt:lpstr>Material_Input</vt:lpstr>
      <vt:lpstr>Material_Name</vt:lpstr>
      <vt:lpstr>Material_Product_Specific</vt:lpstr>
      <vt:lpstr>Material_Unit_Price</vt:lpstr>
      <vt:lpstr>Position_Category</vt:lpstr>
      <vt:lpstr>Settings_Currency</vt:lpstr>
      <vt:lpstr>Settings_Currency_Course</vt:lpstr>
      <vt:lpstr>Staff_Days_Operation</vt:lpstr>
      <vt:lpstr>Staff_number_of_employees</vt:lpstr>
      <vt:lpstr>Staff_Position_Allocation</vt:lpstr>
      <vt:lpstr>Staff_Position_ID</vt:lpstr>
      <vt:lpstr>Staff_positions</vt:lpstr>
      <vt:lpstr>'3.1-Process Overview'!Unit_codes</vt:lpstr>
      <vt:lpstr>'5.3-Unit N (5DOL-17DOL)'!Unit_codes</vt:lpstr>
      <vt:lpstr>Unit_codes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Grau, Max</cp:lastModifiedBy>
  <cp:lastPrinted>2019-01-28T11:00:05Z</cp:lastPrinted>
  <dcterms:created xsi:type="dcterms:W3CDTF">2017-12-11T10:58:02Z</dcterms:created>
  <dcterms:modified xsi:type="dcterms:W3CDTF">2021-05-02T09:17:29Z</dcterms:modified>
  <cp:category/>
</cp:coreProperties>
</file>